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44" activeTab="0"/>
  </bookViews>
  <sheets>
    <sheet name="TOT-1215" sheetId="1" r:id="rId1"/>
    <sheet name="LI-12 (1)" sheetId="2" r:id="rId2"/>
    <sheet name="Incendio" sheetId="3" r:id="rId3"/>
    <sheet name="LI-12 (2)" sheetId="4" r:id="rId4"/>
    <sheet name="LI-INTESAR 4-12 (1)" sheetId="5" r:id="rId5"/>
    <sheet name="TR-12 (1)" sheetId="6" r:id="rId6"/>
    <sheet name="TR-LINSA-12 (1)" sheetId="7" r:id="rId7"/>
    <sheet name="TR-LITSA TRANSF. S.I.-12 (1)" sheetId="8" r:id="rId8"/>
    <sheet name="TR-TIBA-12 (1)" sheetId="9" r:id="rId9"/>
    <sheet name="SA-12 (1)" sheetId="10" r:id="rId10"/>
    <sheet name="SA-12 (2)" sheetId="11" r:id="rId11"/>
    <sheet name="SA-LITSA-12 (1)" sheetId="12" r:id="rId12"/>
    <sheet name="SA-TIBA-11 (1)" sheetId="13" r:id="rId13"/>
    <sheet name="RE-12 (1)" sheetId="14" r:id="rId14"/>
    <sheet name="RE-YACY-11 (1)" sheetId="15" r:id="rId15"/>
    <sheet name="SUP-LITSA" sheetId="16" r:id="rId16"/>
    <sheet name="SUP-LINSA" sheetId="17" r:id="rId17"/>
    <sheet name="SUP-LITSA ET S.I." sheetId="18" r:id="rId18"/>
    <sheet name="SUP-TIBA" sheetId="19" r:id="rId19"/>
    <sheet name="SUP-YACYLEC" sheetId="20" r:id="rId20"/>
    <sheet name="DATO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12">'SA-TIBA-11 (1)'!$A$1:$W$45</definedName>
    <definedName name="_xlnm.Print_Area" localSheetId="16">'SUP-LINSA'!$A$1:$AD$96</definedName>
    <definedName name="_xlnm.Print_Area" localSheetId="18">'SUP-TIBA'!$A$1:$W$76</definedName>
    <definedName name="_xlnm.Print_Area" localSheetId="19">'SUP-YACYLEC'!$A$1:$AD$82</definedName>
    <definedName name="_xlnm.Print_Area" localSheetId="0">'TOT-1215'!$A$1:$J$49</definedName>
    <definedName name="DD" localSheetId="2">'Incendio'!DD</definedName>
    <definedName name="DD" localSheetId="11">'SA-LITSA-12 (1)'!DD</definedName>
    <definedName name="DD" localSheetId="16">'SUP-LINSA'!DD</definedName>
    <definedName name="DD" localSheetId="15">'SUP-LITSA'!DD</definedName>
    <definedName name="DD" localSheetId="17">'SUP-LITSA ET S.I.'!DD</definedName>
    <definedName name="DD" localSheetId="18">'SUP-TIBA'!DD</definedName>
    <definedName name="DD" localSheetId="19">'SUP-YACYLEC'!DD</definedName>
    <definedName name="DD" localSheetId="6">'TR-LINSA-12 (1)'!DD</definedName>
    <definedName name="DD" localSheetId="7">'TR-LITSA TRANSF. S.I.-12 (1)'!DD</definedName>
    <definedName name="DD" localSheetId="8">'TR-TIBA-12 (1)'!DD</definedName>
    <definedName name="DD">[0]!DD</definedName>
    <definedName name="DDD" localSheetId="2">'Incendio'!DDD</definedName>
    <definedName name="DDD" localSheetId="11">'SA-LITSA-12 (1)'!DDD</definedName>
    <definedName name="DDD" localSheetId="16">'SUP-LINSA'!DDD</definedName>
    <definedName name="DDD" localSheetId="15">'SUP-LITSA'!DDD</definedName>
    <definedName name="DDD" localSheetId="17">'SUP-LITSA ET S.I.'!DDD</definedName>
    <definedName name="DDD" localSheetId="18">'SUP-TIBA'!DDD</definedName>
    <definedName name="DDD" localSheetId="19">'SUP-YACYLEC'!DDD</definedName>
    <definedName name="DDD" localSheetId="6">'TR-LINSA-12 (1)'!DDD</definedName>
    <definedName name="DDD" localSheetId="7">'TR-LITSA TRANSF. S.I.-12 (1)'!DDD</definedName>
    <definedName name="DDD" localSheetId="8">'TR-TIBA-12 (1)'!DDD</definedName>
    <definedName name="DDD">[0]!DDD</definedName>
    <definedName name="DISTROCUYO" localSheetId="2">'Incendio'!DISTROCUYO</definedName>
    <definedName name="DISTROCUYO" localSheetId="11">'SA-LITSA-12 (1)'!DISTROCUYO</definedName>
    <definedName name="DISTROCUYO" localSheetId="16">'SUP-LINSA'!DISTROCUYO</definedName>
    <definedName name="DISTROCUYO" localSheetId="15">'SUP-LITSA'!DISTROCUYO</definedName>
    <definedName name="DISTROCUYO" localSheetId="17">'SUP-LITSA ET S.I.'!DISTROCUYO</definedName>
    <definedName name="DISTROCUYO" localSheetId="18">'SUP-TIBA'!DISTROCUYO</definedName>
    <definedName name="DISTROCUYO" localSheetId="19">'SUP-YACYLEC'!DISTROCUYO</definedName>
    <definedName name="DISTROCUYO" localSheetId="6">'TR-LINSA-12 (1)'!DISTROCUYO</definedName>
    <definedName name="DISTROCUYO" localSheetId="7">'TR-LITSA TRANSF. S.I.-12 (1)'!DISTROCUYO</definedName>
    <definedName name="DISTROCUYO" localSheetId="8">'TR-TIBA-12 (1)'!DISTROCUYO</definedName>
    <definedName name="DISTROCUYO">[0]!DISTROCUYO</definedName>
    <definedName name="FER" localSheetId="2">'Incendio'!FER</definedName>
    <definedName name="FER" localSheetId="11">'SA-LITSA-12 (1)'!FER</definedName>
    <definedName name="FER" localSheetId="16">'SUP-LINSA'!FER</definedName>
    <definedName name="FER" localSheetId="15">'SUP-LITSA'!FER</definedName>
    <definedName name="FER" localSheetId="17">'SUP-LITSA ET S.I.'!FER</definedName>
    <definedName name="FER" localSheetId="18">'SUP-TIBA'!FER</definedName>
    <definedName name="FER" localSheetId="19">'SUP-YACYLEC'!FER</definedName>
    <definedName name="FER" localSheetId="6">'TR-LINSA-12 (1)'!FER</definedName>
    <definedName name="FER" localSheetId="7">'TR-LITSA TRANSF. S.I.-12 (1)'!FER</definedName>
    <definedName name="FER" localSheetId="8">'TR-TIBA-12 (1)'!FER</definedName>
    <definedName name="FER">[0]!FER</definedName>
    <definedName name="INICIO" localSheetId="2">'Incendio'!INICIO</definedName>
    <definedName name="INICIO" localSheetId="11">'SA-LITSA-12 (1)'!INICIO</definedName>
    <definedName name="INICIO" localSheetId="16">'SUP-LINSA'!INICIO</definedName>
    <definedName name="INICIO" localSheetId="15">'SUP-LITSA'!INICIO</definedName>
    <definedName name="INICIO" localSheetId="17">'SUP-LITSA ET S.I.'!INICIO</definedName>
    <definedName name="INICIO" localSheetId="18">'SUP-TIBA'!INICIO</definedName>
    <definedName name="INICIO" localSheetId="19">'SUP-YACYLEC'!INICIO</definedName>
    <definedName name="INICIO" localSheetId="6">'TR-LINSA-12 (1)'!INICIO</definedName>
    <definedName name="INICIO" localSheetId="7">'TR-LITSA TRANSF. S.I.-12 (1)'!INICIO</definedName>
    <definedName name="INICIO" localSheetId="8">'TR-TIBA-12 (1)'!INICIO</definedName>
    <definedName name="INICIO">[0]!INICIO</definedName>
    <definedName name="INICIOTI" localSheetId="2">'Incendio'!INICIOTI</definedName>
    <definedName name="INICIOTI" localSheetId="11">'SA-LITSA-12 (1)'!INICIOTI</definedName>
    <definedName name="INICIOTI" localSheetId="16">'SUP-LINSA'!INICIOTI</definedName>
    <definedName name="INICIOTI" localSheetId="15">'SUP-LITSA'!INICIOTI</definedName>
    <definedName name="INICIOTI" localSheetId="17">'SUP-LITSA ET S.I.'!INICIOTI</definedName>
    <definedName name="INICIOTI" localSheetId="18">'SUP-TIBA'!INICIOTI</definedName>
    <definedName name="INICIOTI" localSheetId="19">'SUP-YACYLEC'!INICIOTI</definedName>
    <definedName name="INICIOTI" localSheetId="6">'TR-LINSA-12 (1)'!INICIOTI</definedName>
    <definedName name="INICIOTI" localSheetId="7">'TR-LITSA TRANSF. S.I.-12 (1)'!INICIOTI</definedName>
    <definedName name="INICIOTI" localSheetId="8">'TR-TIBA-12 (1)'!INICIOTI</definedName>
    <definedName name="INICIOTI">[0]!INICIOTI</definedName>
    <definedName name="LINEAS" localSheetId="2">'Incendio'!LINEAS</definedName>
    <definedName name="LINEAS" localSheetId="11">'SA-LITSA-12 (1)'!LINEAS</definedName>
    <definedName name="LINEAS" localSheetId="16">'SUP-LINSA'!LINEAS</definedName>
    <definedName name="LINEAS" localSheetId="15">'SUP-LITSA'!LINEAS</definedName>
    <definedName name="LINEAS" localSheetId="17">'SUP-LITSA ET S.I.'!LINEAS</definedName>
    <definedName name="LINEAS" localSheetId="18">'SUP-TIBA'!LINEAS</definedName>
    <definedName name="LINEAS" localSheetId="19">'SUP-YACYLEC'!LINEAS</definedName>
    <definedName name="LINEAS" localSheetId="6">'TR-LINSA-12 (1)'!LINEAS</definedName>
    <definedName name="LINEAS" localSheetId="7">'TR-LITSA TRANSF. S.I.-12 (1)'!LINEAS</definedName>
    <definedName name="LINEAS" localSheetId="8">'TR-TIBA-12 (1)'!LINEAS</definedName>
    <definedName name="LINEAS">[0]!LINEAS</definedName>
    <definedName name="LINEASTI" localSheetId="2">'Incendio'!LINEASTI</definedName>
    <definedName name="LINEASTI" localSheetId="11">'SA-LITSA-12 (1)'!LINEASTI</definedName>
    <definedName name="LINEASTI" localSheetId="16">'SUP-LINSA'!LINEASTI</definedName>
    <definedName name="LINEASTI" localSheetId="15">'SUP-LITSA'!LINEASTI</definedName>
    <definedName name="LINEASTI" localSheetId="17">'SUP-LITSA ET S.I.'!LINEASTI</definedName>
    <definedName name="LINEASTI" localSheetId="18">'SUP-TIBA'!LINEASTI</definedName>
    <definedName name="LINEASTI" localSheetId="19">'SUP-YACYLEC'!LINEASTI</definedName>
    <definedName name="LINEASTI" localSheetId="6">'TR-LINSA-12 (1)'!LINEASTI</definedName>
    <definedName name="LINEASTI" localSheetId="7">'TR-LITSA TRANSF. S.I.-12 (1)'!LINEASTI</definedName>
    <definedName name="LINEASTI" localSheetId="8">'TR-TIBA-12 (1)'!LINEASTI</definedName>
    <definedName name="LINEASTI">[0]!LINEASTI</definedName>
    <definedName name="NAME_L" localSheetId="2">'Incendio'!NAME_L</definedName>
    <definedName name="NAME_L" localSheetId="11">'SA-LITSA-12 (1)'!NAME_L</definedName>
    <definedName name="NAME_L" localSheetId="16">'SUP-LINSA'!NAME_L</definedName>
    <definedName name="NAME_L" localSheetId="15">'SUP-LITSA'!NAME_L</definedName>
    <definedName name="NAME_L" localSheetId="17">'SUP-LITSA ET S.I.'!NAME_L</definedName>
    <definedName name="NAME_L" localSheetId="18">'SUP-TIBA'!NAME_L</definedName>
    <definedName name="NAME_L" localSheetId="19">'SUP-YACYLEC'!NAME_L</definedName>
    <definedName name="NAME_L" localSheetId="6">'TR-LINSA-12 (1)'!NAME_L</definedName>
    <definedName name="NAME_L" localSheetId="7">'TR-LITSA TRANSF. S.I.-12 (1)'!NAME_L</definedName>
    <definedName name="NAME_L" localSheetId="8">'TR-TIBA-12 (1)'!NAME_L</definedName>
    <definedName name="NAME_L">[0]!NAME_L</definedName>
    <definedName name="NAME_L_TI" localSheetId="2">'Incendio'!NAME_L_TI</definedName>
    <definedName name="NAME_L_TI" localSheetId="11">'SA-LITSA-12 (1)'!NAME_L_TI</definedName>
    <definedName name="NAME_L_TI" localSheetId="16">'SUP-LINSA'!NAME_L_TI</definedName>
    <definedName name="NAME_L_TI" localSheetId="15">'SUP-LITSA'!NAME_L_TI</definedName>
    <definedName name="NAME_L_TI" localSheetId="17">'SUP-LITSA ET S.I.'!NAME_L_TI</definedName>
    <definedName name="NAME_L_TI" localSheetId="18">'SUP-TIBA'!NAME_L_TI</definedName>
    <definedName name="NAME_L_TI" localSheetId="19">'SUP-YACYLEC'!NAME_L_TI</definedName>
    <definedName name="NAME_L_TI" localSheetId="6">'TR-LINSA-12 (1)'!NAME_L_TI</definedName>
    <definedName name="NAME_L_TI" localSheetId="7">'TR-LITSA TRANSF. S.I.-12 (1)'!NAME_L_TI</definedName>
    <definedName name="NAME_L_TI" localSheetId="8">'TR-TIBA-12 (1)'!NAME_L_TI</definedName>
    <definedName name="NAME_L_TI">[0]!NAME_L_TI</definedName>
    <definedName name="TRAN" localSheetId="2">'Incendio'!TRAN</definedName>
    <definedName name="TRAN" localSheetId="11">'SA-LITSA-12 (1)'!TRAN</definedName>
    <definedName name="TRAN" localSheetId="16">'SUP-LINSA'!TRAN</definedName>
    <definedName name="TRAN" localSheetId="15">'SUP-LITSA'!TRAN</definedName>
    <definedName name="TRAN" localSheetId="17">'SUP-LITSA ET S.I.'!TRAN</definedName>
    <definedName name="TRAN" localSheetId="18">'SUP-TIBA'!TRAN</definedName>
    <definedName name="TRAN" localSheetId="19">'SUP-YACYLEC'!TRAN</definedName>
    <definedName name="TRAN" localSheetId="6">'TR-LINSA-12 (1)'!TRAN</definedName>
    <definedName name="TRAN" localSheetId="7">'TR-LITSA TRANSF. S.I.-12 (1)'!TRAN</definedName>
    <definedName name="TRAN" localSheetId="8">'TR-TIBA-12 (1)'!TRAN</definedName>
    <definedName name="TRAN">[0]!TRAN</definedName>
    <definedName name="TRANSNOA" localSheetId="2">'Incendio'!TRANSNOA</definedName>
    <definedName name="TRANSNOA" localSheetId="11">'SA-LITSA-12 (1)'!TRANSNOA</definedName>
    <definedName name="TRANSNOA" localSheetId="16">'SUP-LINSA'!TRANSNOA</definedName>
    <definedName name="TRANSNOA" localSheetId="15">'SUP-LITSA'!TRANSNOA</definedName>
    <definedName name="TRANSNOA" localSheetId="17">'SUP-LITSA ET S.I.'!TRANSNOA</definedName>
    <definedName name="TRANSNOA" localSheetId="18">'SUP-TIBA'!TRANSNOA</definedName>
    <definedName name="TRANSNOA" localSheetId="19">'SUP-YACYLEC'!TRANSNOA</definedName>
    <definedName name="TRANSNOA" localSheetId="6">'TR-LINSA-12 (1)'!TRANSNOA</definedName>
    <definedName name="TRANSNOA" localSheetId="7">'TR-LITSA TRANSF. S.I.-12 (1)'!TRANSNOA</definedName>
    <definedName name="TRANSNOA" localSheetId="8">'TR-TIBA-12 (1)'!TRANSNOA</definedName>
    <definedName name="TRANSNOA">[0]!TRANSNOA</definedName>
    <definedName name="TRANSPA" localSheetId="2">'Incendio'!TRANSPA</definedName>
    <definedName name="TRANSPA" localSheetId="11">'SA-LITSA-12 (1)'!TRANSPA</definedName>
    <definedName name="TRANSPA" localSheetId="16">'SUP-LINSA'!TRANSPA</definedName>
    <definedName name="TRANSPA" localSheetId="15">'SUP-LITSA'!TRANSPA</definedName>
    <definedName name="TRANSPA" localSheetId="17">'SUP-LITSA ET S.I.'!TRANSPA</definedName>
    <definedName name="TRANSPA" localSheetId="18">'SUP-TIBA'!TRANSPA</definedName>
    <definedName name="TRANSPA" localSheetId="19">'SUP-YACYLEC'!TRANSPA</definedName>
    <definedName name="TRANSPA" localSheetId="6">'TR-LINSA-12 (1)'!TRANSPA</definedName>
    <definedName name="TRANSPA" localSheetId="7">'TR-LITSA TRANSF. S.I.-12 (1)'!TRANSPA</definedName>
    <definedName name="TRANSPA" localSheetId="8">'TR-TIBA-12 (1)'!TRANSPA</definedName>
    <definedName name="TRANSPA">[0]!TRANSPA</definedName>
    <definedName name="x" localSheetId="2">'Incendio'!x</definedName>
    <definedName name="x" localSheetId="11">'SA-LITSA-12 (1)'!x</definedName>
    <definedName name="x" localSheetId="16">'SUP-LINSA'!x</definedName>
    <definedName name="x" localSheetId="15">'SUP-LITSA'!x</definedName>
    <definedName name="x" localSheetId="17">'SUP-LITSA ET S.I.'!x</definedName>
    <definedName name="x" localSheetId="18">'SUP-TIBA'!x</definedName>
    <definedName name="x" localSheetId="19">'SUP-YACYLEC'!x</definedName>
    <definedName name="x" localSheetId="6">'TR-LINSA-12 (1)'!x</definedName>
    <definedName name="x" localSheetId="7">'TR-LITSA TRANSF. S.I.-12 (1)'!x</definedName>
    <definedName name="x" localSheetId="8">'TR-TIBA-12 (1)'!x</definedName>
    <definedName name="x">[0]!x</definedName>
    <definedName name="XX" localSheetId="2">'Incendio'!XX</definedName>
    <definedName name="XX" localSheetId="11">'SA-LITSA-12 (1)'!XX</definedName>
    <definedName name="XX" localSheetId="16">'SUP-LINSA'!XX</definedName>
    <definedName name="XX" localSheetId="15">'SUP-LITSA'!XX</definedName>
    <definedName name="XX" localSheetId="17">'SUP-LITSA ET S.I.'!XX</definedName>
    <definedName name="XX" localSheetId="18">'SUP-TIBA'!XX</definedName>
    <definedName name="XX" localSheetId="19">'SUP-YACYLEC'!XX</definedName>
    <definedName name="XX" localSheetId="6">'TR-LINSA-12 (1)'!XX</definedName>
    <definedName name="XX" localSheetId="7">'TR-LITSA TRANSF. S.I.-12 (1)'!XX</definedName>
    <definedName name="XX" localSheetId="8">'TR-TIBA-12 (1)'!XX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11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2"/>
          </rPr>
          <t>jmessina:</t>
        </r>
        <r>
          <rPr>
            <sz val="8"/>
            <rFont val="Tahoma"/>
            <family val="2"/>
          </rPr>
          <t xml:space="preserve">
39,254</t>
        </r>
      </text>
    </comment>
  </commentList>
</comments>
</file>

<file path=xl/comments16.xml><?xml version="1.0" encoding="utf-8"?>
<comments xmlns="http://schemas.openxmlformats.org/spreadsheetml/2006/main">
  <authors>
    <author>Ing. Juan Messina</author>
  </authors>
  <commentList>
    <comment ref="M73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7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17.xml><?xml version="1.0" encoding="utf-8"?>
<comments xmlns="http://schemas.openxmlformats.org/spreadsheetml/2006/main">
  <authors>
    <author>Ing. Juan Messina</author>
  </authors>
  <commentList>
    <comment ref="M7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1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2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5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6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7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18.xml><?xml version="1.0" encoding="utf-8"?>
<comments xmlns="http://schemas.openxmlformats.org/spreadsheetml/2006/main">
  <authors>
    <author>Ing. Juan Messina</author>
  </authors>
  <commentList>
    <comment ref="M6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sharedStrings.xml><?xml version="1.0" encoding="utf-8"?>
<sst xmlns="http://schemas.openxmlformats.org/spreadsheetml/2006/main" count="1746" uniqueCount="485">
  <si>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</si>
  <si>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</si>
  <si>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</si>
  <si>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</si>
  <si>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</si>
  <si>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</si>
  <si>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</si>
  <si>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</si>
  <si>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L.I.N.S.A.</t>
  </si>
  <si>
    <t>Transportista Independiente INTESAR S.A. 4</t>
  </si>
  <si>
    <t>2.-</t>
  </si>
  <si>
    <t>CONEXIÓN</t>
  </si>
  <si>
    <t>Transformación</t>
  </si>
  <si>
    <t>Transportista Independiente TIBA S.A.</t>
  </si>
  <si>
    <t>Salidas</t>
  </si>
  <si>
    <t>3.-</t>
  </si>
  <si>
    <t>POTENCIA REACTIVA</t>
  </si>
  <si>
    <t>4.-</t>
  </si>
  <si>
    <t>SUPERVISIÓN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</si>
  <si>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</si>
  <si>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</si>
  <si>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</si>
  <si>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</si>
  <si>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</si>
  <si>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</si>
  <si>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</si>
  <si>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</si>
  <si>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</si>
  <si>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</si>
  <si>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</si>
  <si>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</si>
  <si>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</si>
  <si>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</si>
  <si>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</si>
  <si>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</si>
  <si>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</si>
  <si>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</si>
  <si>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</si>
  <si>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</si>
  <si>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</si>
  <si>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</si>
  <si>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</si>
  <si>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</si>
  <si>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</si>
  <si>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</si>
  <si>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</si>
  <si>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</si>
  <si>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</si>
  <si>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PENALIZACION FORZADA
Por Salida      1ras 5 hs.     hs. Restantes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</si>
  <si>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</si>
  <si>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</si>
  <si>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</si>
  <si>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</si>
  <si>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</si>
  <si>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</si>
  <si>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</si>
  <si>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</si>
  <si>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</si>
  <si>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</si>
  <si>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</si>
  <si>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</si>
  <si>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TOTAL
PENALIZ.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</si>
  <si>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</si>
  <si>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</si>
  <si>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</si>
  <si>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</si>
  <si>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</si>
  <si>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</si>
  <si>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</si>
  <si>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</si>
  <si>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>-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</si>
  <si>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</si>
  <si>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</si>
  <si>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</si>
  <si>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</si>
  <si>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</si>
  <si>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</si>
  <si>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SI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</si>
  <si>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</si>
  <si>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</si>
  <si>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</si>
  <si>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</si>
  <si>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</si>
  <si>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</si>
  <si>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</si>
  <si>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</si>
  <si>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</si>
  <si>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</si>
  <si>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</si>
  <si>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</si>
  <si>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</si>
  <si>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</si>
  <si>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</si>
  <si>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</si>
  <si>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</si>
  <si>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</si>
  <si>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</si>
  <si>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</si>
  <si>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</si>
  <si>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</si>
  <si>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</si>
  <si>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</si>
  <si>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</si>
  <si>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</si>
  <si>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Tipo 
Sal.</t>
  </si>
  <si>
    <t>Rest %</t>
  </si>
  <si>
    <t>K (P;ENS)</t>
  </si>
  <si>
    <t>PENALIZAC. FORZADA
Por Salida    hs. Restantes</t>
  </si>
  <si>
    <t>REDUC PROGR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</si>
  <si>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</si>
  <si>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</si>
  <si>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</si>
  <si>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</si>
  <si>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</si>
  <si>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</si>
  <si>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</si>
  <si>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</si>
  <si>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</si>
  <si>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</t>
  </si>
  <si>
    <t>SANCIÓN =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</si>
  <si>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</si>
  <si>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</si>
  <si>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</si>
  <si>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</si>
  <si>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</si>
  <si>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</si>
  <si>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</si>
  <si>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</si>
  <si>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</si>
  <si>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E.T.</t>
  </si>
  <si>
    <t>SALIDA</t>
  </si>
  <si>
    <t>Rincón</t>
  </si>
  <si>
    <t>Ituzaingó, Ita Ibate, Virasoro</t>
  </si>
  <si>
    <t>TOTAL A PENALIZAR A TRANSENER S.A POR SUPERVISIÓN A LITSA</t>
  </si>
  <si>
    <t>500/132/33</t>
  </si>
  <si>
    <t xml:space="preserve">Salida en 500 kV en $/h </t>
  </si>
  <si>
    <t xml:space="preserve">Cargo por Transformador por MVA =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</si>
  <si>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</si>
  <si>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</si>
  <si>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</si>
  <si>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</si>
  <si>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</si>
  <si>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</si>
  <si>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</si>
  <si>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</si>
  <si>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</si>
  <si>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</si>
  <si>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 =</t>
  </si>
  <si>
    <t>TOTAL A PENALIZAR A TRANSENER S.A POR SUPERVISIÓN A TIBA</t>
  </si>
  <si>
    <t>500/132/13,2</t>
  </si>
  <si>
    <t>Mes</t>
  </si>
  <si>
    <t>Dia</t>
  </si>
  <si>
    <t>Año</t>
  </si>
  <si>
    <t>enero</t>
  </si>
  <si>
    <t>01</t>
  </si>
  <si>
    <t>febrero</t>
  </si>
  <si>
    <t>02</t>
  </si>
  <si>
    <t>marzo</t>
  </si>
  <si>
    <t>03</t>
  </si>
  <si>
    <t>abril</t>
  </si>
  <si>
    <t>04</t>
  </si>
  <si>
    <t>mayo</t>
  </si>
  <si>
    <t>05</t>
  </si>
  <si>
    <t>junio</t>
  </si>
  <si>
    <t>06</t>
  </si>
  <si>
    <t>julio</t>
  </si>
  <si>
    <t>07</t>
  </si>
  <si>
    <t>agosto</t>
  </si>
  <si>
    <t>08</t>
  </si>
  <si>
    <t>septiembre</t>
  </si>
  <si>
    <t>09</t>
  </si>
  <si>
    <t>octubre</t>
  </si>
  <si>
    <t>10</t>
  </si>
  <si>
    <t>noviembre</t>
  </si>
  <si>
    <t>11</t>
  </si>
  <si>
    <t>diciembre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</si>
  <si>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</si>
  <si>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</si>
  <si>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</si>
  <si>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</si>
  <si>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</si>
  <si>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</si>
  <si>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</si>
  <si>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</si>
  <si>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</si>
  <si>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</si>
  <si>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</si>
  <si>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</si>
  <si>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</si>
  <si>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</si>
  <si>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</si>
  <si>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</si>
  <si>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</si>
  <si>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</si>
  <si>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</si>
  <si>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</si>
  <si>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</si>
  <si>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</si>
  <si>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</si>
  <si>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</si>
  <si>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</si>
  <si>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</si>
  <si>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</si>
  <si>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</si>
  <si>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</si>
  <si>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</si>
  <si>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</si>
  <si>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</si>
  <si>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</si>
  <si>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TRANSENER_INDISPONIBILIDADES_LINEAS_TRANSENER.XLS</t>
  </si>
  <si>
    <t>MODELO L YACYLEC</t>
  </si>
  <si>
    <t>TRANSENER_INDISPONIBILIDADES_LINEAS_YACYLEC.XLS</t>
  </si>
  <si>
    <t>MODELO L LITSA</t>
  </si>
  <si>
    <t>TRANSENER_INDISPONIBILIDADES_LINEAS_LITSA.XLS</t>
  </si>
  <si>
    <t>MODELO L LITS2</t>
  </si>
  <si>
    <t>TRANSENER_INDISPONIBILIDADES_LINEAS_LITS2.XLS</t>
  </si>
  <si>
    <t>MODELO L LINSA</t>
  </si>
  <si>
    <t>TRANSENER_INDISPONIBILIDADES_LINEAS_LINSA.XLS</t>
  </si>
  <si>
    <t>MODELO L IV</t>
  </si>
  <si>
    <t>TRANSENER_INDISPONIBILIDADES_LINEAS_IV.XLS</t>
  </si>
  <si>
    <t>MODELO L INTESAR</t>
  </si>
  <si>
    <t>TRANSENER_INDISPONIBILIDADES_LINEAS_INTESAR.XLS</t>
  </si>
  <si>
    <t>MODELO L INTESA2</t>
  </si>
  <si>
    <t>TRANSENER_INDISPONIBILIDADES_LINEAS_INTESA2.XLS</t>
  </si>
  <si>
    <t>MODELO L INTESA3</t>
  </si>
  <si>
    <t>TRANSENER_INDISPONIBILIDADES_LINEAS_INTESA3.XLS</t>
  </si>
  <si>
    <t>MODELO L INTESA4</t>
  </si>
  <si>
    <t>TRANSENER_INDISPONIBILIDADES_LINEAS_INTESA4.XLS</t>
  </si>
  <si>
    <t>MODELO L CUYANA</t>
  </si>
  <si>
    <t>TRANSENER_INDISPONIBILIDADES_LINEAS_CUYANA.XLS</t>
  </si>
  <si>
    <t>MODELO L LIMSA</t>
  </si>
  <si>
    <t>TRANSENER_INDISPONIBILIDADES_LINEAS_LIMSA.XLS</t>
  </si>
  <si>
    <t>MODELO L RIOJA</t>
  </si>
  <si>
    <t>TRANSENER_INDISPONIBILIDADES_LINEAS_RIOJA.XLS</t>
  </si>
  <si>
    <t>MODELO T</t>
  </si>
  <si>
    <t>TRANSENER_INDISPONIBILIDADES_TRAFOS_TRANSENER.XLS</t>
  </si>
  <si>
    <t>MODELO T LITSA</t>
  </si>
  <si>
    <t>TRANSENER_INDISPONIBILIDADES_TRAFOS_LITSA.XLS</t>
  </si>
  <si>
    <t>MODELO T LITS2</t>
  </si>
  <si>
    <t>TRANSENER_INDISPONIBILIDADES_TRAFOS_LITS2.XLS</t>
  </si>
  <si>
    <t>MODELO T LINSA</t>
  </si>
  <si>
    <t>TRANSENER_INDISPONIBILIDADES_TRAFOS_LINSA.XLS</t>
  </si>
  <si>
    <t>MODELO T TIBA</t>
  </si>
  <si>
    <t>TRANSENER_INDISPONIBILIDADES_TRAFOS_TIBA.XLS</t>
  </si>
  <si>
    <t>MODELO T ENECOR</t>
  </si>
  <si>
    <t>TRANSENER_INDISPONIBILIDADES_TRAFOS_ENECOR.XLS</t>
  </si>
  <si>
    <t>MODELO T INTESAR</t>
  </si>
  <si>
    <t>TRANSENER_INDISPONIBILIDADES_TRAFOS_INTESAR.XLS</t>
  </si>
  <si>
    <t>MODELO T INTESA3</t>
  </si>
  <si>
    <t>TRANSENER_INDISPONIBILIDADES_TRAFOS_INTESA3.XLS</t>
  </si>
  <si>
    <t>MODELO T INTESA4</t>
  </si>
  <si>
    <t>TRANSENER_INDISPONIBILIDADES_TRAFOS_INTESA4.XLS</t>
  </si>
  <si>
    <t>MODELO T LIMSA</t>
  </si>
  <si>
    <t>TRANSENER_INDISPONIBILIDADES_TRAFOS_LIMSA.XLS</t>
  </si>
  <si>
    <t>MODELO T CUYANA</t>
  </si>
  <si>
    <t>TRANSENER_INDISPONIBILIDADES_TRAFOS_CUYANA.XLS</t>
  </si>
  <si>
    <t>MODELO T COBRA</t>
  </si>
  <si>
    <t>TRANSENER_INDISPONIBILIDADES_TRAFOS_COBRA.XLS</t>
  </si>
  <si>
    <t>MODELO S</t>
  </si>
  <si>
    <t>TRANSENER_INDISPONIBILIDADES_SALIDAS_TRANSENER.XLS</t>
  </si>
  <si>
    <t>MODELO S TIBA</t>
  </si>
  <si>
    <t>TRANSENER_INDISPONIBILIDADES_SALIDAS_TIBA.XLS</t>
  </si>
  <si>
    <t>MODELO S ENECOR</t>
  </si>
  <si>
    <t>TRANSENER_INDISPONIBILIDADES_SALIDAS_ENECOR.XLS</t>
  </si>
  <si>
    <t>MODELO S INTESA3</t>
  </si>
  <si>
    <t>TRANSENER_INDISPONIBILIDADES_SALIDAS_INTESA3.XLS</t>
  </si>
  <si>
    <t>MODELO S INTESA4</t>
  </si>
  <si>
    <t>TRANSENER_INDISPONIBILIDADES_SALIDAS_INTESA4.XLS</t>
  </si>
  <si>
    <t>MODELO S TESA</t>
  </si>
  <si>
    <t>TRANSENER_INDISPONIBILIDADES_SALIDAS_TESA.XLS</t>
  </si>
  <si>
    <t>MODELO S CTM</t>
  </si>
  <si>
    <t>TRANSENER_INDISPONIBILIDADES_SALIDAS_CTM.XLS</t>
  </si>
  <si>
    <t>MODELO S LIMSA</t>
  </si>
  <si>
    <t>TRANSENER_INDISPONIBILIDADES_SALIDAS_LIMSA.XLS</t>
  </si>
  <si>
    <t>MODELO S LITSA</t>
  </si>
  <si>
    <t>TRANSENER_INDISPONIBILIDADES_SALIDAS_LITSA.XLS</t>
  </si>
  <si>
    <t>MODELO S LITS2</t>
  </si>
  <si>
    <t>TRANSENER_INDISPONIBILIDADES_SALIDAS_LITS2.XLS</t>
  </si>
  <si>
    <t>MODELO S LINSA</t>
  </si>
  <si>
    <t>TRANSENER_INDISPONIBILIDADES_SALIDAS_LINSA.XLS</t>
  </si>
  <si>
    <t>MODELO R</t>
  </si>
  <si>
    <t>TRANSENER_INDISPONIBILIDADES_REACTIVOS_TRANSENER.XLS</t>
  </si>
  <si>
    <t>MODELO R YACYLEC</t>
  </si>
  <si>
    <t>TRANSENER_INDISPONIBILIDADES_REACTIVOS_YACYLEC.XLS</t>
  </si>
  <si>
    <t>MODELO R INTESAR</t>
  </si>
  <si>
    <t>TRANSENER_INDISPONIBILIDADES_REACTIVOS_INTESAR.XLS</t>
  </si>
  <si>
    <t>MODELO R INTESA2</t>
  </si>
  <si>
    <t>TRANSENER_INDISPONIBILIDADES_REACTIVOS_INTESA2.XLS</t>
  </si>
  <si>
    <t>MODELO R INTESA4</t>
  </si>
  <si>
    <t>TRANSENER_INDISPONIBILIDADES_REACTIVOS_INTESA4.XLS</t>
  </si>
  <si>
    <t>MODELO R LITSA</t>
  </si>
  <si>
    <t>TRANSENER_INDISPONIBILIDADES_REACTIVOS_LITSA.XLS</t>
  </si>
  <si>
    <t>MODELO R LITS2</t>
  </si>
  <si>
    <t>TRANSENER_INDISPONIBILIDADES_REACTIVOS_LITS2.XLS</t>
  </si>
  <si>
    <t>MODELO R LINSA</t>
  </si>
  <si>
    <t>TRANSENER_INDISPONIBILIDADES_REACTIVOS_LINSA.XLS</t>
  </si>
  <si>
    <t>MODELO R IV</t>
  </si>
  <si>
    <t>TRANSENER_INDISPONIBILIDADES_REACTIVOS_IV.XLS</t>
  </si>
  <si>
    <t>MODELO R LIMSA</t>
  </si>
  <si>
    <t>TRANSENER_INDISPONIBILIDADES_REACTIVOS_LIMSA.XLS</t>
  </si>
  <si>
    <t>SUP-YACYLEC</t>
  </si>
  <si>
    <t>SUP-LITSA</t>
  </si>
  <si>
    <t>SUP-LITS2</t>
  </si>
  <si>
    <t>SUP-TIBA</t>
  </si>
  <si>
    <t>SUP-ENECOR</t>
  </si>
  <si>
    <t>SUP-TESA</t>
  </si>
  <si>
    <t>SUP-CTM</t>
  </si>
  <si>
    <t>SUP-INTESAR</t>
  </si>
  <si>
    <t>SUP-INTESA2</t>
  </si>
  <si>
    <t>TRANSENER_INDISPONIBILIDADES_TRAFOS_INTESA2.XLS</t>
  </si>
  <si>
    <t>SUP-INTESA3</t>
  </si>
  <si>
    <t>SUP-INTESA4</t>
  </si>
  <si>
    <t>SUP-CUYANA</t>
  </si>
  <si>
    <t>SUP-LIMSA</t>
  </si>
  <si>
    <t>SUP-LINSA</t>
  </si>
  <si>
    <t>SUP-RIOJA</t>
  </si>
  <si>
    <t>SUP-COBRA</t>
  </si>
  <si>
    <t>MODELO VST</t>
  </si>
  <si>
    <t>TRANSENER_CAUSAS_VST.XLS</t>
  </si>
  <si>
    <t>DAG</t>
  </si>
  <si>
    <t>TRANSENER_INDISPONIBILIDADES_DAG.XLS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</si>
  <si>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</si>
  <si>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</si>
  <si>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</si>
  <si>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</si>
  <si>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</si>
  <si>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</si>
  <si>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</si>
  <si>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</si>
  <si>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</si>
  <si>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</si>
  <si>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</si>
  <si>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P</t>
  </si>
  <si>
    <t>C</t>
  </si>
  <si>
    <t>A</t>
  </si>
  <si>
    <t>F</t>
  </si>
  <si>
    <t>B</t>
  </si>
  <si>
    <t>RESISTENCIA - P. DE LA PATRIA</t>
  </si>
  <si>
    <t>SANTO TOME</t>
  </si>
  <si>
    <t>TRAFO 3</t>
  </si>
  <si>
    <t>ROSARIO OESTE</t>
  </si>
  <si>
    <t>TRAFO 2</t>
  </si>
  <si>
    <t>ALMAFUERTE</t>
  </si>
  <si>
    <t>SALIDA LINEA ROSARIO SUR 3</t>
  </si>
  <si>
    <t>OLAVARRIA</t>
  </si>
  <si>
    <t>RAMALLO</t>
  </si>
  <si>
    <t>RECREO</t>
  </si>
  <si>
    <t>BAHIA BLANCA</t>
  </si>
  <si>
    <t xml:space="preserve">EZEIZA </t>
  </si>
  <si>
    <t>CS1</t>
  </si>
  <si>
    <t>CS4</t>
  </si>
  <si>
    <t>CS6</t>
  </si>
  <si>
    <t>CS5</t>
  </si>
  <si>
    <t>RINCON</t>
  </si>
  <si>
    <t>Transportista Independiente L.I.T.S.A.</t>
  </si>
  <si>
    <t>1.2.-</t>
  </si>
  <si>
    <t>1.2.- Transportista Independiente INTESAR S.A. 4</t>
  </si>
  <si>
    <t>Por Transformador por cada MVA  $   =</t>
  </si>
  <si>
    <t>SALTO GRANDE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</si>
  <si>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</si>
  <si>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 - </t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</si>
  <si>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</si>
  <si>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t>NO</t>
  </si>
  <si>
    <t>F - FORZADA</t>
  </si>
  <si>
    <t>EL BRACHO - COBOS</t>
  </si>
  <si>
    <t>P - PROGRAMADA</t>
  </si>
  <si>
    <t>P - PROGRAMADA  ; F - FORZADA</t>
  </si>
  <si>
    <t>TRAFO 1</t>
  </si>
  <si>
    <t>Por Transformador por cada MVA  $ =</t>
  </si>
  <si>
    <t>GRAN FORMOSA</t>
  </si>
  <si>
    <t>R9L5RI</t>
  </si>
  <si>
    <t>4.1.- Transportista Independiente L.I.T.S.A.</t>
  </si>
  <si>
    <t>Salida a campos 8 y 12</t>
  </si>
  <si>
    <t>4.2.- Transportista Independiente LINSA  (Gran Formosa - Resistencia  - M. Quemado)</t>
  </si>
  <si>
    <t xml:space="preserve"> Resistencia - Gran Formosa</t>
  </si>
  <si>
    <t>Chaco - Resistencia</t>
  </si>
  <si>
    <t>Monte Quemado - Chaco</t>
  </si>
  <si>
    <t>G.Formosa - Trafo 1</t>
  </si>
  <si>
    <t>Chaco - Trafo 1</t>
  </si>
  <si>
    <t>Monte Quemado</t>
  </si>
  <si>
    <t>Gran Formosa</t>
  </si>
  <si>
    <t>Pirane</t>
  </si>
  <si>
    <t>Clorinda 1</t>
  </si>
  <si>
    <t>Clorinda 2</t>
  </si>
  <si>
    <t>Formosa 1</t>
  </si>
  <si>
    <t>Formosa 2</t>
  </si>
  <si>
    <t>Chaco</t>
  </si>
  <si>
    <t>Charata</t>
  </si>
  <si>
    <t>Presidencia R.S. Peña</t>
  </si>
  <si>
    <t>monte Quemado</t>
  </si>
  <si>
    <t>Copo</t>
  </si>
  <si>
    <t>RM  =</t>
  </si>
  <si>
    <t>RM * =</t>
  </si>
  <si>
    <r>
      <t xml:space="preserve">RM * </t>
    </r>
    <r>
      <rPr>
        <sz val="14"/>
        <rFont val="Times New Roman"/>
        <family val="1"/>
      </rPr>
      <t xml:space="preserve">= VALOR EMPLEADO PARA CALCULAR </t>
    </r>
    <r>
      <rPr>
        <b/>
        <sz val="14"/>
        <rFont val="Times New Roman"/>
        <family val="1"/>
      </rPr>
      <t>CS</t>
    </r>
  </si>
  <si>
    <t>4.4.- Transportista Independiente  TIBA S.A.</t>
  </si>
  <si>
    <t>RM: Por Capacitores ET  B. Blanca:</t>
  </si>
  <si>
    <t>100 MVAr</t>
  </si>
  <si>
    <t>RM *  =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</si>
  <si>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</si>
  <si>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4.5.- Transportista Independiente YACYLEC S.A.</t>
  </si>
  <si>
    <t>Remuneración LÍNEAS 500 kV   =</t>
  </si>
  <si>
    <t>Remuneración SALIDAS 500 kV =</t>
  </si>
  <si>
    <t>Remuneración REACTIVOS    =</t>
  </si>
  <si>
    <t>Coeficiente de penalización forzada=</t>
  </si>
  <si>
    <t>Resistencia</t>
  </si>
  <si>
    <t>Yacyretá</t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</si>
  <si>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</si>
  <si>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>R. OESTE</t>
  </si>
  <si>
    <t>R2L5RO</t>
  </si>
  <si>
    <t>R1L5AM</t>
  </si>
  <si>
    <t>MALVINAS</t>
  </si>
  <si>
    <t>RESISTENCIA</t>
  </si>
  <si>
    <t>220/132/13,2</t>
  </si>
  <si>
    <t>POT. [MVAr]</t>
  </si>
  <si>
    <r>
      <t>RM</t>
    </r>
    <r>
      <rPr>
        <sz val="12"/>
        <rFont val="Times New Roman"/>
        <family val="1"/>
      </rPr>
      <t xml:space="preserve"> por Reactivos</t>
    </r>
  </si>
  <si>
    <t>Salto Gde.Arg.</t>
  </si>
  <si>
    <t>Transp. Indep. L.I.T.S.A. TRANSF. ET S. ISIDRO</t>
  </si>
  <si>
    <t>Transp. Indep. L.I.T.S.A. TRANSF. E.T. SAN ISIDRO</t>
  </si>
  <si>
    <t>SAN ISIDRO</t>
  </si>
  <si>
    <t>SALIDA 3 PETROQUIMICA</t>
  </si>
  <si>
    <t>SALIDA A HENDERSON</t>
  </si>
  <si>
    <t>SALIDA A BARKER</t>
  </si>
  <si>
    <t>SALIDA 2 PETROQUÍMICA</t>
  </si>
  <si>
    <t>SALIDA 1 PETROQUIMICA</t>
  </si>
  <si>
    <t>K2OL (CAP SERIE)</t>
  </si>
  <si>
    <t>K1OL (CAP SERIE)</t>
  </si>
  <si>
    <t>PUELCHES</t>
  </si>
  <si>
    <t>R4L5PU</t>
  </si>
  <si>
    <t>SALIDA ITA - BATE</t>
  </si>
  <si>
    <t>CHOCON - PUELCHES</t>
  </si>
  <si>
    <t>ROSARIO OESTE - RAMALLO 1</t>
  </si>
  <si>
    <t>SANTO TOME - ROMANG</t>
  </si>
  <si>
    <t>ABASTO - EZEIZA   2</t>
  </si>
  <si>
    <t>CAMPANA - COLONIA ELIA</t>
  </si>
  <si>
    <t>SANTO TOME - SALTO GRANDE AR.</t>
  </si>
  <si>
    <t>SANTO TOME - GRAN PARANA</t>
  </si>
  <si>
    <t>GRAN PARANA - SALTO GRANDE AR.</t>
  </si>
  <si>
    <t>CHOCON - C.H. CHOCON   3</t>
  </si>
  <si>
    <t>ALMAFUERTE - MALVINAS</t>
  </si>
  <si>
    <t>R. OESTE - RIO CORONDA</t>
  </si>
  <si>
    <t>BAHIA BLANCA - GUILLERMO BROWN   2</t>
  </si>
  <si>
    <t>ROSARIO OESTE - RIO CORONDA</t>
  </si>
  <si>
    <t>CHOELE CHOEL - GUILLERMO BROWN</t>
  </si>
  <si>
    <t>RIO CORONDA - SANTO TOME</t>
  </si>
  <si>
    <t>EZEIZA</t>
  </si>
  <si>
    <t>500/220/132</t>
  </si>
  <si>
    <t>TRAFO 5</t>
  </si>
  <si>
    <t>TRAFO 6</t>
  </si>
  <si>
    <t>MERCADO ABASTO</t>
  </si>
  <si>
    <t>GRAN MENDOZA</t>
  </si>
  <si>
    <t>SALIDA LOS REYUNOS</t>
  </si>
  <si>
    <t>ACOPL. BARRAS B-D</t>
  </si>
  <si>
    <t>SALIDA RAMALLO IND.</t>
  </si>
  <si>
    <t>SALIDA ROSARIO SUR   2</t>
  </si>
  <si>
    <t>SALIDA GODOY</t>
  </si>
  <si>
    <t>SALIDA CATAMARCA</t>
  </si>
  <si>
    <t>SALIDA 2 A LA RIOJA</t>
  </si>
  <si>
    <t>SALIDA 1 CRUZ DE PIEDRA</t>
  </si>
  <si>
    <t>SALIDA 2 CRUZ DE PIEDRA</t>
  </si>
  <si>
    <t>ABASTO</t>
  </si>
  <si>
    <t>SALIDA TRAFO 1</t>
  </si>
  <si>
    <t>SALIDA 2 A RESISTENCIA</t>
  </si>
  <si>
    <t>LUJAN</t>
  </si>
  <si>
    <t>SALIDA 1 SAN LUIS</t>
  </si>
  <si>
    <t>ALICURA</t>
  </si>
  <si>
    <t>SALIDA TRAFO 2 MAQUINA</t>
  </si>
  <si>
    <t>SALIDA C. GOMEZ</t>
  </si>
  <si>
    <t>NUEVA CAMPANA</t>
  </si>
  <si>
    <t>SALIDA ITA-BATE</t>
  </si>
  <si>
    <t>(DTE 1215)</t>
  </si>
  <si>
    <t>San Isidro - TR01 y TR02</t>
  </si>
  <si>
    <t>TOTAL A PENALIZAR A TRANSENER S.A POR SUPERVISIÓN A LITSA TRANSF. ET SAN ISIDRO</t>
  </si>
  <si>
    <t>4.3.- Transportista Independiente L.I.T.S.A. TRANSF. ET SAN ISIDRO</t>
  </si>
  <si>
    <t>2.1.2.- Transportista Independiente LINSA (G. Formosa - Resistencia)</t>
  </si>
  <si>
    <t>2.1.3.- Transportista Independiente LITSA -TRANSF. E.T. SAN ISIDRO</t>
  </si>
  <si>
    <t>2.1.4.- Transportista Independiente TIBA S.A.</t>
  </si>
  <si>
    <t xml:space="preserve"> 2.2.2.- Transportista Independiente LITSA</t>
  </si>
  <si>
    <t xml:space="preserve"> 2.2.3.- Transportista Independiente TIBA S.A.</t>
  </si>
  <si>
    <t>3.2.-  Transportista Independiente YACYLEC S.A.</t>
  </si>
  <si>
    <t>P - PROGRAMADA  ; F -FORZADA</t>
  </si>
  <si>
    <t>TOTAL DE PENALIZACIONES A APLICAR</t>
  </si>
  <si>
    <t>1.1.1.- Incendio de Campos - Aplicación Punto 6.1.6 del Acta Acuerdo</t>
  </si>
  <si>
    <t>Valores remuneratorios según Acuerdo SEE-ENRE-TRANSENER - 2016-2017 y Acuerdo SEE-ENRE-TRANSBA - 2016-2017</t>
  </si>
  <si>
    <t>1.1.1.- Incendio</t>
  </si>
  <si>
    <t>ANEXO I al Memorándum D.T.E.E. N°  231  / 2017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</si>
</sst>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&quot;$&quot;\ #,##0.000;&quot;$&quot;\ \-#,##0.000"/>
    <numFmt numFmtId="180" formatCode="#,##0.0"/>
    <numFmt numFmtId="181" formatCode="0.000_)"/>
    <numFmt numFmtId="182" formatCode="0.000"/>
    <numFmt numFmtId="183" formatCode="0.0\ \k\V"/>
    <numFmt numFmtId="184" formatCode="0.00\ &quot;km&quot;"/>
    <numFmt numFmtId="185" formatCode="0.00\ &quot;MVA&quot;"/>
    <numFmt numFmtId="186" formatCode="dd/mm/yy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\-yyyy"/>
    <numFmt numFmtId="204" formatCode="&quot;$&quot;\ #,##0.0;&quot;$&quot;\ \-#,##0.0"/>
    <numFmt numFmtId="205" formatCode="&quot;$&quot;\ #,##0.0000;&quot;$&quot;\ \-#,##0.0000"/>
    <numFmt numFmtId="206" formatCode="&quot;$&quot;\ #,##0.00000;&quot;$&quot;\ \-#,##0.00000"/>
    <numFmt numFmtId="207" formatCode="&quot;$&quot;\ #,##0.000000;&quot;$&quot;\ \-#,##0.000000"/>
    <numFmt numFmtId="208" formatCode="&quot;$&quot;#,##0.0;&quot;$&quot;\-#,##0.0"/>
    <numFmt numFmtId="209" formatCode="&quot;$&quot;#,##0;&quot;$&quot;\-#,##0"/>
    <numFmt numFmtId="210" formatCode="&quot;$&quot;\ #,##0.0000000;&quot;$&quot;\ \-#,##0.000000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d\-m"/>
    <numFmt numFmtId="215" formatCode="dd/mm/\a\a\a\a\ hh:\n\n"/>
    <numFmt numFmtId="216" formatCode="d\-m\-yy\ h:mm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sz val="11"/>
      <color indexed="13"/>
      <name val="Times New Roman"/>
      <family val="1"/>
    </font>
    <font>
      <b/>
      <sz val="10"/>
      <name val="MS Sans Serif"/>
      <family val="2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Wingdings"/>
      <family val="0"/>
    </font>
    <font>
      <sz val="9"/>
      <name val="Courier New"/>
      <family val="3"/>
    </font>
    <font>
      <b/>
      <i/>
      <u val="single"/>
      <sz val="12"/>
      <name val="Arial"/>
      <family val="2"/>
    </font>
    <font>
      <b/>
      <sz val="12"/>
      <color indexed="9"/>
      <name val="Times New Roman"/>
      <family val="1"/>
    </font>
    <font>
      <b/>
      <sz val="12"/>
      <color indexed="34"/>
      <name val="Times New Roman"/>
      <family val="1"/>
    </font>
    <font>
      <b/>
      <sz val="10"/>
      <color indexed="48"/>
      <name val="Times New Roman"/>
      <family val="1"/>
    </font>
    <font>
      <sz val="12"/>
      <name val="MS Sans Serif"/>
      <family val="2"/>
    </font>
    <font>
      <sz val="14"/>
      <name val="MS Sans Serif"/>
      <family val="2"/>
    </font>
    <font>
      <b/>
      <sz val="14"/>
      <color indexed="8"/>
      <name val="Times New Roman"/>
      <family val="1"/>
    </font>
    <font>
      <b/>
      <sz val="12"/>
      <color indexed="48"/>
      <name val="Times New Roman"/>
      <family val="1"/>
    </font>
    <font>
      <sz val="9"/>
      <name val="Arial"/>
      <family val="2"/>
    </font>
    <font>
      <sz val="12"/>
      <name val="Cambria"/>
      <family val="1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8" fillId="20" borderId="0" applyNumberFormat="0" applyBorder="0" applyAlignment="0" applyProtection="0"/>
    <xf numFmtId="0" fontId="139" fillId="21" borderId="1" applyNumberFormat="0" applyAlignment="0" applyProtection="0"/>
    <xf numFmtId="0" fontId="140" fillId="22" borderId="2" applyNumberFormat="0" applyAlignment="0" applyProtection="0"/>
    <xf numFmtId="0" fontId="141" fillId="0" borderId="3" applyNumberFormat="0" applyFill="0" applyAlignment="0" applyProtection="0"/>
    <xf numFmtId="0" fontId="102" fillId="0" borderId="4" applyNumberFormat="0" applyFill="0" applyAlignment="0" applyProtection="0"/>
    <xf numFmtId="0" fontId="142" fillId="0" borderId="0" applyNumberFormat="0" applyFill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7" fillId="26" borderId="0" applyNumberFormat="0" applyBorder="0" applyAlignment="0" applyProtection="0"/>
    <xf numFmtId="0" fontId="137" fillId="27" borderId="0" applyNumberFormat="0" applyBorder="0" applyAlignment="0" applyProtection="0"/>
    <xf numFmtId="0" fontId="137" fillId="28" borderId="0" applyNumberFormat="0" applyBorder="0" applyAlignment="0" applyProtection="0"/>
    <xf numFmtId="0" fontId="1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4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46" fillId="21" borderId="6" applyNumberFormat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7" applyNumberFormat="0" applyFill="0" applyAlignment="0" applyProtection="0"/>
    <xf numFmtId="0" fontId="151" fillId="0" borderId="8" applyNumberFormat="0" applyFill="0" applyAlignment="0" applyProtection="0"/>
    <xf numFmtId="0" fontId="142" fillId="0" borderId="9" applyNumberFormat="0" applyFill="0" applyAlignment="0" applyProtection="0"/>
    <xf numFmtId="0" fontId="152" fillId="0" borderId="10" applyNumberFormat="0" applyFill="0" applyAlignment="0" applyProtection="0"/>
  </cellStyleXfs>
  <cellXfs count="2965">
    <xf numFmtId="0" fontId="0" fillId="0" borderId="0" xfId="0" applyAlignment="1">
      <alignment/>
    </xf>
    <xf numFmtId="0" fontId="8" fillId="0" borderId="0" xfId="72" applyFont="1" quotePrefix="1">
      <alignment/>
      <protection/>
    </xf>
    <xf numFmtId="0" fontId="9" fillId="0" borderId="0" xfId="72" applyFont="1" applyAlignment="1">
      <alignment horizontal="centerContinuous"/>
      <protection/>
    </xf>
    <xf numFmtId="0" fontId="8" fillId="0" borderId="0" xfId="72" applyFont="1">
      <alignment/>
      <protection/>
    </xf>
    <xf numFmtId="0" fontId="10" fillId="0" borderId="0" xfId="72" applyFont="1" applyBorder="1">
      <alignment/>
      <protection/>
    </xf>
    <xf numFmtId="0" fontId="11" fillId="0" borderId="0" xfId="72" applyFont="1" applyAlignment="1">
      <alignment horizontal="right" vertical="top"/>
      <protection/>
    </xf>
    <xf numFmtId="0" fontId="12" fillId="0" borderId="0" xfId="72" applyFont="1" applyAlignment="1">
      <alignment horizontal="centerContinuous"/>
      <protection/>
    </xf>
    <xf numFmtId="0" fontId="8" fillId="0" borderId="0" xfId="72" applyFont="1" applyAlignment="1">
      <alignment horizontal="centerContinuous"/>
      <protection/>
    </xf>
    <xf numFmtId="0" fontId="13" fillId="0" borderId="0" xfId="72" applyFont="1">
      <alignment/>
      <protection/>
    </xf>
    <xf numFmtId="0" fontId="3" fillId="0" borderId="0" xfId="72">
      <alignment/>
      <protection/>
    </xf>
    <xf numFmtId="0" fontId="13" fillId="0" borderId="0" xfId="72" applyFont="1" applyAlignment="1">
      <alignment horizontal="centerContinuous"/>
      <protection/>
    </xf>
    <xf numFmtId="0" fontId="13" fillId="0" borderId="0" xfId="72" applyFont="1" applyBorder="1">
      <alignment/>
      <protection/>
    </xf>
    <xf numFmtId="0" fontId="6" fillId="0" borderId="0" xfId="72" applyFont="1" applyFill="1" applyBorder="1" applyAlignment="1" applyProtection="1">
      <alignment horizontal="centerContinuous"/>
      <protection/>
    </xf>
    <xf numFmtId="0" fontId="14" fillId="0" borderId="0" xfId="72" applyNumberFormat="1" applyFont="1" applyAlignment="1">
      <alignment horizontal="left"/>
      <protection/>
    </xf>
    <xf numFmtId="0" fontId="14" fillId="0" borderId="0" xfId="72" applyFont="1">
      <alignment/>
      <protection/>
    </xf>
    <xf numFmtId="0" fontId="14" fillId="0" borderId="0" xfId="72" applyFont="1" applyBorder="1">
      <alignment/>
      <protection/>
    </xf>
    <xf numFmtId="0" fontId="15" fillId="0" borderId="0" xfId="72" applyFont="1" applyFill="1" applyBorder="1" applyAlignment="1" applyProtection="1">
      <alignment horizontal="left"/>
      <protection/>
    </xf>
    <xf numFmtId="0" fontId="8" fillId="0" borderId="0" xfId="72" applyFont="1" applyBorder="1">
      <alignment/>
      <protection/>
    </xf>
    <xf numFmtId="0" fontId="16" fillId="0" borderId="0" xfId="72" applyFont="1">
      <alignment/>
      <protection/>
    </xf>
    <xf numFmtId="0" fontId="17" fillId="0" borderId="0" xfId="72" applyFont="1" applyBorder="1" applyAlignment="1">
      <alignment horizontal="centerContinuous"/>
      <protection/>
    </xf>
    <xf numFmtId="0" fontId="18" fillId="0" borderId="0" xfId="72" applyFont="1" applyAlignment="1">
      <alignment horizontal="centerContinuous"/>
      <protection/>
    </xf>
    <xf numFmtId="0" fontId="16" fillId="0" borderId="0" xfId="72" applyFont="1" applyAlignment="1">
      <alignment horizontal="centerContinuous"/>
      <protection/>
    </xf>
    <xf numFmtId="0" fontId="16" fillId="0" borderId="0" xfId="72" applyFont="1" applyBorder="1" applyAlignment="1">
      <alignment horizontal="centerContinuous"/>
      <protection/>
    </xf>
    <xf numFmtId="0" fontId="16" fillId="0" borderId="0" xfId="72" applyFont="1" applyBorder="1">
      <alignment/>
      <protection/>
    </xf>
    <xf numFmtId="0" fontId="19" fillId="0" borderId="0" xfId="72" applyFont="1">
      <alignment/>
      <protection/>
    </xf>
    <xf numFmtId="0" fontId="3" fillId="0" borderId="0" xfId="72" applyAlignment="1">
      <alignment horizontal="centerContinuous"/>
      <protection/>
    </xf>
    <xf numFmtId="0" fontId="20" fillId="0" borderId="0" xfId="72" applyFont="1" applyAlignment="1">
      <alignment horizontal="centerContinuous"/>
      <protection/>
    </xf>
    <xf numFmtId="0" fontId="21" fillId="0" borderId="0" xfId="72" applyFont="1">
      <alignment/>
      <protection/>
    </xf>
    <xf numFmtId="0" fontId="22" fillId="0" borderId="0" xfId="72" applyFont="1" applyBorder="1">
      <alignment/>
      <protection/>
    </xf>
    <xf numFmtId="0" fontId="21" fillId="0" borderId="0" xfId="72" applyFont="1" applyBorder="1">
      <alignment/>
      <protection/>
    </xf>
    <xf numFmtId="0" fontId="21" fillId="0" borderId="11" xfId="72" applyFont="1" applyBorder="1">
      <alignment/>
      <protection/>
    </xf>
    <xf numFmtId="0" fontId="21" fillId="0" borderId="12" xfId="72" applyFont="1" applyBorder="1">
      <alignment/>
      <protection/>
    </xf>
    <xf numFmtId="190" fontId="21" fillId="0" borderId="12" xfId="72" applyNumberFormat="1" applyFont="1" applyBorder="1">
      <alignment/>
      <protection/>
    </xf>
    <xf numFmtId="0" fontId="21" fillId="0" borderId="13" xfId="72" applyFont="1" applyBorder="1">
      <alignment/>
      <protection/>
    </xf>
    <xf numFmtId="0" fontId="23" fillId="0" borderId="0" xfId="72" applyFont="1">
      <alignment/>
      <protection/>
    </xf>
    <xf numFmtId="0" fontId="24" fillId="0" borderId="14" xfId="72" applyFont="1" applyBorder="1" applyAlignment="1">
      <alignment horizontal="centerContinuous"/>
      <protection/>
    </xf>
    <xf numFmtId="0" fontId="3" fillId="0" borderId="0" xfId="72" applyNumberFormat="1" applyAlignment="1">
      <alignment horizontal="centerContinuous"/>
      <protection/>
    </xf>
    <xf numFmtId="0" fontId="23" fillId="0" borderId="0" xfId="72" applyNumberFormat="1" applyFont="1" applyAlignment="1">
      <alignment horizontal="centerContinuous"/>
      <protection/>
    </xf>
    <xf numFmtId="190" fontId="24" fillId="0" borderId="0" xfId="72" applyNumberFormat="1" applyFont="1" applyBorder="1" applyAlignment="1">
      <alignment horizontal="centerContinuous"/>
      <protection/>
    </xf>
    <xf numFmtId="0" fontId="24" fillId="0" borderId="0" xfId="72" applyFont="1" applyBorder="1" applyAlignment="1">
      <alignment horizontal="centerContinuous"/>
      <protection/>
    </xf>
    <xf numFmtId="0" fontId="23" fillId="0" borderId="0" xfId="72" applyFont="1" applyBorder="1" applyAlignment="1">
      <alignment horizontal="centerContinuous"/>
      <protection/>
    </xf>
    <xf numFmtId="0" fontId="23" fillId="0" borderId="15" xfId="72" applyFont="1" applyBorder="1" applyAlignment="1">
      <alignment horizontal="centerContinuous"/>
      <protection/>
    </xf>
    <xf numFmtId="0" fontId="23" fillId="0" borderId="0" xfId="72" applyFont="1" applyBorder="1">
      <alignment/>
      <protection/>
    </xf>
    <xf numFmtId="0" fontId="23" fillId="0" borderId="14" xfId="72" applyFont="1" applyBorder="1">
      <alignment/>
      <protection/>
    </xf>
    <xf numFmtId="0" fontId="10" fillId="0" borderId="0" xfId="72" applyNumberFormat="1" applyFont="1" applyBorder="1" applyAlignment="1">
      <alignment horizontal="right"/>
      <protection/>
    </xf>
    <xf numFmtId="189" fontId="10" fillId="0" borderId="0" xfId="72" applyNumberFormat="1" applyFont="1" applyBorder="1" applyAlignment="1">
      <alignment horizontal="right"/>
      <protection/>
    </xf>
    <xf numFmtId="190" fontId="23" fillId="0" borderId="0" xfId="72" applyNumberFormat="1" applyFont="1" applyBorder="1">
      <alignment/>
      <protection/>
    </xf>
    <xf numFmtId="0" fontId="24" fillId="0" borderId="0" xfId="72" applyFont="1" applyBorder="1">
      <alignment/>
      <protection/>
    </xf>
    <xf numFmtId="0" fontId="23" fillId="0" borderId="15" xfId="72" applyFont="1" applyBorder="1">
      <alignment/>
      <protection/>
    </xf>
    <xf numFmtId="0" fontId="10" fillId="0" borderId="0" xfId="72" applyNumberFormat="1" applyFont="1" applyBorder="1" applyAlignment="1">
      <alignment horizontal="right"/>
      <protection/>
    </xf>
    <xf numFmtId="7" fontId="10" fillId="0" borderId="0" xfId="72" applyNumberFormat="1" applyFont="1" applyBorder="1" applyAlignment="1">
      <alignment horizontal="right"/>
      <protection/>
    </xf>
    <xf numFmtId="190" fontId="10" fillId="0" borderId="0" xfId="72" applyNumberFormat="1" applyFont="1" applyBorder="1">
      <alignment/>
      <protection/>
    </xf>
    <xf numFmtId="190" fontId="10" fillId="0" borderId="0" xfId="72" applyNumberFormat="1" applyFont="1" applyBorder="1">
      <alignment/>
      <protection/>
    </xf>
    <xf numFmtId="0" fontId="24" fillId="0" borderId="0" xfId="72" applyFont="1" applyBorder="1">
      <alignment/>
      <protection/>
    </xf>
    <xf numFmtId="7" fontId="10" fillId="0" borderId="0" xfId="72" applyNumberFormat="1" applyFont="1" applyBorder="1" applyAlignment="1">
      <alignment horizontal="right"/>
      <protection/>
    </xf>
    <xf numFmtId="0" fontId="13" fillId="0" borderId="14" xfId="72" applyFont="1" applyBorder="1">
      <alignment/>
      <protection/>
    </xf>
    <xf numFmtId="0" fontId="5" fillId="0" borderId="0" xfId="72" applyNumberFormat="1" applyFont="1" applyBorder="1" applyAlignment="1">
      <alignment horizontal="right"/>
      <protection/>
    </xf>
    <xf numFmtId="190" fontId="13" fillId="0" borderId="0" xfId="72" applyNumberFormat="1" applyFont="1" applyBorder="1">
      <alignment/>
      <protection/>
    </xf>
    <xf numFmtId="0" fontId="25" fillId="0" borderId="0" xfId="72" applyFont="1" applyBorder="1">
      <alignment/>
      <protection/>
    </xf>
    <xf numFmtId="7" fontId="5" fillId="0" borderId="0" xfId="72" applyNumberFormat="1" applyFont="1" applyBorder="1" applyAlignment="1">
      <alignment horizontal="right"/>
      <protection/>
    </xf>
    <xf numFmtId="0" fontId="13" fillId="0" borderId="15" xfId="72" applyFont="1" applyBorder="1">
      <alignment/>
      <protection/>
    </xf>
    <xf numFmtId="189" fontId="10" fillId="0" borderId="0" xfId="72" applyNumberFormat="1" applyFont="1" applyBorder="1" applyAlignment="1">
      <alignment horizontal="left"/>
      <protection/>
    </xf>
    <xf numFmtId="190" fontId="23" fillId="0" borderId="0" xfId="72" applyNumberFormat="1" applyFont="1" applyBorder="1">
      <alignment/>
      <protection/>
    </xf>
    <xf numFmtId="190" fontId="10" fillId="0" borderId="0" xfId="72" applyNumberFormat="1" applyFont="1" applyBorder="1" applyAlignment="1">
      <alignment horizontal="right"/>
      <protection/>
    </xf>
    <xf numFmtId="0" fontId="10" fillId="0" borderId="0" xfId="72" applyFont="1" applyBorder="1">
      <alignment/>
      <protection/>
    </xf>
    <xf numFmtId="190" fontId="10" fillId="0" borderId="0" xfId="72" applyNumberFormat="1" applyFont="1" applyBorder="1" applyAlignment="1">
      <alignment horizontal="right"/>
      <protection/>
    </xf>
    <xf numFmtId="190" fontId="13" fillId="0" borderId="0" xfId="72" applyNumberFormat="1" applyFont="1" applyBorder="1">
      <alignment/>
      <protection/>
    </xf>
    <xf numFmtId="0" fontId="25" fillId="0" borderId="0" xfId="72" applyFont="1" applyBorder="1">
      <alignment/>
      <protection/>
    </xf>
    <xf numFmtId="7" fontId="5" fillId="0" borderId="0" xfId="72" applyNumberFormat="1" applyFont="1" applyBorder="1" applyAlignment="1">
      <alignment horizontal="right"/>
      <protection/>
    </xf>
    <xf numFmtId="0" fontId="26" fillId="0" borderId="0" xfId="72" applyFont="1" applyBorder="1">
      <alignment/>
      <protection/>
    </xf>
    <xf numFmtId="0" fontId="10" fillId="0" borderId="16" xfId="72" applyFont="1" applyBorder="1" applyAlignment="1">
      <alignment horizontal="center"/>
      <protection/>
    </xf>
    <xf numFmtId="7" fontId="10" fillId="0" borderId="17" xfId="72" applyNumberFormat="1" applyFont="1" applyBorder="1" applyAlignment="1">
      <alignment horizontal="center"/>
      <protection/>
    </xf>
    <xf numFmtId="7" fontId="10" fillId="0" borderId="0" xfId="72" applyNumberFormat="1" applyFont="1" applyBorder="1" applyAlignment="1">
      <alignment horizontal="center"/>
      <protection/>
    </xf>
    <xf numFmtId="0" fontId="10" fillId="0" borderId="0" xfId="72" applyFont="1" applyBorder="1" applyAlignment="1">
      <alignment horizontal="center"/>
      <protection/>
    </xf>
    <xf numFmtId="0" fontId="28" fillId="0" borderId="0" xfId="72" applyFont="1">
      <alignment/>
      <protection/>
    </xf>
    <xf numFmtId="0" fontId="21" fillId="0" borderId="18" xfId="72" applyFont="1" applyBorder="1">
      <alignment/>
      <protection/>
    </xf>
    <xf numFmtId="0" fontId="21" fillId="0" borderId="19" xfId="72" applyNumberFormat="1" applyFont="1" applyBorder="1">
      <alignment/>
      <protection/>
    </xf>
    <xf numFmtId="0" fontId="21" fillId="0" borderId="19" xfId="72" applyFont="1" applyBorder="1">
      <alignment/>
      <protection/>
    </xf>
    <xf numFmtId="0" fontId="21" fillId="0" borderId="20" xfId="72" applyFont="1" applyBorder="1">
      <alignment/>
      <protection/>
    </xf>
    <xf numFmtId="0" fontId="21" fillId="0" borderId="0" xfId="72" applyFont="1" applyFill="1" applyBorder="1">
      <alignment/>
      <protection/>
    </xf>
    <xf numFmtId="4" fontId="21" fillId="0" borderId="0" xfId="72" applyNumberFormat="1" applyFont="1" applyFill="1" applyBorder="1">
      <alignment/>
      <protection/>
    </xf>
    <xf numFmtId="7" fontId="21" fillId="0" borderId="0" xfId="72" applyNumberFormat="1" applyFont="1" applyBorder="1">
      <alignment/>
      <protection/>
    </xf>
    <xf numFmtId="176" fontId="21" fillId="0" borderId="0" xfId="72" applyNumberFormat="1" applyFont="1" applyBorder="1" applyAlignment="1">
      <alignment horizontal="center"/>
      <protection/>
    </xf>
    <xf numFmtId="0" fontId="13" fillId="0" borderId="0" xfId="72" applyFont="1" applyFill="1" applyBorder="1">
      <alignment/>
      <protection/>
    </xf>
    <xf numFmtId="4" fontId="13" fillId="0" borderId="0" xfId="72" applyNumberFormat="1" applyFont="1" applyFill="1" applyBorder="1">
      <alignment/>
      <protection/>
    </xf>
    <xf numFmtId="0" fontId="13" fillId="0" borderId="0" xfId="72" applyFont="1" applyBorder="1" applyAlignment="1">
      <alignment horizontal="center"/>
      <protection/>
    </xf>
    <xf numFmtId="4" fontId="13" fillId="0" borderId="0" xfId="72" applyNumberFormat="1" applyFont="1" applyBorder="1">
      <alignment/>
      <protection/>
    </xf>
    <xf numFmtId="4" fontId="5" fillId="0" borderId="0" xfId="72" applyNumberFormat="1" applyFont="1" applyBorder="1" applyAlignment="1">
      <alignment horizontal="center"/>
      <protection/>
    </xf>
    <xf numFmtId="0" fontId="8" fillId="0" borderId="0" xfId="72" applyFont="1" applyFill="1">
      <alignment/>
      <protection/>
    </xf>
    <xf numFmtId="0" fontId="13" fillId="0" borderId="0" xfId="72" applyFont="1" applyFill="1">
      <alignment/>
      <protection/>
    </xf>
    <xf numFmtId="0" fontId="14" fillId="0" borderId="0" xfId="72" applyFont="1" applyAlignment="1">
      <alignment horizontal="centerContinuous"/>
      <protection/>
    </xf>
    <xf numFmtId="0" fontId="13" fillId="0" borderId="11" xfId="72" applyFont="1" applyBorder="1">
      <alignment/>
      <protection/>
    </xf>
    <xf numFmtId="0" fontId="13" fillId="0" borderId="12" xfId="72" applyFont="1" applyBorder="1">
      <alignment/>
      <protection/>
    </xf>
    <xf numFmtId="0" fontId="13" fillId="0" borderId="12" xfId="72" applyFont="1" applyBorder="1" applyAlignment="1" applyProtection="1">
      <alignment horizontal="left"/>
      <protection/>
    </xf>
    <xf numFmtId="0" fontId="13" fillId="0" borderId="13" xfId="72" applyFont="1" applyFill="1" applyBorder="1">
      <alignment/>
      <protection/>
    </xf>
    <xf numFmtId="0" fontId="16" fillId="0" borderId="14" xfId="72" applyFont="1" applyBorder="1">
      <alignment/>
      <protection/>
    </xf>
    <xf numFmtId="0" fontId="20" fillId="0" borderId="0" xfId="72" applyFont="1" applyBorder="1" applyAlignment="1">
      <alignment horizontal="left"/>
      <protection/>
    </xf>
    <xf numFmtId="0" fontId="20" fillId="0" borderId="0" xfId="72" applyFont="1" applyBorder="1">
      <alignment/>
      <protection/>
    </xf>
    <xf numFmtId="0" fontId="16" fillId="0" borderId="15" xfId="72" applyFont="1" applyFill="1" applyBorder="1">
      <alignment/>
      <protection/>
    </xf>
    <xf numFmtId="0" fontId="13" fillId="0" borderId="15" xfId="72" applyFont="1" applyFill="1" applyBorder="1">
      <alignment/>
      <protection/>
    </xf>
    <xf numFmtId="0" fontId="13" fillId="0" borderId="0" xfId="72" applyFont="1" applyBorder="1" applyProtection="1">
      <alignment/>
      <protection/>
    </xf>
    <xf numFmtId="0" fontId="24" fillId="0" borderId="0" xfId="72" applyFont="1" applyAlignment="1">
      <alignment horizontal="centerContinuous"/>
      <protection/>
    </xf>
    <xf numFmtId="0" fontId="24" fillId="0" borderId="15" xfId="72" applyFont="1" applyFill="1" applyBorder="1" applyAlignment="1">
      <alignment horizontal="centerContinuous"/>
      <protection/>
    </xf>
    <xf numFmtId="0" fontId="25" fillId="0" borderId="0" xfId="72" applyFont="1" applyBorder="1" applyAlignment="1">
      <alignment horizontal="left"/>
      <protection/>
    </xf>
    <xf numFmtId="0" fontId="3" fillId="0" borderId="16" xfId="72" applyFont="1" applyBorder="1" applyAlignment="1" applyProtection="1">
      <alignment horizontal="center"/>
      <protection/>
    </xf>
    <xf numFmtId="182" fontId="0" fillId="0" borderId="16" xfId="72" applyNumberFormat="1" applyFont="1" applyBorder="1" applyAlignment="1">
      <alignment horizontal="centerContinuous"/>
      <protection/>
    </xf>
    <xf numFmtId="0" fontId="3" fillId="0" borderId="17" xfId="72" applyBorder="1" applyAlignment="1">
      <alignment horizontal="centerContinuous"/>
      <protection/>
    </xf>
    <xf numFmtId="0" fontId="3" fillId="0" borderId="0" xfId="72" applyFont="1" applyBorder="1" applyAlignment="1" applyProtection="1">
      <alignment horizontal="center"/>
      <protection/>
    </xf>
    <xf numFmtId="182" fontId="3" fillId="0" borderId="0" xfId="72" applyNumberFormat="1" applyFont="1" applyBorder="1" applyAlignment="1">
      <alignment horizontal="centerContinuous"/>
      <protection/>
    </xf>
    <xf numFmtId="22" fontId="13" fillId="0" borderId="0" xfId="72" applyNumberFormat="1" applyFont="1" applyBorder="1">
      <alignment/>
      <protection/>
    </xf>
    <xf numFmtId="0" fontId="29" fillId="0" borderId="0" xfId="72" applyFont="1" applyBorder="1">
      <alignment/>
      <protection/>
    </xf>
    <xf numFmtId="0" fontId="30" fillId="0" borderId="21" xfId="72" applyFont="1" applyBorder="1" applyAlignment="1">
      <alignment horizontal="center" vertical="center"/>
      <protection/>
    </xf>
    <xf numFmtId="0" fontId="30" fillId="0" borderId="21" xfId="72" applyFont="1" applyBorder="1" applyAlignment="1" applyProtection="1">
      <alignment horizontal="center" vertical="center"/>
      <protection/>
    </xf>
    <xf numFmtId="172" fontId="30" fillId="0" borderId="21" xfId="72" applyNumberFormat="1" applyFont="1" applyBorder="1" applyAlignment="1" applyProtection="1">
      <alignment horizontal="center" vertical="center" wrapText="1"/>
      <protection/>
    </xf>
    <xf numFmtId="0" fontId="30" fillId="0" borderId="21" xfId="72" applyFont="1" applyBorder="1" applyAlignment="1" applyProtection="1">
      <alignment horizontal="center" vertical="center" wrapText="1"/>
      <protection/>
    </xf>
    <xf numFmtId="176" fontId="30" fillId="0" borderId="21" xfId="72" applyNumberFormat="1" applyFont="1" applyBorder="1" applyAlignment="1" applyProtection="1">
      <alignment horizontal="center" vertical="center"/>
      <protection/>
    </xf>
    <xf numFmtId="176" fontId="31" fillId="33" borderId="21" xfId="72" applyNumberFormat="1" applyFont="1" applyFill="1" applyBorder="1" applyAlignment="1" applyProtection="1">
      <alignment horizontal="center" vertical="center"/>
      <protection/>
    </xf>
    <xf numFmtId="0" fontId="32" fillId="34" borderId="21" xfId="72" applyFont="1" applyFill="1" applyBorder="1" applyAlignment="1" applyProtection="1">
      <alignment horizontal="center" vertical="center"/>
      <protection/>
    </xf>
    <xf numFmtId="0" fontId="30" fillId="0" borderId="16" xfId="72" applyFont="1" applyBorder="1" applyAlignment="1" applyProtection="1">
      <alignment horizontal="center" vertical="center"/>
      <protection/>
    </xf>
    <xf numFmtId="0" fontId="30" fillId="0" borderId="16" xfId="72" applyFont="1" applyBorder="1" applyAlignment="1" applyProtection="1">
      <alignment horizontal="center" vertical="center" wrapText="1"/>
      <protection/>
    </xf>
    <xf numFmtId="0" fontId="34" fillId="35" borderId="21" xfId="72" applyFont="1" applyFill="1" applyBorder="1" applyAlignment="1">
      <alignment horizontal="center" vertical="center" wrapText="1"/>
      <protection/>
    </xf>
    <xf numFmtId="0" fontId="35" fillId="36" borderId="21" xfId="72" applyFont="1" applyFill="1" applyBorder="1" applyAlignment="1">
      <alignment horizontal="center" vertical="center" wrapText="1"/>
      <protection/>
    </xf>
    <xf numFmtId="0" fontId="36" fillId="37" borderId="16" xfId="72" applyFont="1" applyFill="1" applyBorder="1" applyAlignment="1" applyProtection="1">
      <alignment horizontal="centerContinuous" vertical="center" wrapText="1"/>
      <protection/>
    </xf>
    <xf numFmtId="0" fontId="7" fillId="37" borderId="22" xfId="72" applyFont="1" applyFill="1" applyBorder="1" applyAlignment="1">
      <alignment horizontal="centerContinuous"/>
      <protection/>
    </xf>
    <xf numFmtId="0" fontId="36" fillId="37" borderId="17" xfId="72" applyFont="1" applyFill="1" applyBorder="1" applyAlignment="1">
      <alignment horizontal="centerContinuous" vertical="center"/>
      <protection/>
    </xf>
    <xf numFmtId="0" fontId="37" fillId="38" borderId="16" xfId="72" applyFont="1" applyFill="1" applyBorder="1" applyAlignment="1">
      <alignment horizontal="centerContinuous" vertical="center" wrapText="1"/>
      <protection/>
    </xf>
    <xf numFmtId="0" fontId="38" fillId="38" borderId="22" xfId="72" applyFont="1" applyFill="1" applyBorder="1" applyAlignment="1">
      <alignment horizontal="centerContinuous"/>
      <protection/>
    </xf>
    <xf numFmtId="0" fontId="37" fillId="38" borderId="17" xfId="72" applyFont="1" applyFill="1" applyBorder="1" applyAlignment="1">
      <alignment horizontal="centerContinuous" vertical="center"/>
      <protection/>
    </xf>
    <xf numFmtId="0" fontId="39" fillId="39" borderId="21" xfId="72" applyFont="1" applyFill="1" applyBorder="1" applyAlignment="1">
      <alignment horizontal="center" vertical="center" wrapText="1"/>
      <protection/>
    </xf>
    <xf numFmtId="0" fontId="40" fillId="40" borderId="21" xfId="72" applyFont="1" applyFill="1" applyBorder="1" applyAlignment="1">
      <alignment horizontal="center" vertical="center" wrapText="1"/>
      <protection/>
    </xf>
    <xf numFmtId="0" fontId="30" fillId="0" borderId="21" xfId="72" applyFont="1" applyBorder="1" applyAlignment="1">
      <alignment horizontal="center" vertical="center" wrapText="1"/>
      <protection/>
    </xf>
    <xf numFmtId="0" fontId="13" fillId="0" borderId="15" xfId="72" applyFont="1" applyFill="1" applyBorder="1" applyAlignment="1">
      <alignment horizontal="center"/>
      <protection/>
    </xf>
    <xf numFmtId="0" fontId="13" fillId="0" borderId="23" xfId="72" applyFont="1" applyBorder="1">
      <alignment/>
      <protection/>
    </xf>
    <xf numFmtId="0" fontId="13" fillId="0" borderId="23" xfId="72" applyFont="1" applyFill="1" applyBorder="1" applyAlignment="1">
      <alignment horizontal="center"/>
      <protection/>
    </xf>
    <xf numFmtId="178" fontId="13" fillId="0" borderId="23" xfId="72" applyNumberFormat="1" applyFont="1" applyFill="1" applyBorder="1">
      <alignment/>
      <protection/>
    </xf>
    <xf numFmtId="0" fontId="13" fillId="0" borderId="23" xfId="72" applyFont="1" applyFill="1" applyBorder="1">
      <alignment/>
      <protection/>
    </xf>
    <xf numFmtId="0" fontId="41" fillId="0" borderId="23" xfId="72" applyFont="1" applyFill="1" applyBorder="1">
      <alignment/>
      <protection/>
    </xf>
    <xf numFmtId="0" fontId="42" fillId="0" borderId="23" xfId="72" applyFont="1" applyFill="1" applyBorder="1">
      <alignment/>
      <protection/>
    </xf>
    <xf numFmtId="22" fontId="13" fillId="0" borderId="23" xfId="72" applyNumberFormat="1" applyFont="1" applyFill="1" applyBorder="1">
      <alignment/>
      <protection/>
    </xf>
    <xf numFmtId="0" fontId="43" fillId="0" borderId="23" xfId="72" applyFont="1" applyFill="1" applyBorder="1">
      <alignment/>
      <protection/>
    </xf>
    <xf numFmtId="0" fontId="44" fillId="0" borderId="23" xfId="72" applyFont="1" applyFill="1" applyBorder="1">
      <alignment/>
      <protection/>
    </xf>
    <xf numFmtId="0" fontId="13" fillId="0" borderId="24" xfId="72" applyFont="1" applyFill="1" applyBorder="1">
      <alignment/>
      <protection/>
    </xf>
    <xf numFmtId="0" fontId="13" fillId="0" borderId="25" xfId="72" applyFont="1" applyFill="1" applyBorder="1">
      <alignment/>
      <protection/>
    </xf>
    <xf numFmtId="0" fontId="13" fillId="0" borderId="26" xfId="72" applyFont="1" applyFill="1" applyBorder="1">
      <alignment/>
      <protection/>
    </xf>
    <xf numFmtId="0" fontId="45" fillId="0" borderId="24" xfId="72" applyFont="1" applyFill="1" applyBorder="1">
      <alignment/>
      <protection/>
    </xf>
    <xf numFmtId="0" fontId="45" fillId="0" borderId="25" xfId="72" applyFont="1" applyFill="1" applyBorder="1">
      <alignment/>
      <protection/>
    </xf>
    <xf numFmtId="0" fontId="45" fillId="0" borderId="26" xfId="72" applyFont="1" applyFill="1" applyBorder="1">
      <alignment/>
      <protection/>
    </xf>
    <xf numFmtId="0" fontId="46" fillId="0" borderId="23" xfId="72" applyFont="1" applyFill="1" applyBorder="1">
      <alignment/>
      <protection/>
    </xf>
    <xf numFmtId="0" fontId="47" fillId="0" borderId="23" xfId="72" applyFont="1" applyFill="1" applyBorder="1">
      <alignment/>
      <protection/>
    </xf>
    <xf numFmtId="7" fontId="48" fillId="0" borderId="23" xfId="72" applyNumberFormat="1" applyFont="1" applyBorder="1" applyAlignment="1">
      <alignment/>
      <protection/>
    </xf>
    <xf numFmtId="0" fontId="13" fillId="0" borderId="27" xfId="72" applyFont="1" applyFill="1" applyBorder="1" applyAlignment="1">
      <alignment horizontal="center"/>
      <protection/>
    </xf>
    <xf numFmtId="0" fontId="13" fillId="0" borderId="28" xfId="72" applyFont="1" applyBorder="1">
      <alignment/>
      <protection/>
    </xf>
    <xf numFmtId="0" fontId="13" fillId="0" borderId="28" xfId="72" applyFont="1" applyBorder="1" applyAlignment="1">
      <alignment horizontal="center"/>
      <protection/>
    </xf>
    <xf numFmtId="178" fontId="13" fillId="0" borderId="28" xfId="72" applyNumberFormat="1" applyFont="1" applyBorder="1">
      <alignment/>
      <protection/>
    </xf>
    <xf numFmtId="0" fontId="41" fillId="33" borderId="28" xfId="72" applyFont="1" applyFill="1" applyBorder="1">
      <alignment/>
      <protection/>
    </xf>
    <xf numFmtId="0" fontId="42" fillId="34" borderId="28" xfId="72" applyFont="1" applyFill="1" applyBorder="1">
      <alignment/>
      <protection/>
    </xf>
    <xf numFmtId="22" fontId="13" fillId="0" borderId="29" xfId="72" applyNumberFormat="1" applyFont="1" applyBorder="1" applyAlignment="1">
      <alignment horizontal="center"/>
      <protection/>
    </xf>
    <xf numFmtId="0" fontId="13" fillId="0" borderId="29" xfId="72" applyFont="1" applyBorder="1">
      <alignment/>
      <protection/>
    </xf>
    <xf numFmtId="0" fontId="43" fillId="35" borderId="28" xfId="72" applyFont="1" applyFill="1" applyBorder="1">
      <alignment/>
      <protection/>
    </xf>
    <xf numFmtId="0" fontId="44" fillId="36" borderId="29" xfId="72" applyFont="1" applyFill="1" applyBorder="1">
      <alignment/>
      <protection/>
    </xf>
    <xf numFmtId="176" fontId="49" fillId="37" borderId="30" xfId="72" applyNumberFormat="1" applyFont="1" applyFill="1" applyBorder="1" applyAlignment="1" applyProtection="1" quotePrefix="1">
      <alignment horizontal="center"/>
      <protection/>
    </xf>
    <xf numFmtId="176" fontId="49" fillId="37" borderId="31" xfId="72" applyNumberFormat="1" applyFont="1" applyFill="1" applyBorder="1" applyAlignment="1" applyProtection="1" quotePrefix="1">
      <alignment horizontal="center"/>
      <protection/>
    </xf>
    <xf numFmtId="4" fontId="49" fillId="37" borderId="29" xfId="72" applyNumberFormat="1" applyFont="1" applyFill="1" applyBorder="1" applyAlignment="1" applyProtection="1">
      <alignment horizontal="center"/>
      <protection/>
    </xf>
    <xf numFmtId="176" fontId="45" fillId="38" borderId="30" xfId="72" applyNumberFormat="1" applyFont="1" applyFill="1" applyBorder="1" applyAlignment="1" applyProtection="1" quotePrefix="1">
      <alignment horizontal="center"/>
      <protection/>
    </xf>
    <xf numFmtId="176" fontId="45" fillId="38" borderId="31" xfId="72" applyNumberFormat="1" applyFont="1" applyFill="1" applyBorder="1" applyAlignment="1" applyProtection="1" quotePrefix="1">
      <alignment horizontal="center"/>
      <protection/>
    </xf>
    <xf numFmtId="4" fontId="45" fillId="38" borderId="29" xfId="72" applyNumberFormat="1" applyFont="1" applyFill="1" applyBorder="1" applyAlignment="1" applyProtection="1">
      <alignment horizontal="center"/>
      <protection/>
    </xf>
    <xf numFmtId="4" fontId="46" fillId="39" borderId="28" xfId="72" applyNumberFormat="1" applyFont="1" applyFill="1" applyBorder="1" applyAlignment="1" applyProtection="1">
      <alignment horizontal="center"/>
      <protection/>
    </xf>
    <xf numFmtId="4" fontId="47" fillId="40" borderId="28" xfId="72" applyNumberFormat="1" applyFont="1" applyFill="1" applyBorder="1" applyAlignment="1" applyProtection="1">
      <alignment horizontal="center"/>
      <protection/>
    </xf>
    <xf numFmtId="0" fontId="48" fillId="0" borderId="29" xfId="72" applyFont="1" applyBorder="1">
      <alignment/>
      <protection/>
    </xf>
    <xf numFmtId="0" fontId="13" fillId="0" borderId="28" xfId="72" applyFont="1" applyFill="1" applyBorder="1" applyAlignment="1" applyProtection="1">
      <alignment horizontal="center"/>
      <protection locked="0"/>
    </xf>
    <xf numFmtId="172" fontId="13" fillId="0" borderId="28" xfId="72" applyNumberFormat="1" applyFont="1" applyFill="1" applyBorder="1" applyAlignment="1" applyProtection="1">
      <alignment horizontal="center"/>
      <protection locked="0"/>
    </xf>
    <xf numFmtId="178" fontId="13" fillId="0" borderId="28" xfId="72" applyNumberFormat="1" applyFont="1" applyFill="1" applyBorder="1" applyAlignment="1" applyProtection="1">
      <alignment horizontal="center"/>
      <protection locked="0"/>
    </xf>
    <xf numFmtId="0" fontId="41" fillId="33" borderId="28" xfId="72" applyFont="1" applyFill="1" applyBorder="1" applyAlignment="1" applyProtection="1">
      <alignment horizontal="center"/>
      <protection/>
    </xf>
    <xf numFmtId="182" fontId="42" fillId="34" borderId="28" xfId="72" applyNumberFormat="1" applyFont="1" applyFill="1" applyBorder="1" applyAlignment="1" applyProtection="1">
      <alignment horizontal="center"/>
      <protection/>
    </xf>
    <xf numFmtId="22" fontId="13" fillId="0" borderId="29" xfId="72" applyNumberFormat="1" applyFont="1" applyFill="1" applyBorder="1" applyAlignment="1" applyProtection="1">
      <alignment horizontal="center"/>
      <protection locked="0"/>
    </xf>
    <xf numFmtId="22" fontId="13" fillId="0" borderId="32" xfId="72" applyNumberFormat="1" applyFont="1" applyFill="1" applyBorder="1" applyAlignment="1" applyProtection="1">
      <alignment horizontal="center"/>
      <protection locked="0"/>
    </xf>
    <xf numFmtId="4" fontId="13" fillId="41" borderId="28" xfId="72" applyNumberFormat="1" applyFont="1" applyFill="1" applyBorder="1" applyAlignment="1" applyProtection="1" quotePrefix="1">
      <alignment horizontal="center"/>
      <protection/>
    </xf>
    <xf numFmtId="172" fontId="13" fillId="41" borderId="28" xfId="72" applyNumberFormat="1" applyFont="1" applyFill="1" applyBorder="1" applyAlignment="1" applyProtection="1" quotePrefix="1">
      <alignment horizontal="center"/>
      <protection/>
    </xf>
    <xf numFmtId="176" fontId="13" fillId="0" borderId="29" xfId="72" applyNumberFormat="1" applyFont="1" applyBorder="1" applyAlignment="1" applyProtection="1">
      <alignment horizontal="center"/>
      <protection locked="0"/>
    </xf>
    <xf numFmtId="181" fontId="13" fillId="0" borderId="28" xfId="72" applyNumberFormat="1" applyFont="1" applyBorder="1" applyAlignment="1" applyProtection="1" quotePrefix="1">
      <alignment horizontal="center"/>
      <protection/>
    </xf>
    <xf numFmtId="176" fontId="13" fillId="0" borderId="28" xfId="72" applyNumberFormat="1" applyFont="1" applyBorder="1" applyAlignment="1" applyProtection="1">
      <alignment horizontal="center"/>
      <protection/>
    </xf>
    <xf numFmtId="2" fontId="50" fillId="35" borderId="28" xfId="72" applyNumberFormat="1" applyFont="1" applyFill="1" applyBorder="1" applyAlignment="1" applyProtection="1">
      <alignment horizontal="center"/>
      <protection locked="0"/>
    </xf>
    <xf numFmtId="2" fontId="51" fillId="36" borderId="29" xfId="72" applyNumberFormat="1" applyFont="1" applyFill="1" applyBorder="1" applyAlignment="1" applyProtection="1">
      <alignment horizontal="center"/>
      <protection locked="0"/>
    </xf>
    <xf numFmtId="176" fontId="52" fillId="37" borderId="30" xfId="72" applyNumberFormat="1" applyFont="1" applyFill="1" applyBorder="1" applyAlignment="1" applyProtection="1" quotePrefix="1">
      <alignment horizontal="center"/>
      <protection locked="0"/>
    </xf>
    <xf numFmtId="176" fontId="52" fillId="37" borderId="31" xfId="72" applyNumberFormat="1" applyFont="1" applyFill="1" applyBorder="1" applyAlignment="1" applyProtection="1" quotePrefix="1">
      <alignment horizontal="center"/>
      <protection locked="0"/>
    </xf>
    <xf numFmtId="4" fontId="52" fillId="37" borderId="29" xfId="72" applyNumberFormat="1" applyFont="1" applyFill="1" applyBorder="1" applyAlignment="1" applyProtection="1">
      <alignment horizontal="center"/>
      <protection locked="0"/>
    </xf>
    <xf numFmtId="176" fontId="53" fillId="38" borderId="30" xfId="72" applyNumberFormat="1" applyFont="1" applyFill="1" applyBorder="1" applyAlignment="1" applyProtection="1" quotePrefix="1">
      <alignment horizontal="center"/>
      <protection locked="0"/>
    </xf>
    <xf numFmtId="176" fontId="53" fillId="38" borderId="31" xfId="72" applyNumberFormat="1" applyFont="1" applyFill="1" applyBorder="1" applyAlignment="1" applyProtection="1" quotePrefix="1">
      <alignment horizontal="center"/>
      <protection locked="0"/>
    </xf>
    <xf numFmtId="4" fontId="53" fillId="38" borderId="29" xfId="72" applyNumberFormat="1" applyFont="1" applyFill="1" applyBorder="1" applyAlignment="1" applyProtection="1">
      <alignment horizontal="center"/>
      <protection locked="0"/>
    </xf>
    <xf numFmtId="4" fontId="54" fillId="39" borderId="28" xfId="72" applyNumberFormat="1" applyFont="1" applyFill="1" applyBorder="1" applyAlignment="1" applyProtection="1">
      <alignment horizontal="center"/>
      <protection locked="0"/>
    </xf>
    <xf numFmtId="4" fontId="55" fillId="40" borderId="28" xfId="72" applyNumberFormat="1" applyFont="1" applyFill="1" applyBorder="1" applyAlignment="1" applyProtection="1">
      <alignment horizontal="center"/>
      <protection locked="0"/>
    </xf>
    <xf numFmtId="4" fontId="49" fillId="0" borderId="28" xfId="72" applyNumberFormat="1" applyFont="1" applyBorder="1" applyAlignment="1" applyProtection="1">
      <alignment horizontal="center"/>
      <protection/>
    </xf>
    <xf numFmtId="4" fontId="48" fillId="0" borderId="29" xfId="72" applyNumberFormat="1" applyFont="1" applyFill="1" applyBorder="1" applyAlignment="1">
      <alignment horizontal="right"/>
      <protection/>
    </xf>
    <xf numFmtId="2" fontId="13" fillId="0" borderId="15" xfId="72" applyNumberFormat="1" applyFont="1" applyFill="1" applyBorder="1" applyAlignment="1">
      <alignment horizontal="center"/>
      <protection/>
    </xf>
    <xf numFmtId="0" fontId="13" fillId="0" borderId="28" xfId="70" applyFont="1" applyFill="1" applyBorder="1" applyAlignment="1" applyProtection="1">
      <alignment horizontal="center"/>
      <protection locked="0"/>
    </xf>
    <xf numFmtId="172" fontId="13" fillId="0" borderId="28" xfId="70" applyNumberFormat="1" applyFont="1" applyFill="1" applyBorder="1" applyAlignment="1" applyProtection="1">
      <alignment horizontal="center"/>
      <protection locked="0"/>
    </xf>
    <xf numFmtId="178" fontId="13" fillId="0" borderId="28" xfId="70" applyNumberFormat="1" applyFont="1" applyFill="1" applyBorder="1" applyAlignment="1" applyProtection="1">
      <alignment horizontal="center"/>
      <protection locked="0"/>
    </xf>
    <xf numFmtId="22" fontId="13" fillId="0" borderId="29" xfId="70" applyNumberFormat="1" applyFont="1" applyFill="1" applyBorder="1" applyAlignment="1" applyProtection="1">
      <alignment horizontal="center"/>
      <protection locked="0"/>
    </xf>
    <xf numFmtId="22" fontId="13" fillId="0" borderId="33" xfId="70" applyNumberFormat="1" applyFont="1" applyFill="1" applyBorder="1" applyAlignment="1" applyProtection="1">
      <alignment horizontal="center"/>
      <protection locked="0"/>
    </xf>
    <xf numFmtId="0" fontId="13" fillId="0" borderId="28" xfId="72" applyFont="1" applyBorder="1" applyAlignment="1" applyProtection="1">
      <alignment horizontal="center"/>
      <protection locked="0"/>
    </xf>
    <xf numFmtId="172" fontId="13" fillId="0" borderId="28" xfId="72" applyNumberFormat="1" applyFont="1" applyBorder="1" applyAlignment="1" applyProtection="1">
      <alignment horizontal="center"/>
      <protection locked="0"/>
    </xf>
    <xf numFmtId="178" fontId="13" fillId="0" borderId="28" xfId="72" applyNumberFormat="1" applyFont="1" applyBorder="1" applyAlignment="1" applyProtection="1">
      <alignment horizontal="center"/>
      <protection locked="0"/>
    </xf>
    <xf numFmtId="22" fontId="13" fillId="0" borderId="29" xfId="72" applyNumberFormat="1" applyFont="1" applyBorder="1" applyAlignment="1" applyProtection="1">
      <alignment horizontal="center"/>
      <protection locked="0"/>
    </xf>
    <xf numFmtId="22" fontId="13" fillId="0" borderId="32" xfId="72" applyNumberFormat="1" applyFont="1" applyBorder="1" applyAlignment="1" applyProtection="1">
      <alignment horizontal="center"/>
      <protection locked="0"/>
    </xf>
    <xf numFmtId="22" fontId="13" fillId="0" borderId="33" xfId="72" applyNumberFormat="1" applyFont="1" applyBorder="1" applyAlignment="1" applyProtection="1">
      <alignment horizontal="center"/>
      <protection locked="0"/>
    </xf>
    <xf numFmtId="0" fontId="13" fillId="0" borderId="34" xfId="72" applyFont="1" applyFill="1" applyBorder="1" applyAlignment="1" applyProtection="1">
      <alignment horizontal="center"/>
      <protection locked="0"/>
    </xf>
    <xf numFmtId="0" fontId="13" fillId="0" borderId="35" xfId="72" applyFont="1" applyFill="1" applyBorder="1" applyAlignment="1" applyProtection="1">
      <alignment horizontal="center"/>
      <protection locked="0"/>
    </xf>
    <xf numFmtId="0" fontId="13" fillId="0" borderId="36" xfId="72" applyFont="1" applyBorder="1" applyAlignment="1" applyProtection="1">
      <alignment horizontal="center"/>
      <protection locked="0"/>
    </xf>
    <xf numFmtId="172" fontId="49" fillId="0" borderId="36" xfId="72" applyNumberFormat="1" applyFont="1" applyBorder="1" applyAlignment="1" applyProtection="1">
      <alignment horizontal="center"/>
      <protection locked="0"/>
    </xf>
    <xf numFmtId="178" fontId="13" fillId="0" borderId="36" xfId="72" applyNumberFormat="1" applyFont="1" applyBorder="1" applyAlignment="1" applyProtection="1">
      <alignment horizontal="center"/>
      <protection locked="0"/>
    </xf>
    <xf numFmtId="173" fontId="13" fillId="0" borderId="36" xfId="72" applyNumberFormat="1" applyFont="1" applyBorder="1" applyAlignment="1" applyProtection="1">
      <alignment horizontal="center"/>
      <protection locked="0"/>
    </xf>
    <xf numFmtId="0" fontId="41" fillId="33" borderId="36" xfId="72" applyFont="1" applyFill="1" applyBorder="1" applyAlignment="1" applyProtection="1">
      <alignment horizontal="center"/>
      <protection/>
    </xf>
    <xf numFmtId="182" fontId="42" fillId="34" borderId="36" xfId="72" applyNumberFormat="1" applyFont="1" applyFill="1" applyBorder="1" applyAlignment="1" applyProtection="1">
      <alignment horizontal="center"/>
      <protection/>
    </xf>
    <xf numFmtId="22" fontId="13" fillId="0" borderId="36" xfId="72" applyNumberFormat="1" applyFont="1" applyBorder="1" applyAlignment="1" applyProtection="1">
      <alignment horizontal="center"/>
      <protection locked="0"/>
    </xf>
    <xf numFmtId="176" fontId="13" fillId="0" borderId="36" xfId="72" applyNumberFormat="1" applyFont="1" applyBorder="1" applyAlignment="1" applyProtection="1">
      <alignment horizontal="center"/>
      <protection/>
    </xf>
    <xf numFmtId="176" fontId="13" fillId="0" borderId="36" xfId="72" applyNumberFormat="1" applyFont="1" applyBorder="1" applyAlignment="1" applyProtection="1">
      <alignment horizontal="center"/>
      <protection locked="0"/>
    </xf>
    <xf numFmtId="181" fontId="13" fillId="0" borderId="36" xfId="72" applyNumberFormat="1" applyFont="1" applyBorder="1" applyAlignment="1" applyProtection="1" quotePrefix="1">
      <alignment horizontal="center"/>
      <protection locked="0"/>
    </xf>
    <xf numFmtId="2" fontId="43" fillId="35" borderId="36" xfId="72" applyNumberFormat="1" applyFont="1" applyFill="1" applyBorder="1" applyAlignment="1" applyProtection="1">
      <alignment horizontal="center"/>
      <protection locked="0"/>
    </xf>
    <xf numFmtId="2" fontId="51" fillId="36" borderId="36" xfId="72" applyNumberFormat="1" applyFont="1" applyFill="1" applyBorder="1" applyAlignment="1" applyProtection="1">
      <alignment horizontal="center"/>
      <protection locked="0"/>
    </xf>
    <xf numFmtId="176" fontId="52" fillId="37" borderId="37" xfId="72" applyNumberFormat="1" applyFont="1" applyFill="1" applyBorder="1" applyAlignment="1" applyProtection="1" quotePrefix="1">
      <alignment horizontal="center"/>
      <protection locked="0"/>
    </xf>
    <xf numFmtId="176" fontId="52" fillId="37" borderId="38" xfId="72" applyNumberFormat="1" applyFont="1" applyFill="1" applyBorder="1" applyAlignment="1" applyProtection="1" quotePrefix="1">
      <alignment horizontal="center"/>
      <protection locked="0"/>
    </xf>
    <xf numFmtId="4" fontId="52" fillId="37" borderId="39" xfId="72" applyNumberFormat="1" applyFont="1" applyFill="1" applyBorder="1" applyAlignment="1" applyProtection="1">
      <alignment horizontal="center"/>
      <protection locked="0"/>
    </xf>
    <xf numFmtId="176" fontId="53" fillId="38" borderId="37" xfId="72" applyNumberFormat="1" applyFont="1" applyFill="1" applyBorder="1" applyAlignment="1" applyProtection="1" quotePrefix="1">
      <alignment horizontal="center"/>
      <protection locked="0"/>
    </xf>
    <xf numFmtId="176" fontId="53" fillId="38" borderId="38" xfId="72" applyNumberFormat="1" applyFont="1" applyFill="1" applyBorder="1" applyAlignment="1" applyProtection="1" quotePrefix="1">
      <alignment horizontal="center"/>
      <protection locked="0"/>
    </xf>
    <xf numFmtId="4" fontId="53" fillId="38" borderId="39" xfId="72" applyNumberFormat="1" applyFont="1" applyFill="1" applyBorder="1" applyAlignment="1" applyProtection="1">
      <alignment horizontal="center"/>
      <protection locked="0"/>
    </xf>
    <xf numFmtId="4" fontId="54" fillId="39" borderId="36" xfId="72" applyNumberFormat="1" applyFont="1" applyFill="1" applyBorder="1" applyAlignment="1" applyProtection="1">
      <alignment horizontal="center"/>
      <protection locked="0"/>
    </xf>
    <xf numFmtId="4" fontId="55" fillId="40" borderId="36" xfId="72" applyNumberFormat="1" applyFont="1" applyFill="1" applyBorder="1" applyAlignment="1" applyProtection="1">
      <alignment horizontal="center"/>
      <protection locked="0"/>
    </xf>
    <xf numFmtId="4" fontId="49" fillId="0" borderId="36" xfId="72" applyNumberFormat="1" applyFont="1" applyBorder="1" applyAlignment="1" applyProtection="1">
      <alignment horizontal="center"/>
      <protection locked="0"/>
    </xf>
    <xf numFmtId="2" fontId="48" fillId="0" borderId="40" xfId="72" applyNumberFormat="1" applyFont="1" applyFill="1" applyBorder="1" applyAlignment="1">
      <alignment horizontal="right"/>
      <protection/>
    </xf>
    <xf numFmtId="0" fontId="57" fillId="0" borderId="41" xfId="72" applyFont="1" applyBorder="1" applyAlignment="1">
      <alignment horizontal="center"/>
      <protection/>
    </xf>
    <xf numFmtId="0" fontId="58" fillId="0" borderId="0" xfId="72" applyFont="1" applyBorder="1" applyAlignment="1" applyProtection="1">
      <alignment horizontal="left"/>
      <protection/>
    </xf>
    <xf numFmtId="172" fontId="49" fillId="0" borderId="0" xfId="72" applyNumberFormat="1" applyFont="1" applyBorder="1" applyAlignment="1" applyProtection="1">
      <alignment horizontal="center"/>
      <protection/>
    </xf>
    <xf numFmtId="0" fontId="13" fillId="0" borderId="0" xfId="72" applyFont="1" applyBorder="1" applyAlignment="1" applyProtection="1">
      <alignment horizontal="center"/>
      <protection/>
    </xf>
    <xf numFmtId="173" fontId="13" fillId="0" borderId="0" xfId="72" applyNumberFormat="1" applyFont="1" applyBorder="1" applyAlignment="1" applyProtection="1">
      <alignment horizontal="center"/>
      <protection/>
    </xf>
    <xf numFmtId="176" fontId="13" fillId="0" borderId="0" xfId="72" applyNumberFormat="1" applyFont="1" applyBorder="1" applyAlignment="1" applyProtection="1">
      <alignment horizontal="center"/>
      <protection/>
    </xf>
    <xf numFmtId="181" fontId="13" fillId="0" borderId="0" xfId="72" applyNumberFormat="1" applyFont="1" applyBorder="1" applyAlignment="1" applyProtection="1" quotePrefix="1">
      <alignment horizontal="center"/>
      <protection/>
    </xf>
    <xf numFmtId="2" fontId="50" fillId="35" borderId="21" xfId="72" applyNumberFormat="1" applyFont="1" applyFill="1" applyBorder="1" applyAlignment="1" applyProtection="1">
      <alignment horizontal="center"/>
      <protection/>
    </xf>
    <xf numFmtId="2" fontId="51" fillId="36" borderId="21" xfId="72" applyNumberFormat="1" applyFont="1" applyFill="1" applyBorder="1" applyAlignment="1" applyProtection="1">
      <alignment horizontal="center"/>
      <protection/>
    </xf>
    <xf numFmtId="2" fontId="52" fillId="37" borderId="21" xfId="72" applyNumberFormat="1" applyFont="1" applyFill="1" applyBorder="1" applyAlignment="1" applyProtection="1">
      <alignment horizontal="center"/>
      <protection/>
    </xf>
    <xf numFmtId="2" fontId="53" fillId="38" borderId="21" xfId="72" applyNumberFormat="1" applyFont="1" applyFill="1" applyBorder="1" applyAlignment="1" applyProtection="1">
      <alignment horizontal="center"/>
      <protection/>
    </xf>
    <xf numFmtId="2" fontId="54" fillId="39" borderId="21" xfId="72" applyNumberFormat="1" applyFont="1" applyFill="1" applyBorder="1" applyAlignment="1" applyProtection="1">
      <alignment horizontal="center"/>
      <protection/>
    </xf>
    <xf numFmtId="2" fontId="55" fillId="40" borderId="21" xfId="72" applyNumberFormat="1" applyFont="1" applyFill="1" applyBorder="1" applyAlignment="1" applyProtection="1">
      <alignment horizontal="center"/>
      <protection/>
    </xf>
    <xf numFmtId="2" fontId="59" fillId="0" borderId="42" xfId="72" applyNumberFormat="1" applyFont="1" applyBorder="1" applyAlignment="1" applyProtection="1">
      <alignment horizontal="center"/>
      <protection/>
    </xf>
    <xf numFmtId="7" fontId="4" fillId="0" borderId="21" xfId="72" applyNumberFormat="1" applyFont="1" applyFill="1" applyBorder="1" applyAlignment="1" applyProtection="1">
      <alignment horizontal="right"/>
      <protection/>
    </xf>
    <xf numFmtId="0" fontId="13" fillId="0" borderId="18" xfId="72" applyFont="1" applyBorder="1">
      <alignment/>
      <protection/>
    </xf>
    <xf numFmtId="0" fontId="13" fillId="0" borderId="19" xfId="72" applyFont="1" applyBorder="1">
      <alignment/>
      <protection/>
    </xf>
    <xf numFmtId="0" fontId="13" fillId="0" borderId="20" xfId="72" applyFont="1" applyBorder="1">
      <alignment/>
      <protection/>
    </xf>
    <xf numFmtId="0" fontId="3" fillId="0" borderId="0" xfId="72" applyBorder="1">
      <alignment/>
      <protection/>
    </xf>
    <xf numFmtId="0" fontId="16" fillId="0" borderId="0" xfId="72" applyFont="1" applyAlignment="1">
      <alignment vertical="top"/>
      <protection/>
    </xf>
    <xf numFmtId="0" fontId="16" fillId="0" borderId="14" xfId="72" applyFont="1" applyBorder="1" applyAlignment="1">
      <alignment vertical="top"/>
      <protection/>
    </xf>
    <xf numFmtId="0" fontId="16" fillId="0" borderId="0" xfId="72" applyFont="1" applyBorder="1" applyAlignment="1">
      <alignment vertical="top"/>
      <protection/>
    </xf>
    <xf numFmtId="0" fontId="20" fillId="0" borderId="0" xfId="72" applyFont="1" applyBorder="1" applyAlignment="1">
      <alignment vertical="top"/>
      <protection/>
    </xf>
    <xf numFmtId="0" fontId="16" fillId="0" borderId="15" xfId="72" applyFont="1" applyFill="1" applyBorder="1" applyAlignment="1">
      <alignment vertical="top"/>
      <protection/>
    </xf>
    <xf numFmtId="0" fontId="13" fillId="0" borderId="0" xfId="72" applyFont="1" applyAlignment="1">
      <alignment vertical="top"/>
      <protection/>
    </xf>
    <xf numFmtId="0" fontId="13" fillId="0" borderId="14" xfId="72" applyFont="1" applyBorder="1" applyAlignment="1">
      <alignment vertical="top"/>
      <protection/>
    </xf>
    <xf numFmtId="0" fontId="13" fillId="0" borderId="0" xfId="72" applyFont="1" applyBorder="1" applyAlignment="1">
      <alignment vertical="top"/>
      <protection/>
    </xf>
    <xf numFmtId="0" fontId="13" fillId="0" borderId="0" xfId="72" applyFont="1" applyBorder="1" applyAlignment="1" applyProtection="1">
      <alignment vertical="top"/>
      <protection/>
    </xf>
    <xf numFmtId="0" fontId="13" fillId="0" borderId="15" xfId="72" applyFont="1" applyFill="1" applyBorder="1" applyAlignment="1">
      <alignment vertical="top"/>
      <protection/>
    </xf>
    <xf numFmtId="0" fontId="13" fillId="0" borderId="28" xfId="72" applyFont="1" applyFill="1" applyBorder="1" applyAlignment="1">
      <alignment horizontal="center"/>
      <protection/>
    </xf>
    <xf numFmtId="2" fontId="50" fillId="35" borderId="28" xfId="72" applyNumberFormat="1" applyFont="1" applyFill="1" applyBorder="1" applyAlignment="1" applyProtection="1">
      <alignment horizontal="center"/>
      <protection/>
    </xf>
    <xf numFmtId="2" fontId="51" fillId="36" borderId="29" xfId="72" applyNumberFormat="1" applyFont="1" applyFill="1" applyBorder="1" applyAlignment="1" applyProtection="1">
      <alignment horizontal="center"/>
      <protection/>
    </xf>
    <xf numFmtId="176" fontId="52" fillId="37" borderId="30" xfId="72" applyNumberFormat="1" applyFont="1" applyFill="1" applyBorder="1" applyAlignment="1" applyProtection="1" quotePrefix="1">
      <alignment horizontal="center"/>
      <protection/>
    </xf>
    <xf numFmtId="176" fontId="52" fillId="37" borderId="31" xfId="72" applyNumberFormat="1" applyFont="1" applyFill="1" applyBorder="1" applyAlignment="1" applyProtection="1" quotePrefix="1">
      <alignment horizontal="center"/>
      <protection/>
    </xf>
    <xf numFmtId="4" fontId="52" fillId="37" borderId="29" xfId="72" applyNumberFormat="1" applyFont="1" applyFill="1" applyBorder="1" applyAlignment="1" applyProtection="1">
      <alignment horizontal="center"/>
      <protection/>
    </xf>
    <xf numFmtId="176" fontId="53" fillId="38" borderId="30" xfId="72" applyNumberFormat="1" applyFont="1" applyFill="1" applyBorder="1" applyAlignment="1" applyProtection="1" quotePrefix="1">
      <alignment horizontal="center"/>
      <protection/>
    </xf>
    <xf numFmtId="176" fontId="53" fillId="38" borderId="31" xfId="72" applyNumberFormat="1" applyFont="1" applyFill="1" applyBorder="1" applyAlignment="1" applyProtection="1" quotePrefix="1">
      <alignment horizontal="center"/>
      <protection/>
    </xf>
    <xf numFmtId="4" fontId="53" fillId="38" borderId="29" xfId="72" applyNumberFormat="1" applyFont="1" applyFill="1" applyBorder="1" applyAlignment="1" applyProtection="1">
      <alignment horizontal="center"/>
      <protection/>
    </xf>
    <xf numFmtId="4" fontId="54" fillId="39" borderId="28" xfId="72" applyNumberFormat="1" applyFont="1" applyFill="1" applyBorder="1" applyAlignment="1" applyProtection="1">
      <alignment horizontal="center"/>
      <protection/>
    </xf>
    <xf numFmtId="4" fontId="55" fillId="40" borderId="28" xfId="72" applyNumberFormat="1" applyFont="1" applyFill="1" applyBorder="1" applyAlignment="1" applyProtection="1">
      <alignment horizontal="center"/>
      <protection/>
    </xf>
    <xf numFmtId="4" fontId="13" fillId="0" borderId="28" xfId="72" applyNumberFormat="1" applyFont="1" applyBorder="1" applyAlignment="1" applyProtection="1">
      <alignment horizontal="center"/>
      <protection/>
    </xf>
    <xf numFmtId="0" fontId="13" fillId="0" borderId="0" xfId="72" applyFont="1" applyBorder="1" applyAlignment="1">
      <alignment horizontal="left"/>
      <protection/>
    </xf>
    <xf numFmtId="0" fontId="20" fillId="0" borderId="0" xfId="72" applyFont="1" applyBorder="1" applyAlignment="1">
      <alignment horizontal="left" vertical="top"/>
      <protection/>
    </xf>
    <xf numFmtId="0" fontId="63" fillId="37" borderId="28" xfId="72" applyFont="1" applyFill="1" applyBorder="1" applyAlignment="1" applyProtection="1">
      <alignment horizontal="center"/>
      <protection/>
    </xf>
    <xf numFmtId="181" fontId="13" fillId="0" borderId="29" xfId="72" applyNumberFormat="1" applyFont="1" applyBorder="1" applyAlignment="1" applyProtection="1" quotePrefix="1">
      <alignment horizontal="center"/>
      <protection/>
    </xf>
    <xf numFmtId="0" fontId="66" fillId="0" borderId="0" xfId="72" applyFont="1">
      <alignment/>
      <protection/>
    </xf>
    <xf numFmtId="0" fontId="3" fillId="0" borderId="41" xfId="72" applyFont="1" applyBorder="1" applyAlignment="1" applyProtection="1">
      <alignment horizontal="center"/>
      <protection/>
    </xf>
    <xf numFmtId="0" fontId="11" fillId="0" borderId="0" xfId="72" applyFont="1" applyFill="1" applyAlignment="1">
      <alignment horizontal="right" vertical="top"/>
      <protection/>
    </xf>
    <xf numFmtId="0" fontId="9" fillId="0" borderId="0" xfId="72" applyFont="1" applyFill="1" applyAlignment="1">
      <alignment horizontal="centerContinuous"/>
      <protection/>
    </xf>
    <xf numFmtId="0" fontId="6" fillId="0" borderId="0" xfId="72" applyFont="1" applyFill="1" applyAlignment="1">
      <alignment horizontal="centerContinuous"/>
      <protection/>
    </xf>
    <xf numFmtId="0" fontId="14" fillId="0" borderId="0" xfId="72" applyFont="1" applyFill="1" applyAlignment="1">
      <alignment horizontal="centerContinuous"/>
      <protection/>
    </xf>
    <xf numFmtId="0" fontId="14" fillId="0" borderId="0" xfId="72" applyFont="1" applyFill="1">
      <alignment/>
      <protection/>
    </xf>
    <xf numFmtId="0" fontId="13" fillId="0" borderId="11" xfId="72" applyFont="1" applyFill="1" applyBorder="1">
      <alignment/>
      <protection/>
    </xf>
    <xf numFmtId="0" fontId="13" fillId="0" borderId="12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6" fillId="0" borderId="14" xfId="72" applyFont="1" applyFill="1" applyBorder="1">
      <alignment/>
      <protection/>
    </xf>
    <xf numFmtId="0" fontId="16" fillId="0" borderId="0" xfId="72" applyFont="1" applyFill="1" applyBorder="1">
      <alignment/>
      <protection/>
    </xf>
    <xf numFmtId="0" fontId="20" fillId="0" borderId="0" xfId="72" applyFont="1" applyFill="1" applyBorder="1" applyAlignment="1">
      <alignment horizontal="left"/>
      <protection/>
    </xf>
    <xf numFmtId="0" fontId="16" fillId="0" borderId="0" xfId="72" applyFont="1" applyFill="1" applyBorder="1" applyAlignment="1" applyProtection="1">
      <alignment horizontal="left"/>
      <protection/>
    </xf>
    <xf numFmtId="0" fontId="13" fillId="0" borderId="14" xfId="72" applyFont="1" applyFill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6" fillId="0" borderId="0" xfId="72" applyFont="1" applyFill="1" applyAlignment="1">
      <alignment vertical="center"/>
      <protection/>
    </xf>
    <xf numFmtId="0" fontId="16" fillId="0" borderId="14" xfId="72" applyFont="1" applyFill="1" applyBorder="1" applyAlignment="1">
      <alignment vertical="center"/>
      <protection/>
    </xf>
    <xf numFmtId="0" fontId="16" fillId="0" borderId="0" xfId="72" applyFont="1" applyFill="1" applyBorder="1" applyAlignment="1">
      <alignment vertical="center"/>
      <protection/>
    </xf>
    <xf numFmtId="0" fontId="20" fillId="0" borderId="0" xfId="72" applyFont="1" applyFill="1" applyBorder="1" applyAlignment="1">
      <alignment horizontal="left" vertical="center"/>
      <protection/>
    </xf>
    <xf numFmtId="0" fontId="20" fillId="0" borderId="0" xfId="72" applyFont="1" applyFill="1" applyBorder="1" applyAlignment="1">
      <alignment vertical="center"/>
      <protection/>
    </xf>
    <xf numFmtId="0" fontId="16" fillId="0" borderId="15" xfId="72" applyFont="1" applyFill="1" applyBorder="1" applyAlignment="1">
      <alignment vertical="center"/>
      <protection/>
    </xf>
    <xf numFmtId="0" fontId="16" fillId="0" borderId="0" xfId="72" applyFont="1" applyAlignment="1">
      <alignment vertical="center"/>
      <protection/>
    </xf>
    <xf numFmtId="0" fontId="13" fillId="0" borderId="0" xfId="72" applyFont="1" applyFill="1" applyAlignment="1">
      <alignment vertical="center"/>
      <protection/>
    </xf>
    <xf numFmtId="0" fontId="13" fillId="0" borderId="14" xfId="72" applyFont="1" applyFill="1" applyBorder="1" applyAlignment="1">
      <alignment vertical="center"/>
      <protection/>
    </xf>
    <xf numFmtId="0" fontId="13" fillId="0" borderId="0" xfId="72" applyFont="1" applyFill="1" applyBorder="1" applyAlignment="1">
      <alignment vertical="center"/>
      <protection/>
    </xf>
    <xf numFmtId="0" fontId="13" fillId="0" borderId="0" xfId="72" applyFont="1" applyAlignment="1">
      <alignment vertical="center"/>
      <protection/>
    </xf>
    <xf numFmtId="0" fontId="13" fillId="0" borderId="15" xfId="72" applyFont="1" applyFill="1" applyBorder="1" applyAlignment="1">
      <alignment vertical="center"/>
      <protection/>
    </xf>
    <xf numFmtId="0" fontId="20" fillId="0" borderId="0" xfId="72" applyFont="1" applyFill="1" applyAlignment="1">
      <alignment vertical="center"/>
      <protection/>
    </xf>
    <xf numFmtId="0" fontId="25" fillId="0" borderId="0" xfId="72" applyFont="1" applyFill="1" applyBorder="1" applyAlignment="1">
      <alignment vertical="center"/>
      <protection/>
    </xf>
    <xf numFmtId="0" fontId="13" fillId="0" borderId="0" xfId="72" applyFont="1" applyFill="1" applyBorder="1" applyAlignment="1">
      <alignment horizontal="center"/>
      <protection/>
    </xf>
    <xf numFmtId="0" fontId="23" fillId="0" borderId="0" xfId="72" applyFont="1" applyFill="1">
      <alignment/>
      <protection/>
    </xf>
    <xf numFmtId="0" fontId="24" fillId="0" borderId="0" xfId="72" applyFont="1" applyFill="1" applyAlignment="1">
      <alignment horizontal="centerContinuous"/>
      <protection/>
    </xf>
    <xf numFmtId="0" fontId="24" fillId="0" borderId="0" xfId="72" applyFont="1" applyFill="1" applyBorder="1" applyAlignment="1">
      <alignment horizontal="centerContinuous"/>
      <protection/>
    </xf>
    <xf numFmtId="0" fontId="26" fillId="0" borderId="15" xfId="72" applyFont="1" applyFill="1" applyBorder="1" applyAlignment="1">
      <alignment horizontal="centerContinuous"/>
      <protection/>
    </xf>
    <xf numFmtId="0" fontId="13" fillId="0" borderId="16" xfId="72" applyFont="1" applyFill="1" applyBorder="1" applyAlignment="1" applyProtection="1">
      <alignment horizontal="left"/>
      <protection/>
    </xf>
    <xf numFmtId="0" fontId="13" fillId="0" borderId="41" xfId="72" applyFont="1" applyFill="1" applyBorder="1" applyAlignment="1" applyProtection="1">
      <alignment horizontal="center"/>
      <protection/>
    </xf>
    <xf numFmtId="0" fontId="13" fillId="0" borderId="21" xfId="72" applyFont="1" applyFill="1" applyBorder="1" applyAlignment="1">
      <alignment horizontal="center"/>
      <protection/>
    </xf>
    <xf numFmtId="0" fontId="3" fillId="0" borderId="16" xfId="72" applyFont="1" applyFill="1" applyBorder="1" applyAlignment="1" applyProtection="1" quotePrefix="1">
      <alignment horizontal="left"/>
      <protection/>
    </xf>
    <xf numFmtId="0" fontId="3" fillId="0" borderId="22" xfId="72" applyFont="1" applyFill="1" applyBorder="1" applyAlignment="1" applyProtection="1">
      <alignment horizontal="center"/>
      <protection/>
    </xf>
    <xf numFmtId="172" fontId="3" fillId="0" borderId="21" xfId="72" applyNumberFormat="1" applyFont="1" applyFill="1" applyBorder="1" applyAlignment="1" applyProtection="1">
      <alignment horizontal="center"/>
      <protection/>
    </xf>
    <xf numFmtId="22" fontId="13" fillId="0" borderId="0" xfId="72" applyNumberFormat="1" applyFont="1" applyFill="1" applyBorder="1">
      <alignment/>
      <protection/>
    </xf>
    <xf numFmtId="0" fontId="29" fillId="0" borderId="0" xfId="72" applyFont="1" applyFill="1" applyBorder="1">
      <alignment/>
      <protection/>
    </xf>
    <xf numFmtId="0" fontId="30" fillId="0" borderId="21" xfId="72" applyFont="1" applyFill="1" applyBorder="1" applyAlignment="1">
      <alignment horizontal="center" vertical="center"/>
      <protection/>
    </xf>
    <xf numFmtId="0" fontId="30" fillId="0" borderId="21" xfId="72" applyFont="1" applyFill="1" applyBorder="1" applyAlignment="1" applyProtection="1">
      <alignment horizontal="center" vertical="center" wrapText="1"/>
      <protection/>
    </xf>
    <xf numFmtId="0" fontId="30" fillId="0" borderId="21" xfId="72" applyFont="1" applyFill="1" applyBorder="1" applyAlignment="1" applyProtection="1">
      <alignment horizontal="center" vertical="center"/>
      <protection/>
    </xf>
    <xf numFmtId="0" fontId="30" fillId="0" borderId="21" xfId="72" applyFont="1" applyFill="1" applyBorder="1" applyAlignment="1" applyProtection="1" quotePrefix="1">
      <alignment horizontal="center" vertical="center" wrapText="1"/>
      <protection/>
    </xf>
    <xf numFmtId="0" fontId="30" fillId="0" borderId="21" xfId="72" applyFont="1" applyFill="1" applyBorder="1" applyAlignment="1">
      <alignment horizontal="center" vertical="center" wrapText="1"/>
      <protection/>
    </xf>
    <xf numFmtId="0" fontId="60" fillId="37" borderId="21" xfId="72" applyFont="1" applyFill="1" applyBorder="1" applyAlignment="1" applyProtection="1">
      <alignment horizontal="center" vertical="center"/>
      <protection/>
    </xf>
    <xf numFmtId="0" fontId="30" fillId="0" borderId="16" xfId="72" applyFont="1" applyFill="1" applyBorder="1" applyAlignment="1" applyProtection="1">
      <alignment horizontal="center" vertical="center"/>
      <protection/>
    </xf>
    <xf numFmtId="0" fontId="62" fillId="42" borderId="21" xfId="72" applyFont="1" applyFill="1" applyBorder="1" applyAlignment="1" applyProtection="1">
      <alignment horizontal="center" vertical="center"/>
      <protection/>
    </xf>
    <xf numFmtId="0" fontId="67" fillId="39" borderId="21" xfId="72" applyFont="1" applyFill="1" applyBorder="1" applyAlignment="1">
      <alignment horizontal="center" vertical="center" wrapText="1"/>
      <protection/>
    </xf>
    <xf numFmtId="0" fontId="68" fillId="36" borderId="21" xfId="72" applyFont="1" applyFill="1" applyBorder="1" applyAlignment="1">
      <alignment horizontal="center" vertical="center" wrapText="1"/>
      <protection/>
    </xf>
    <xf numFmtId="0" fontId="69" fillId="43" borderId="16" xfId="72" applyFont="1" applyFill="1" applyBorder="1" applyAlignment="1" applyProtection="1">
      <alignment horizontal="centerContinuous" vertical="center" wrapText="1"/>
      <protection/>
    </xf>
    <xf numFmtId="0" fontId="69" fillId="43" borderId="17" xfId="72" applyFont="1" applyFill="1" applyBorder="1" applyAlignment="1">
      <alignment horizontal="centerContinuous" vertical="center"/>
      <protection/>
    </xf>
    <xf numFmtId="0" fontId="34" fillId="44" borderId="21" xfId="72" applyFont="1" applyFill="1" applyBorder="1" applyAlignment="1">
      <alignment horizontal="center" vertical="center" wrapText="1"/>
      <protection/>
    </xf>
    <xf numFmtId="0" fontId="70" fillId="39" borderId="21" xfId="72" applyFont="1" applyFill="1" applyBorder="1" applyAlignment="1">
      <alignment horizontal="center" vertical="center" wrapText="1"/>
      <protection/>
    </xf>
    <xf numFmtId="0" fontId="13" fillId="0" borderId="43" xfId="72" applyFont="1" applyFill="1" applyBorder="1" applyAlignment="1">
      <alignment horizontal="center"/>
      <protection/>
    </xf>
    <xf numFmtId="172" fontId="13" fillId="0" borderId="43" xfId="72" applyNumberFormat="1" applyFont="1" applyFill="1" applyBorder="1" applyAlignment="1" applyProtection="1">
      <alignment horizontal="center"/>
      <protection/>
    </xf>
    <xf numFmtId="0" fontId="63" fillId="37" borderId="43" xfId="72" applyFont="1" applyFill="1" applyBorder="1" applyAlignment="1">
      <alignment horizontal="center"/>
      <protection/>
    </xf>
    <xf numFmtId="0" fontId="13" fillId="0" borderId="44" xfId="72" applyFont="1" applyFill="1" applyBorder="1" applyAlignment="1">
      <alignment horizontal="center"/>
      <protection/>
    </xf>
    <xf numFmtId="0" fontId="29" fillId="42" borderId="43" xfId="72" applyFont="1" applyFill="1" applyBorder="1" applyAlignment="1">
      <alignment horizontal="center"/>
      <protection/>
    </xf>
    <xf numFmtId="0" fontId="71" fillId="39" borderId="43" xfId="72" applyFont="1" applyFill="1" applyBorder="1" applyAlignment="1">
      <alignment horizontal="center"/>
      <protection/>
    </xf>
    <xf numFmtId="0" fontId="72" fillId="36" borderId="43" xfId="72" applyFont="1" applyFill="1" applyBorder="1" applyAlignment="1">
      <alignment horizontal="center"/>
      <protection/>
    </xf>
    <xf numFmtId="0" fontId="52" fillId="37" borderId="24" xfId="72" applyFont="1" applyFill="1" applyBorder="1" applyAlignment="1">
      <alignment horizontal="center"/>
      <protection/>
    </xf>
    <xf numFmtId="0" fontId="52" fillId="37" borderId="26" xfId="72" applyFont="1" applyFill="1" applyBorder="1" applyAlignment="1">
      <alignment horizontal="center"/>
      <protection/>
    </xf>
    <xf numFmtId="0" fontId="73" fillId="43" borderId="45" xfId="72" applyFont="1" applyFill="1" applyBorder="1" applyAlignment="1">
      <alignment horizontal="center"/>
      <protection/>
    </xf>
    <xf numFmtId="0" fontId="73" fillId="43" borderId="46" xfId="72" applyFont="1" applyFill="1" applyBorder="1" applyAlignment="1">
      <alignment horizontal="center"/>
      <protection/>
    </xf>
    <xf numFmtId="0" fontId="50" fillId="44" borderId="43" xfId="72" applyFont="1" applyFill="1" applyBorder="1" applyAlignment="1">
      <alignment horizontal="center"/>
      <protection/>
    </xf>
    <xf numFmtId="0" fontId="74" fillId="39" borderId="43" xfId="72" applyFont="1" applyFill="1" applyBorder="1" applyAlignment="1">
      <alignment horizontal="center"/>
      <protection/>
    </xf>
    <xf numFmtId="7" fontId="48" fillId="0" borderId="44" xfId="72" applyNumberFormat="1" applyFont="1" applyFill="1" applyBorder="1" applyAlignment="1">
      <alignment/>
      <protection/>
    </xf>
    <xf numFmtId="172" fontId="13" fillId="0" borderId="27" xfId="72" applyNumberFormat="1" applyFont="1" applyFill="1" applyBorder="1" applyAlignment="1" applyProtection="1">
      <alignment horizontal="center"/>
      <protection/>
    </xf>
    <xf numFmtId="0" fontId="63" fillId="37" borderId="27" xfId="72" applyFont="1" applyFill="1" applyBorder="1" applyAlignment="1">
      <alignment horizontal="center"/>
      <protection/>
    </xf>
    <xf numFmtId="0" fontId="13" fillId="0" borderId="47" xfId="72" applyFont="1" applyFill="1" applyBorder="1" applyAlignment="1">
      <alignment horizontal="center"/>
      <protection/>
    </xf>
    <xf numFmtId="0" fontId="29" fillId="42" borderId="27" xfId="72" applyFont="1" applyFill="1" applyBorder="1" applyAlignment="1">
      <alignment horizontal="center"/>
      <protection/>
    </xf>
    <xf numFmtId="0" fontId="71" fillId="39" borderId="27" xfId="72" applyFont="1" applyFill="1" applyBorder="1" applyAlignment="1">
      <alignment horizontal="center"/>
      <protection/>
    </xf>
    <xf numFmtId="0" fontId="72" fillId="36" borderId="27" xfId="72" applyFont="1" applyFill="1" applyBorder="1" applyAlignment="1">
      <alignment horizontal="center"/>
      <protection/>
    </xf>
    <xf numFmtId="0" fontId="52" fillId="37" borderId="48" xfId="72" applyFont="1" applyFill="1" applyBorder="1" applyAlignment="1">
      <alignment horizontal="center"/>
      <protection/>
    </xf>
    <xf numFmtId="0" fontId="52" fillId="37" borderId="49" xfId="72" applyFont="1" applyFill="1" applyBorder="1" applyAlignment="1">
      <alignment horizontal="center"/>
      <protection/>
    </xf>
    <xf numFmtId="0" fontId="73" fillId="43" borderId="48" xfId="72" applyFont="1" applyFill="1" applyBorder="1" applyAlignment="1">
      <alignment horizontal="center"/>
      <protection/>
    </xf>
    <xf numFmtId="0" fontId="73" fillId="43" borderId="49" xfId="72" applyFont="1" applyFill="1" applyBorder="1" applyAlignment="1">
      <alignment horizontal="center"/>
      <protection/>
    </xf>
    <xf numFmtId="0" fontId="50" fillId="44" borderId="27" xfId="72" applyFont="1" applyFill="1" applyBorder="1" applyAlignment="1">
      <alignment horizontal="center"/>
      <protection/>
    </xf>
    <xf numFmtId="0" fontId="74" fillId="39" borderId="27" xfId="72" applyFont="1" applyFill="1" applyBorder="1" applyAlignment="1">
      <alignment horizontal="center"/>
      <protection/>
    </xf>
    <xf numFmtId="0" fontId="48" fillId="0" borderId="47" xfId="72" applyFont="1" applyFill="1" applyBorder="1" applyAlignment="1">
      <alignment horizontal="center"/>
      <protection/>
    </xf>
    <xf numFmtId="0" fontId="13" fillId="0" borderId="27" xfId="72" applyFont="1" applyBorder="1" applyAlignment="1" applyProtection="1">
      <alignment horizontal="center"/>
      <protection locked="0"/>
    </xf>
    <xf numFmtId="0" fontId="13" fillId="0" borderId="32" xfId="72" applyFont="1" applyBorder="1" applyAlignment="1" applyProtection="1">
      <alignment horizontal="center"/>
      <protection locked="0"/>
    </xf>
    <xf numFmtId="172" fontId="13" fillId="0" borderId="27" xfId="72" applyNumberFormat="1" applyFont="1" applyBorder="1" applyAlignment="1" applyProtection="1">
      <alignment horizontal="center"/>
      <protection locked="0"/>
    </xf>
    <xf numFmtId="1" fontId="13" fillId="0" borderId="49" xfId="72" applyNumberFormat="1" applyFont="1" applyBorder="1" applyAlignment="1" applyProtection="1" quotePrefix="1">
      <alignment horizontal="center"/>
      <protection locked="0"/>
    </xf>
    <xf numFmtId="182" fontId="63" fillId="37" borderId="28" xfId="72" applyNumberFormat="1" applyFont="1" applyFill="1" applyBorder="1" applyAlignment="1" applyProtection="1">
      <alignment horizontal="center"/>
      <protection/>
    </xf>
    <xf numFmtId="22" fontId="13" fillId="0" borderId="28" xfId="72" applyNumberFormat="1" applyFont="1" applyFill="1" applyBorder="1" applyAlignment="1" applyProtection="1">
      <alignment horizontal="center"/>
      <protection locked="0"/>
    </xf>
    <xf numFmtId="4" fontId="13" fillId="0" borderId="28" xfId="72" applyNumberFormat="1" applyFont="1" applyFill="1" applyBorder="1" applyAlignment="1" applyProtection="1">
      <alignment horizontal="center"/>
      <protection/>
    </xf>
    <xf numFmtId="3" fontId="13" fillId="0" borderId="28" xfId="72" applyNumberFormat="1" applyFont="1" applyFill="1" applyBorder="1" applyAlignment="1" applyProtection="1">
      <alignment horizontal="center"/>
      <protection/>
    </xf>
    <xf numFmtId="176" fontId="13" fillId="0" borderId="28" xfId="72" applyNumberFormat="1" applyFont="1" applyFill="1" applyBorder="1" applyAlignment="1" applyProtection="1">
      <alignment horizontal="center"/>
      <protection locked="0"/>
    </xf>
    <xf numFmtId="176" fontId="13" fillId="0" borderId="28" xfId="72" applyNumberFormat="1" applyFont="1" applyBorder="1" applyAlignment="1" applyProtection="1" quotePrefix="1">
      <alignment horizontal="center"/>
      <protection/>
    </xf>
    <xf numFmtId="172" fontId="29" fillId="42" borderId="28" xfId="72" applyNumberFormat="1" applyFont="1" applyFill="1" applyBorder="1" applyAlignment="1" applyProtection="1">
      <alignment horizontal="center"/>
      <protection/>
    </xf>
    <xf numFmtId="2" fontId="71" fillId="39" borderId="28" xfId="72" applyNumberFormat="1" applyFont="1" applyFill="1" applyBorder="1" applyAlignment="1">
      <alignment horizontal="center"/>
      <protection/>
    </xf>
    <xf numFmtId="2" fontId="72" fillId="36" borderId="28" xfId="72" applyNumberFormat="1" applyFont="1" applyFill="1" applyBorder="1" applyAlignment="1">
      <alignment horizontal="center"/>
      <protection/>
    </xf>
    <xf numFmtId="176" fontId="52" fillId="37" borderId="48" xfId="72" applyNumberFormat="1" applyFont="1" applyFill="1" applyBorder="1" applyAlignment="1" applyProtection="1" quotePrefix="1">
      <alignment horizontal="center"/>
      <protection/>
    </xf>
    <xf numFmtId="176" fontId="52" fillId="37" borderId="49" xfId="72" applyNumberFormat="1" applyFont="1" applyFill="1" applyBorder="1" applyAlignment="1" applyProtection="1" quotePrefix="1">
      <alignment horizontal="center"/>
      <protection/>
    </xf>
    <xf numFmtId="176" fontId="73" fillId="43" borderId="48" xfId="72" applyNumberFormat="1" applyFont="1" applyFill="1" applyBorder="1" applyAlignment="1" applyProtection="1" quotePrefix="1">
      <alignment horizontal="center"/>
      <protection/>
    </xf>
    <xf numFmtId="176" fontId="73" fillId="43" borderId="49" xfId="72" applyNumberFormat="1" applyFont="1" applyFill="1" applyBorder="1" applyAlignment="1" applyProtection="1" quotePrefix="1">
      <alignment horizontal="center"/>
      <protection/>
    </xf>
    <xf numFmtId="176" fontId="50" fillId="44" borderId="28" xfId="72" applyNumberFormat="1" applyFont="1" applyFill="1" applyBorder="1" applyAlignment="1" applyProtection="1" quotePrefix="1">
      <alignment horizontal="center"/>
      <protection/>
    </xf>
    <xf numFmtId="176" fontId="74" fillId="39" borderId="27" xfId="72" applyNumberFormat="1" applyFont="1" applyFill="1" applyBorder="1" applyAlignment="1" applyProtection="1" quotePrefix="1">
      <alignment horizontal="center"/>
      <protection/>
    </xf>
    <xf numFmtId="176" fontId="13" fillId="0" borderId="29" xfId="72" applyNumberFormat="1" applyFont="1" applyFill="1" applyBorder="1" applyAlignment="1">
      <alignment horizontal="center"/>
      <protection/>
    </xf>
    <xf numFmtId="0" fontId="13" fillId="0" borderId="47" xfId="72" applyFont="1" applyBorder="1" applyAlignment="1" applyProtection="1">
      <alignment horizontal="center"/>
      <protection locked="0"/>
    </xf>
    <xf numFmtId="0" fontId="75" fillId="0" borderId="36" xfId="72" applyFont="1" applyFill="1" applyBorder="1" applyAlignment="1" applyProtection="1">
      <alignment horizontal="center"/>
      <protection locked="0"/>
    </xf>
    <xf numFmtId="0" fontId="75" fillId="0" borderId="36" xfId="72" applyFont="1" applyFill="1" applyBorder="1" applyAlignment="1" applyProtection="1" quotePrefix="1">
      <alignment horizontal="center"/>
      <protection locked="0"/>
    </xf>
    <xf numFmtId="172" fontId="49" fillId="0" borderId="34" xfId="72" applyNumberFormat="1" applyFont="1" applyFill="1" applyBorder="1" applyAlignment="1" applyProtection="1">
      <alignment horizontal="center"/>
      <protection locked="0"/>
    </xf>
    <xf numFmtId="176" fontId="63" fillId="37" borderId="36" xfId="72" applyNumberFormat="1" applyFont="1" applyFill="1" applyBorder="1" applyAlignment="1" applyProtection="1">
      <alignment horizontal="center"/>
      <protection/>
    </xf>
    <xf numFmtId="0" fontId="13" fillId="0" borderId="36" xfId="72" applyFont="1" applyFill="1" applyBorder="1" applyAlignment="1" applyProtection="1">
      <alignment horizontal="center"/>
      <protection locked="0"/>
    </xf>
    <xf numFmtId="38" fontId="13" fillId="0" borderId="36" xfId="72" applyNumberFormat="1" applyFont="1" applyFill="1" applyBorder="1" applyAlignment="1" applyProtection="1">
      <alignment horizontal="center"/>
      <protection locked="0"/>
    </xf>
    <xf numFmtId="38" fontId="13" fillId="0" borderId="36" xfId="72" applyNumberFormat="1" applyFont="1" applyFill="1" applyBorder="1" applyAlignment="1" applyProtection="1">
      <alignment horizontal="center"/>
      <protection/>
    </xf>
    <xf numFmtId="172" fontId="13" fillId="0" borderId="36" xfId="72" applyNumberFormat="1" applyFont="1" applyFill="1" applyBorder="1" applyAlignment="1" applyProtection="1" quotePrefix="1">
      <alignment horizontal="center"/>
      <protection/>
    </xf>
    <xf numFmtId="176" fontId="13" fillId="0" borderId="36" xfId="72" applyNumberFormat="1" applyFont="1" applyFill="1" applyBorder="1" applyAlignment="1" applyProtection="1">
      <alignment horizontal="center"/>
      <protection locked="0"/>
    </xf>
    <xf numFmtId="176" fontId="13" fillId="0" borderId="50" xfId="72" applyNumberFormat="1" applyFont="1" applyFill="1" applyBorder="1" applyAlignment="1" applyProtection="1">
      <alignment horizontal="center"/>
      <protection locked="0"/>
    </xf>
    <xf numFmtId="172" fontId="29" fillId="42" borderId="36" xfId="72" applyNumberFormat="1" applyFont="1" applyFill="1" applyBorder="1" applyAlignment="1" applyProtection="1">
      <alignment horizontal="center"/>
      <protection/>
    </xf>
    <xf numFmtId="2" fontId="71" fillId="39" borderId="36" xfId="72" applyNumberFormat="1" applyFont="1" applyFill="1" applyBorder="1" applyAlignment="1">
      <alignment horizontal="center"/>
      <protection/>
    </xf>
    <xf numFmtId="2" fontId="72" fillId="36" borderId="36" xfId="72" applyNumberFormat="1" applyFont="1" applyFill="1" applyBorder="1" applyAlignment="1">
      <alignment horizontal="center"/>
      <protection/>
    </xf>
    <xf numFmtId="176" fontId="52" fillId="37" borderId="51" xfId="72" applyNumberFormat="1" applyFont="1" applyFill="1" applyBorder="1" applyAlignment="1" applyProtection="1" quotePrefix="1">
      <alignment horizontal="center"/>
      <protection/>
    </xf>
    <xf numFmtId="176" fontId="52" fillId="37" borderId="52" xfId="72" applyNumberFormat="1" applyFont="1" applyFill="1" applyBorder="1" applyAlignment="1" applyProtection="1" quotePrefix="1">
      <alignment horizontal="center"/>
      <protection/>
    </xf>
    <xf numFmtId="176" fontId="73" fillId="43" borderId="37" xfId="72" applyNumberFormat="1" applyFont="1" applyFill="1" applyBorder="1" applyAlignment="1" applyProtection="1" quotePrefix="1">
      <alignment horizontal="center"/>
      <protection/>
    </xf>
    <xf numFmtId="176" fontId="73" fillId="43" borderId="39" xfId="72" applyNumberFormat="1" applyFont="1" applyFill="1" applyBorder="1" applyAlignment="1" applyProtection="1" quotePrefix="1">
      <alignment horizontal="center"/>
      <protection/>
    </xf>
    <xf numFmtId="176" fontId="50" fillId="44" borderId="36" xfId="72" applyNumberFormat="1" applyFont="1" applyFill="1" applyBorder="1" applyAlignment="1" applyProtection="1" quotePrefix="1">
      <alignment horizontal="center"/>
      <protection/>
    </xf>
    <xf numFmtId="176" fontId="74" fillId="39" borderId="36" xfId="72" applyNumberFormat="1" applyFont="1" applyFill="1" applyBorder="1" applyAlignment="1" applyProtection="1" quotePrefix="1">
      <alignment horizontal="center"/>
      <protection/>
    </xf>
    <xf numFmtId="176" fontId="76" fillId="0" borderId="50" xfId="72" applyNumberFormat="1" applyFont="1" applyFill="1" applyBorder="1" applyAlignment="1">
      <alignment horizontal="center"/>
      <protection/>
    </xf>
    <xf numFmtId="176" fontId="65" fillId="0" borderId="53" xfId="72" applyNumberFormat="1" applyFont="1" applyFill="1" applyBorder="1" applyAlignment="1">
      <alignment horizontal="center"/>
      <protection/>
    </xf>
    <xf numFmtId="4" fontId="71" fillId="39" borderId="21" xfId="72" applyNumberFormat="1" applyFont="1" applyFill="1" applyBorder="1" applyAlignment="1">
      <alignment horizontal="center"/>
      <protection/>
    </xf>
    <xf numFmtId="4" fontId="72" fillId="36" borderId="21" xfId="72" applyNumberFormat="1" applyFont="1" applyFill="1" applyBorder="1" applyAlignment="1">
      <alignment horizontal="center"/>
      <protection/>
    </xf>
    <xf numFmtId="4" fontId="52" fillId="37" borderId="54" xfId="72" applyNumberFormat="1" applyFont="1" applyFill="1" applyBorder="1" applyAlignment="1">
      <alignment horizontal="center"/>
      <protection/>
    </xf>
    <xf numFmtId="4" fontId="52" fillId="37" borderId="17" xfId="72" applyNumberFormat="1" applyFont="1" applyFill="1" applyBorder="1" applyAlignment="1">
      <alignment horizontal="center"/>
      <protection/>
    </xf>
    <xf numFmtId="4" fontId="73" fillId="43" borderId="54" xfId="72" applyNumberFormat="1" applyFont="1" applyFill="1" applyBorder="1" applyAlignment="1">
      <alignment horizontal="center"/>
      <protection/>
    </xf>
    <xf numFmtId="4" fontId="73" fillId="43" borderId="55" xfId="72" applyNumberFormat="1" applyFont="1" applyFill="1" applyBorder="1" applyAlignment="1">
      <alignment horizontal="center"/>
      <protection/>
    </xf>
    <xf numFmtId="4" fontId="50" fillId="44" borderId="21" xfId="72" applyNumberFormat="1" applyFont="1" applyFill="1" applyBorder="1" applyAlignment="1">
      <alignment horizontal="center"/>
      <protection/>
    </xf>
    <xf numFmtId="4" fontId="74" fillId="39" borderId="21" xfId="72" applyNumberFormat="1" applyFont="1" applyFill="1" applyBorder="1" applyAlignment="1">
      <alignment horizontal="center"/>
      <protection/>
    </xf>
    <xf numFmtId="7" fontId="77" fillId="0" borderId="21" xfId="72" applyNumberFormat="1" applyFont="1" applyFill="1" applyBorder="1" applyAlignment="1">
      <alignment horizontal="right"/>
      <protection/>
    </xf>
    <xf numFmtId="0" fontId="13" fillId="0" borderId="18" xfId="72" applyFont="1" applyFill="1" applyBorder="1">
      <alignment/>
      <protection/>
    </xf>
    <xf numFmtId="0" fontId="13" fillId="0" borderId="19" xfId="72" applyFont="1" applyFill="1" applyBorder="1">
      <alignment/>
      <protection/>
    </xf>
    <xf numFmtId="0" fontId="13" fillId="0" borderId="20" xfId="72" applyFont="1" applyFill="1" applyBorder="1">
      <alignment/>
      <protection/>
    </xf>
    <xf numFmtId="0" fontId="3" fillId="0" borderId="0" xfId="72" applyFill="1">
      <alignment/>
      <protection/>
    </xf>
    <xf numFmtId="0" fontId="0" fillId="0" borderId="0" xfId="72" applyFont="1">
      <alignment/>
      <protection/>
    </xf>
    <xf numFmtId="0" fontId="13" fillId="0" borderId="0" xfId="72" applyFont="1" applyFill="1" applyAlignment="1">
      <alignment vertical="top"/>
      <protection/>
    </xf>
    <xf numFmtId="0" fontId="63" fillId="37" borderId="35" xfId="72" applyFont="1" applyFill="1" applyBorder="1" applyAlignment="1">
      <alignment horizontal="center"/>
      <protection/>
    </xf>
    <xf numFmtId="176" fontId="13" fillId="0" borderId="27" xfId="72" applyNumberFormat="1" applyFont="1" applyBorder="1" applyAlignment="1" applyProtection="1">
      <alignment horizontal="center"/>
      <protection/>
    </xf>
    <xf numFmtId="2" fontId="72" fillId="36" borderId="28" xfId="72" applyNumberFormat="1" applyFont="1" applyFill="1" applyBorder="1" applyAlignment="1" applyProtection="1">
      <alignment horizontal="center"/>
      <protection/>
    </xf>
    <xf numFmtId="0" fontId="16" fillId="0" borderId="0" xfId="72" applyFont="1" applyFill="1" applyAlignment="1">
      <alignment vertical="top"/>
      <protection/>
    </xf>
    <xf numFmtId="0" fontId="13" fillId="0" borderId="13" xfId="72" applyFont="1" applyBorder="1">
      <alignment/>
      <protection/>
    </xf>
    <xf numFmtId="0" fontId="20" fillId="0" borderId="0" xfId="72" applyFont="1" applyFill="1" applyBorder="1">
      <alignment/>
      <protection/>
    </xf>
    <xf numFmtId="0" fontId="16" fillId="0" borderId="15" xfId="72" applyFont="1" applyBorder="1">
      <alignment/>
      <protection/>
    </xf>
    <xf numFmtId="0" fontId="20" fillId="0" borderId="0" xfId="72" applyFont="1" applyFill="1">
      <alignment/>
      <protection/>
    </xf>
    <xf numFmtId="0" fontId="79" fillId="0" borderId="0" xfId="72" applyFont="1" applyFill="1">
      <alignment/>
      <protection/>
    </xf>
    <xf numFmtId="0" fontId="16" fillId="0" borderId="0" xfId="72" applyFont="1" applyFill="1" applyBorder="1" applyProtection="1">
      <alignment/>
      <protection/>
    </xf>
    <xf numFmtId="0" fontId="5" fillId="0" borderId="0" xfId="72" applyFont="1" applyFill="1">
      <alignment/>
      <protection/>
    </xf>
    <xf numFmtId="0" fontId="13" fillId="0" borderId="0" xfId="72" applyFont="1" applyFill="1" applyBorder="1" applyProtection="1">
      <alignment/>
      <protection/>
    </xf>
    <xf numFmtId="0" fontId="24" fillId="0" borderId="0" xfId="72" applyFont="1" applyBorder="1" applyAlignment="1" applyProtection="1">
      <alignment horizontal="centerContinuous"/>
      <protection/>
    </xf>
    <xf numFmtId="0" fontId="24" fillId="0" borderId="15" xfId="72" applyFont="1" applyBorder="1" applyAlignment="1">
      <alignment horizontal="centerContinuous"/>
      <protection/>
    </xf>
    <xf numFmtId="0" fontId="25" fillId="0" borderId="14" xfId="72" applyFont="1" applyBorder="1" applyAlignment="1">
      <alignment horizontal="centerContinuous"/>
      <protection/>
    </xf>
    <xf numFmtId="0" fontId="25" fillId="0" borderId="0" xfId="72" applyFont="1" applyBorder="1" applyAlignment="1">
      <alignment horizontal="centerContinuous"/>
      <protection/>
    </xf>
    <xf numFmtId="0" fontId="25" fillId="0" borderId="0" xfId="72" applyFont="1" applyBorder="1" applyAlignment="1" applyProtection="1">
      <alignment horizontal="centerContinuous"/>
      <protection/>
    </xf>
    <xf numFmtId="0" fontId="25" fillId="0" borderId="15" xfId="72" applyFont="1" applyBorder="1" applyAlignment="1">
      <alignment horizontal="centerContinuous"/>
      <protection/>
    </xf>
    <xf numFmtId="0" fontId="3" fillId="0" borderId="0" xfId="72" applyFont="1" applyBorder="1">
      <alignment/>
      <protection/>
    </xf>
    <xf numFmtId="0" fontId="3" fillId="0" borderId="21" xfId="72" applyFont="1" applyBorder="1" applyAlignment="1">
      <alignment horizontal="center"/>
      <protection/>
    </xf>
    <xf numFmtId="0" fontId="3" fillId="0" borderId="16" xfId="72" applyFont="1" applyBorder="1" applyAlignment="1" applyProtection="1">
      <alignment horizontal="left" vertical="center"/>
      <protection/>
    </xf>
    <xf numFmtId="182" fontId="3" fillId="0" borderId="17" xfId="72" applyNumberFormat="1" applyFont="1" applyBorder="1" applyAlignment="1" applyProtection="1">
      <alignment horizontal="center" vertical="center"/>
      <protection/>
    </xf>
    <xf numFmtId="0" fontId="3" fillId="0" borderId="21" xfId="72" applyFont="1" applyBorder="1" applyAlignment="1">
      <alignment horizontal="center" vertical="center"/>
      <protection/>
    </xf>
    <xf numFmtId="0" fontId="3" fillId="0" borderId="16" xfId="72" applyFont="1" applyBorder="1" applyAlignment="1">
      <alignment vertical="center"/>
      <protection/>
    </xf>
    <xf numFmtId="182" fontId="3" fillId="0" borderId="17" xfId="72" applyNumberFormat="1" applyFont="1" applyBorder="1" applyAlignment="1">
      <alignment horizontal="center" vertical="center"/>
      <protection/>
    </xf>
    <xf numFmtId="0" fontId="3" fillId="0" borderId="16" xfId="72" applyFont="1" applyBorder="1" applyAlignment="1">
      <alignment horizontal="left" vertical="center"/>
      <protection/>
    </xf>
    <xf numFmtId="0" fontId="30" fillId="0" borderId="17" xfId="72" applyFont="1" applyBorder="1" applyAlignment="1" applyProtection="1">
      <alignment horizontal="center" vertical="center"/>
      <protection/>
    </xf>
    <xf numFmtId="0" fontId="30" fillId="0" borderId="22" xfId="72" applyFont="1" applyBorder="1" applyAlignment="1">
      <alignment horizontal="center" vertical="center" wrapText="1"/>
      <protection/>
    </xf>
    <xf numFmtId="0" fontId="30" fillId="0" borderId="17" xfId="72" applyFont="1" applyBorder="1" applyAlignment="1" applyProtection="1">
      <alignment horizontal="center" vertical="center" wrapText="1"/>
      <protection/>
    </xf>
    <xf numFmtId="0" fontId="62" fillId="34" borderId="21" xfId="72" applyFont="1" applyFill="1" applyBorder="1" applyAlignment="1" applyProtection="1">
      <alignment horizontal="center" vertical="center"/>
      <protection/>
    </xf>
    <xf numFmtId="0" fontId="69" fillId="43" borderId="21" xfId="72" applyFont="1" applyFill="1" applyBorder="1" applyAlignment="1">
      <alignment horizontal="center" vertical="center" wrapText="1"/>
      <protection/>
    </xf>
    <xf numFmtId="0" fontId="35" fillId="36" borderId="16" xfId="72" applyFont="1" applyFill="1" applyBorder="1" applyAlignment="1" applyProtection="1">
      <alignment horizontal="centerContinuous" vertical="center" wrapText="1"/>
      <protection/>
    </xf>
    <xf numFmtId="0" fontId="35" fillId="36" borderId="17" xfId="72" applyFont="1" applyFill="1" applyBorder="1" applyAlignment="1">
      <alignment horizontal="centerContinuous" vertical="center"/>
      <protection/>
    </xf>
    <xf numFmtId="0" fontId="62" fillId="35" borderId="21" xfId="72" applyFont="1" applyFill="1" applyBorder="1" applyAlignment="1">
      <alignment horizontal="center" vertical="center" wrapText="1"/>
      <protection/>
    </xf>
    <xf numFmtId="0" fontId="75" fillId="0" borderId="28" xfId="72" applyFont="1" applyBorder="1" applyAlignment="1" applyProtection="1">
      <alignment horizontal="center"/>
      <protection/>
    </xf>
    <xf numFmtId="0" fontId="29" fillId="34" borderId="23" xfId="72" applyFont="1" applyFill="1" applyBorder="1" applyAlignment="1" applyProtection="1">
      <alignment horizontal="center"/>
      <protection/>
    </xf>
    <xf numFmtId="0" fontId="73" fillId="43" borderId="23" xfId="72" applyFont="1" applyFill="1" applyBorder="1" applyAlignment="1" applyProtection="1">
      <alignment horizontal="center"/>
      <protection/>
    </xf>
    <xf numFmtId="176" fontId="51" fillId="36" borderId="24" xfId="72" applyNumberFormat="1" applyFont="1" applyFill="1" applyBorder="1" applyAlignment="1" applyProtection="1" quotePrefix="1">
      <alignment horizontal="center"/>
      <protection/>
    </xf>
    <xf numFmtId="176" fontId="51" fillId="36" borderId="26" xfId="72" applyNumberFormat="1" applyFont="1" applyFill="1" applyBorder="1" applyAlignment="1" applyProtection="1" quotePrefix="1">
      <alignment horizontal="center"/>
      <protection/>
    </xf>
    <xf numFmtId="176" fontId="64" fillId="35" borderId="23" xfId="72" applyNumberFormat="1" applyFont="1" applyFill="1" applyBorder="1" applyAlignment="1" applyProtection="1" quotePrefix="1">
      <alignment horizontal="center"/>
      <protection/>
    </xf>
    <xf numFmtId="7" fontId="80" fillId="0" borderId="28" xfId="72" applyNumberFormat="1" applyFont="1" applyBorder="1" applyAlignment="1" applyProtection="1">
      <alignment/>
      <protection/>
    </xf>
    <xf numFmtId="0" fontId="75" fillId="0" borderId="33" xfId="72" applyFont="1" applyBorder="1" applyAlignment="1" applyProtection="1">
      <alignment horizontal="center"/>
      <protection/>
    </xf>
    <xf numFmtId="0" fontId="63" fillId="37" borderId="33" xfId="72" applyFont="1" applyFill="1" applyBorder="1" applyAlignment="1" applyProtection="1">
      <alignment horizontal="center"/>
      <protection/>
    </xf>
    <xf numFmtId="0" fontId="29" fillId="34" borderId="28" xfId="72" applyFont="1" applyFill="1" applyBorder="1" applyAlignment="1" applyProtection="1">
      <alignment horizontal="center"/>
      <protection/>
    </xf>
    <xf numFmtId="0" fontId="73" fillId="43" borderId="28" xfId="72" applyFont="1" applyFill="1" applyBorder="1" applyAlignment="1" applyProtection="1">
      <alignment horizontal="center"/>
      <protection/>
    </xf>
    <xf numFmtId="176" fontId="51" fillId="36" borderId="30" xfId="72" applyNumberFormat="1" applyFont="1" applyFill="1" applyBorder="1" applyAlignment="1" applyProtection="1" quotePrefix="1">
      <alignment horizontal="center"/>
      <protection/>
    </xf>
    <xf numFmtId="176" fontId="51" fillId="36" borderId="56" xfId="72" applyNumberFormat="1" applyFont="1" applyFill="1" applyBorder="1" applyAlignment="1" applyProtection="1" quotePrefix="1">
      <alignment horizontal="center"/>
      <protection/>
    </xf>
    <xf numFmtId="176" fontId="64" fillId="35" borderId="28" xfId="72" applyNumberFormat="1" applyFont="1" applyFill="1" applyBorder="1" applyAlignment="1" applyProtection="1" quotePrefix="1">
      <alignment horizontal="center"/>
      <protection/>
    </xf>
    <xf numFmtId="176" fontId="78" fillId="0" borderId="28" xfId="72" applyNumberFormat="1" applyFont="1" applyFill="1" applyBorder="1" applyAlignment="1">
      <alignment horizontal="center"/>
      <protection/>
    </xf>
    <xf numFmtId="0" fontId="75" fillId="0" borderId="33" xfId="72" applyFont="1" applyBorder="1" applyAlignment="1" applyProtection="1">
      <alignment horizontal="center"/>
      <protection locked="0"/>
    </xf>
    <xf numFmtId="172" fontId="49" fillId="0" borderId="28" xfId="72" applyNumberFormat="1" applyFont="1" applyBorder="1" applyAlignment="1" applyProtection="1" quotePrefix="1">
      <alignment horizontal="center"/>
      <protection locked="0"/>
    </xf>
    <xf numFmtId="176" fontId="63" fillId="37" borderId="28" xfId="72" applyNumberFormat="1" applyFont="1" applyFill="1" applyBorder="1" applyAlignment="1" applyProtection="1">
      <alignment horizontal="center"/>
      <protection/>
    </xf>
    <xf numFmtId="22" fontId="13" fillId="0" borderId="30" xfId="72" applyNumberFormat="1" applyFont="1" applyBorder="1" applyAlignment="1" applyProtection="1">
      <alignment horizontal="center"/>
      <protection locked="0"/>
    </xf>
    <xf numFmtId="22" fontId="13" fillId="0" borderId="28" xfId="72" applyNumberFormat="1" applyFont="1" applyBorder="1" applyAlignment="1" applyProtection="1">
      <alignment horizontal="center"/>
      <protection locked="0"/>
    </xf>
    <xf numFmtId="2" fontId="13" fillId="0" borderId="28" xfId="72" applyNumberFormat="1" applyFont="1" applyFill="1" applyBorder="1" applyAlignment="1" applyProtection="1" quotePrefix="1">
      <alignment horizontal="center"/>
      <protection/>
    </xf>
    <xf numFmtId="172" fontId="13" fillId="0" borderId="28" xfId="72" applyNumberFormat="1" applyFont="1" applyFill="1" applyBorder="1" applyAlignment="1" applyProtection="1" quotePrefix="1">
      <alignment horizontal="center"/>
      <protection/>
    </xf>
    <xf numFmtId="172" fontId="29" fillId="34" borderId="28" xfId="72" applyNumberFormat="1" applyFont="1" applyFill="1" applyBorder="1" applyAlignment="1" applyProtection="1">
      <alignment horizontal="center"/>
      <protection/>
    </xf>
    <xf numFmtId="2" fontId="73" fillId="43" borderId="28" xfId="72" applyNumberFormat="1" applyFont="1" applyFill="1" applyBorder="1" applyAlignment="1" applyProtection="1">
      <alignment horizontal="center"/>
      <protection/>
    </xf>
    <xf numFmtId="4" fontId="78" fillId="0" borderId="28" xfId="72" applyNumberFormat="1" applyFont="1" applyFill="1" applyBorder="1" applyAlignment="1">
      <alignment horizontal="right"/>
      <protection/>
    </xf>
    <xf numFmtId="176" fontId="13" fillId="0" borderId="50" xfId="72" applyNumberFormat="1" applyFont="1" applyBorder="1" applyAlignment="1" applyProtection="1">
      <alignment horizontal="center"/>
      <protection locked="0"/>
    </xf>
    <xf numFmtId="176" fontId="13" fillId="0" borderId="50" xfId="72" applyNumberFormat="1" applyFont="1" applyBorder="1" applyAlignment="1" applyProtection="1">
      <alignment horizontal="center"/>
      <protection/>
    </xf>
    <xf numFmtId="172" fontId="29" fillId="34" borderId="36" xfId="72" applyNumberFormat="1" applyFont="1" applyFill="1" applyBorder="1" applyAlignment="1" applyProtection="1">
      <alignment horizontal="center"/>
      <protection locked="0"/>
    </xf>
    <xf numFmtId="2" fontId="73" fillId="43" borderId="36" xfId="72" applyNumberFormat="1" applyFont="1" applyFill="1" applyBorder="1" applyAlignment="1" applyProtection="1">
      <alignment horizontal="center"/>
      <protection locked="0"/>
    </xf>
    <xf numFmtId="176" fontId="51" fillId="36" borderId="37" xfId="72" applyNumberFormat="1" applyFont="1" applyFill="1" applyBorder="1" applyAlignment="1" applyProtection="1" quotePrefix="1">
      <alignment horizontal="center"/>
      <protection locked="0"/>
    </xf>
    <xf numFmtId="176" fontId="51" fillId="36" borderId="39" xfId="72" applyNumberFormat="1" applyFont="1" applyFill="1" applyBorder="1" applyAlignment="1" applyProtection="1" quotePrefix="1">
      <alignment horizontal="center"/>
      <protection locked="0"/>
    </xf>
    <xf numFmtId="176" fontId="64" fillId="35" borderId="36" xfId="72" applyNumberFormat="1" applyFont="1" applyFill="1" applyBorder="1" applyAlignment="1" applyProtection="1" quotePrefix="1">
      <alignment horizontal="center"/>
      <protection locked="0"/>
    </xf>
    <xf numFmtId="7" fontId="65" fillId="0" borderId="40" xfId="72" applyNumberFormat="1" applyFont="1" applyFill="1" applyBorder="1" applyAlignment="1">
      <alignment horizontal="right"/>
      <protection/>
    </xf>
    <xf numFmtId="4" fontId="73" fillId="43" borderId="21" xfId="72" applyNumberFormat="1" applyFont="1" applyFill="1" applyBorder="1" applyAlignment="1">
      <alignment horizontal="center"/>
      <protection/>
    </xf>
    <xf numFmtId="4" fontId="51" fillId="36" borderId="54" xfId="72" applyNumberFormat="1" applyFont="1" applyFill="1" applyBorder="1" applyAlignment="1">
      <alignment horizontal="center"/>
      <protection/>
    </xf>
    <xf numFmtId="4" fontId="51" fillId="36" borderId="55" xfId="72" applyNumberFormat="1" applyFont="1" applyFill="1" applyBorder="1" applyAlignment="1">
      <alignment horizontal="center"/>
      <protection/>
    </xf>
    <xf numFmtId="4" fontId="64" fillId="35" borderId="21" xfId="72" applyNumberFormat="1" applyFont="1" applyFill="1" applyBorder="1" applyAlignment="1">
      <alignment horizontal="center"/>
      <protection/>
    </xf>
    <xf numFmtId="4" fontId="19" fillId="0" borderId="0" xfId="72" applyNumberFormat="1" applyFont="1" applyFill="1" applyBorder="1" applyAlignment="1">
      <alignment horizontal="center"/>
      <protection/>
    </xf>
    <xf numFmtId="7" fontId="4" fillId="0" borderId="21" xfId="72" applyNumberFormat="1" applyFont="1" applyFill="1" applyBorder="1" applyAlignment="1">
      <alignment horizontal="right"/>
      <protection/>
    </xf>
    <xf numFmtId="0" fontId="20" fillId="0" borderId="0" xfId="72" applyFont="1" applyFill="1" applyAlignment="1">
      <alignment vertical="top"/>
      <protection/>
    </xf>
    <xf numFmtId="0" fontId="79" fillId="0" borderId="0" xfId="72" applyFont="1" applyFill="1" applyAlignment="1">
      <alignment vertical="top"/>
      <protection/>
    </xf>
    <xf numFmtId="0" fontId="16" fillId="0" borderId="0" xfId="72" applyFont="1" applyFill="1" applyBorder="1" applyAlignment="1" applyProtection="1">
      <alignment vertical="top"/>
      <protection/>
    </xf>
    <xf numFmtId="0" fontId="16" fillId="0" borderId="15" xfId="72" applyFont="1" applyBorder="1" applyAlignment="1">
      <alignment vertical="top"/>
      <protection/>
    </xf>
    <xf numFmtId="0" fontId="5" fillId="0" borderId="0" xfId="72" applyFont="1" applyFill="1" applyAlignment="1">
      <alignment vertical="top"/>
      <protection/>
    </xf>
    <xf numFmtId="0" fontId="13" fillId="0" borderId="0" xfId="72" applyFont="1" applyFill="1" applyBorder="1" applyAlignment="1" applyProtection="1">
      <alignment vertical="top"/>
      <protection/>
    </xf>
    <xf numFmtId="0" fontId="25" fillId="0" borderId="0" xfId="72" applyFont="1" applyBorder="1" applyAlignment="1">
      <alignment vertical="top"/>
      <protection/>
    </xf>
    <xf numFmtId="0" fontId="13" fillId="0" borderId="15" xfId="72" applyFont="1" applyBorder="1" applyAlignment="1">
      <alignment vertical="top"/>
      <protection/>
    </xf>
    <xf numFmtId="182" fontId="3" fillId="0" borderId="17" xfId="72" applyNumberFormat="1" applyFont="1" applyBorder="1" applyAlignment="1" applyProtection="1">
      <alignment horizontal="center" vertical="center"/>
      <protection locked="0"/>
    </xf>
    <xf numFmtId="0" fontId="9" fillId="0" borderId="0" xfId="72" applyFont="1" applyAlignment="1">
      <alignment horizontal="centerContinuous"/>
      <protection/>
    </xf>
    <xf numFmtId="0" fontId="20" fillId="0" borderId="0" xfId="72" applyFont="1" applyBorder="1" applyAlignment="1">
      <alignment horizontal="centerContinuous"/>
      <protection/>
    </xf>
    <xf numFmtId="0" fontId="16" fillId="0" borderId="15" xfId="72" applyFont="1" applyBorder="1" applyAlignment="1">
      <alignment horizontal="centerContinuous"/>
      <protection/>
    </xf>
    <xf numFmtId="0" fontId="20" fillId="0" borderId="0" xfId="72" applyFont="1">
      <alignment/>
      <protection/>
    </xf>
    <xf numFmtId="0" fontId="16" fillId="0" borderId="0" xfId="72" applyFont="1" applyBorder="1" applyProtection="1">
      <alignment/>
      <protection/>
    </xf>
    <xf numFmtId="0" fontId="5" fillId="0" borderId="0" xfId="72" applyFont="1" applyBorder="1">
      <alignment/>
      <protection/>
    </xf>
    <xf numFmtId="0" fontId="24" fillId="0" borderId="0" xfId="72" applyFont="1" applyBorder="1" applyAlignment="1">
      <alignment horizontal="centerContinuous"/>
      <protection/>
    </xf>
    <xf numFmtId="0" fontId="24" fillId="0" borderId="0" xfId="72" applyFont="1" applyBorder="1" applyAlignment="1" applyProtection="1">
      <alignment horizontal="centerContinuous"/>
      <protection/>
    </xf>
    <xf numFmtId="0" fontId="24" fillId="0" borderId="15" xfId="72" applyFont="1" applyBorder="1" applyAlignment="1">
      <alignment horizontal="centerContinuous"/>
      <protection/>
    </xf>
    <xf numFmtId="0" fontId="3" fillId="0" borderId="16" xfId="72" applyFont="1" applyBorder="1" applyAlignment="1" applyProtection="1">
      <alignment horizontal="left"/>
      <protection/>
    </xf>
    <xf numFmtId="0" fontId="3" fillId="0" borderId="16" xfId="72" applyFont="1" applyBorder="1" applyAlignment="1" applyProtection="1" quotePrefix="1">
      <alignment horizontal="left"/>
      <protection/>
    </xf>
    <xf numFmtId="0" fontId="3" fillId="0" borderId="22" xfId="72" applyFont="1" applyBorder="1" applyAlignment="1" applyProtection="1">
      <alignment horizontal="center"/>
      <protection/>
    </xf>
    <xf numFmtId="172" fontId="3" fillId="0" borderId="21" xfId="72" applyNumberFormat="1" applyFont="1" applyBorder="1" applyAlignment="1" applyProtection="1">
      <alignment horizontal="center"/>
      <protection/>
    </xf>
    <xf numFmtId="0" fontId="30" fillId="0" borderId="21" xfId="72" applyFont="1" applyBorder="1" applyAlignment="1" applyProtection="1" quotePrefix="1">
      <alignment horizontal="center" vertical="center" wrapText="1"/>
      <protection/>
    </xf>
    <xf numFmtId="0" fontId="61" fillId="39" borderId="21" xfId="72" applyFont="1" applyFill="1" applyBorder="1" applyAlignment="1">
      <alignment horizontal="center" vertical="center" wrapText="1"/>
      <protection/>
    </xf>
    <xf numFmtId="0" fontId="34" fillId="45" borderId="16" xfId="72" applyFont="1" applyFill="1" applyBorder="1" applyAlignment="1" applyProtection="1">
      <alignment horizontal="centerContinuous" vertical="center" wrapText="1"/>
      <protection/>
    </xf>
    <xf numFmtId="0" fontId="34" fillId="45" borderId="17" xfId="72" applyFont="1" applyFill="1" applyBorder="1" applyAlignment="1">
      <alignment horizontal="centerContinuous" vertical="center"/>
      <protection/>
    </xf>
    <xf numFmtId="0" fontId="37" fillId="36" borderId="21" xfId="72" applyFont="1" applyFill="1" applyBorder="1" applyAlignment="1">
      <alignment horizontal="center" vertical="center" wrapText="1"/>
      <protection/>
    </xf>
    <xf numFmtId="0" fontId="61" fillId="0" borderId="21" xfId="72" applyFont="1" applyFill="1" applyBorder="1" applyAlignment="1">
      <alignment horizontal="center" vertical="center" wrapText="1"/>
      <protection/>
    </xf>
    <xf numFmtId="0" fontId="13" fillId="0" borderId="57" xfId="72" applyFont="1" applyBorder="1" applyAlignment="1">
      <alignment horizontal="center"/>
      <protection/>
    </xf>
    <xf numFmtId="0" fontId="13" fillId="0" borderId="58" xfId="72" applyFont="1" applyBorder="1" applyAlignment="1">
      <alignment horizontal="center"/>
      <protection/>
    </xf>
    <xf numFmtId="0" fontId="13" fillId="0" borderId="35" xfId="72" applyFont="1" applyBorder="1" applyAlignment="1">
      <alignment horizontal="center"/>
      <protection/>
    </xf>
    <xf numFmtId="0" fontId="63" fillId="37" borderId="0" xfId="72" applyFont="1" applyFill="1" applyBorder="1" applyAlignment="1">
      <alignment horizontal="center"/>
      <protection/>
    </xf>
    <xf numFmtId="0" fontId="81" fillId="39" borderId="43" xfId="72" applyFont="1" applyFill="1" applyBorder="1" applyAlignment="1">
      <alignment horizontal="center"/>
      <protection/>
    </xf>
    <xf numFmtId="0" fontId="50" fillId="45" borderId="24" xfId="72" applyFont="1" applyFill="1" applyBorder="1" applyAlignment="1">
      <alignment horizontal="center"/>
      <protection/>
    </xf>
    <xf numFmtId="0" fontId="50" fillId="45" borderId="26" xfId="72" applyFont="1" applyFill="1" applyBorder="1" applyAlignment="1">
      <alignment horizontal="center"/>
      <protection/>
    </xf>
    <xf numFmtId="0" fontId="53" fillId="36" borderId="43" xfId="72" applyFont="1" applyFill="1" applyBorder="1" applyAlignment="1">
      <alignment horizontal="center"/>
      <protection/>
    </xf>
    <xf numFmtId="0" fontId="13" fillId="0" borderId="43" xfId="72" applyFont="1" applyBorder="1" applyAlignment="1">
      <alignment horizontal="center"/>
      <protection/>
    </xf>
    <xf numFmtId="7" fontId="78" fillId="0" borderId="43" xfId="72" applyNumberFormat="1" applyFont="1" applyFill="1" applyBorder="1" applyAlignment="1">
      <alignment horizontal="center"/>
      <protection/>
    </xf>
    <xf numFmtId="0" fontId="75" fillId="0" borderId="32" xfId="72" applyFont="1" applyBorder="1" applyAlignment="1" applyProtection="1">
      <alignment horizontal="center"/>
      <protection/>
    </xf>
    <xf numFmtId="0" fontId="75" fillId="0" borderId="59" xfId="72" applyFont="1" applyBorder="1" applyAlignment="1" applyProtection="1">
      <alignment horizontal="center"/>
      <protection/>
    </xf>
    <xf numFmtId="0" fontId="75" fillId="0" borderId="27" xfId="72" applyFont="1" applyBorder="1" applyAlignment="1" applyProtection="1">
      <alignment horizontal="center"/>
      <protection/>
    </xf>
    <xf numFmtId="176" fontId="63" fillId="37" borderId="27" xfId="72" applyNumberFormat="1" applyFont="1" applyFill="1" applyBorder="1" applyAlignment="1" applyProtection="1">
      <alignment horizontal="center"/>
      <protection/>
    </xf>
    <xf numFmtId="22" fontId="13" fillId="0" borderId="48" xfId="72" applyNumberFormat="1" applyFont="1" applyBorder="1" applyAlignment="1">
      <alignment horizontal="center"/>
      <protection/>
    </xf>
    <xf numFmtId="22" fontId="13" fillId="0" borderId="59" xfId="72" applyNumberFormat="1" applyFont="1" applyBorder="1" applyAlignment="1" applyProtection="1">
      <alignment horizontal="center"/>
      <protection/>
    </xf>
    <xf numFmtId="2" fontId="13" fillId="0" borderId="27" xfId="72" applyNumberFormat="1" applyFont="1" applyFill="1" applyBorder="1" applyAlignment="1" applyProtection="1" quotePrefix="1">
      <alignment horizontal="center"/>
      <protection/>
    </xf>
    <xf numFmtId="172" fontId="13" fillId="0" borderId="27" xfId="72" applyNumberFormat="1" applyFont="1" applyFill="1" applyBorder="1" applyAlignment="1" applyProtection="1" quotePrefix="1">
      <alignment horizontal="center"/>
      <protection/>
    </xf>
    <xf numFmtId="176" fontId="13" fillId="0" borderId="47" xfId="72" applyNumberFormat="1" applyFont="1" applyBorder="1" applyAlignment="1" applyProtection="1">
      <alignment horizontal="center"/>
      <protection/>
    </xf>
    <xf numFmtId="172" fontId="63" fillId="37" borderId="32" xfId="72" applyNumberFormat="1" applyFont="1" applyFill="1" applyBorder="1" applyAlignment="1" applyProtection="1">
      <alignment horizontal="center"/>
      <protection/>
    </xf>
    <xf numFmtId="2" fontId="81" fillId="39" borderId="27" xfId="72" applyNumberFormat="1" applyFont="1" applyFill="1" applyBorder="1" applyAlignment="1">
      <alignment horizontal="center"/>
      <protection/>
    </xf>
    <xf numFmtId="176" fontId="50" fillId="45" borderId="48" xfId="72" applyNumberFormat="1" applyFont="1" applyFill="1" applyBorder="1" applyAlignment="1" applyProtection="1" quotePrefix="1">
      <alignment horizontal="center"/>
      <protection/>
    </xf>
    <xf numFmtId="176" fontId="50" fillId="45" borderId="49" xfId="72" applyNumberFormat="1" applyFont="1" applyFill="1" applyBorder="1" applyAlignment="1" applyProtection="1" quotePrefix="1">
      <alignment horizontal="center"/>
      <protection/>
    </xf>
    <xf numFmtId="176" fontId="53" fillId="36" borderId="27" xfId="72" applyNumberFormat="1" applyFont="1" applyFill="1" applyBorder="1" applyAlignment="1" applyProtection="1" quotePrefix="1">
      <alignment horizontal="center"/>
      <protection/>
    </xf>
    <xf numFmtId="176" fontId="78" fillId="0" borderId="27" xfId="72" applyNumberFormat="1" applyFont="1" applyFill="1" applyBorder="1" applyAlignment="1">
      <alignment horizontal="center"/>
      <protection/>
    </xf>
    <xf numFmtId="0" fontId="75" fillId="0" borderId="60" xfId="72" applyFont="1" applyBorder="1" applyAlignment="1" applyProtection="1">
      <alignment horizontal="center"/>
      <protection locked="0"/>
    </xf>
    <xf numFmtId="0" fontId="75" fillId="0" borderId="28" xfId="72" applyFont="1" applyBorder="1" applyAlignment="1" applyProtection="1">
      <alignment horizontal="center"/>
      <protection locked="0"/>
    </xf>
    <xf numFmtId="172" fontId="63" fillId="37" borderId="60" xfId="72" applyNumberFormat="1" applyFont="1" applyFill="1" applyBorder="1" applyAlignment="1" applyProtection="1">
      <alignment horizontal="center"/>
      <protection/>
    </xf>
    <xf numFmtId="2" fontId="81" fillId="39" borderId="28" xfId="72" applyNumberFormat="1" applyFont="1" applyFill="1" applyBorder="1" applyAlignment="1" applyProtection="1">
      <alignment horizontal="center"/>
      <protection/>
    </xf>
    <xf numFmtId="2" fontId="13" fillId="0" borderId="61" xfId="72" applyNumberFormat="1" applyFont="1" applyFill="1" applyBorder="1" applyAlignment="1" applyProtection="1" quotePrefix="1">
      <alignment horizontal="center"/>
      <protection/>
    </xf>
    <xf numFmtId="0" fontId="75" fillId="0" borderId="36" xfId="72" applyFont="1" applyBorder="1" applyAlignment="1" applyProtection="1">
      <alignment horizontal="center"/>
      <protection locked="0"/>
    </xf>
    <xf numFmtId="172" fontId="63" fillId="37" borderId="62" xfId="72" applyNumberFormat="1" applyFont="1" applyFill="1" applyBorder="1" applyAlignment="1" applyProtection="1">
      <alignment horizontal="center"/>
      <protection locked="0"/>
    </xf>
    <xf numFmtId="2" fontId="81" fillId="39" borderId="36" xfId="72" applyNumberFormat="1" applyFont="1" applyFill="1" applyBorder="1" applyAlignment="1" applyProtection="1">
      <alignment horizontal="center"/>
      <protection locked="0"/>
    </xf>
    <xf numFmtId="176" fontId="50" fillId="45" borderId="51" xfId="72" applyNumberFormat="1" applyFont="1" applyFill="1" applyBorder="1" applyAlignment="1" applyProtection="1" quotePrefix="1">
      <alignment horizontal="center"/>
      <protection locked="0"/>
    </xf>
    <xf numFmtId="176" fontId="50" fillId="45" borderId="52" xfId="72" applyNumberFormat="1" applyFont="1" applyFill="1" applyBorder="1" applyAlignment="1" applyProtection="1" quotePrefix="1">
      <alignment horizontal="center"/>
      <protection locked="0"/>
    </xf>
    <xf numFmtId="176" fontId="53" fillId="36" borderId="36" xfId="72" applyNumberFormat="1" applyFont="1" applyFill="1" applyBorder="1" applyAlignment="1" applyProtection="1" quotePrefix="1">
      <alignment horizontal="center"/>
      <protection locked="0"/>
    </xf>
    <xf numFmtId="176" fontId="78" fillId="0" borderId="40" xfId="72" applyNumberFormat="1" applyFont="1" applyFill="1" applyBorder="1" applyAlignment="1">
      <alignment horizontal="center"/>
      <protection/>
    </xf>
    <xf numFmtId="4" fontId="81" fillId="39" borderId="21" xfId="72" applyNumberFormat="1" applyFont="1" applyFill="1" applyBorder="1" applyAlignment="1">
      <alignment horizontal="center"/>
      <protection/>
    </xf>
    <xf numFmtId="4" fontId="50" fillId="45" borderId="54" xfId="72" applyNumberFormat="1" applyFont="1" applyFill="1" applyBorder="1" applyAlignment="1">
      <alignment horizontal="center"/>
      <protection/>
    </xf>
    <xf numFmtId="4" fontId="50" fillId="45" borderId="17" xfId="72" applyNumberFormat="1" applyFont="1" applyFill="1" applyBorder="1" applyAlignment="1">
      <alignment horizontal="center"/>
      <protection/>
    </xf>
    <xf numFmtId="4" fontId="53" fillId="36" borderId="21" xfId="72" applyNumberFormat="1" applyFont="1" applyFill="1" applyBorder="1" applyAlignment="1">
      <alignment horizontal="center"/>
      <protection/>
    </xf>
    <xf numFmtId="0" fontId="13" fillId="0" borderId="63" xfId="72" applyFont="1" applyBorder="1">
      <alignment/>
      <protection/>
    </xf>
    <xf numFmtId="0" fontId="0" fillId="0" borderId="0" xfId="72" applyFont="1" applyBorder="1">
      <alignment/>
      <protection/>
    </xf>
    <xf numFmtId="172" fontId="13" fillId="0" borderId="29" xfId="72" applyNumberFormat="1" applyFont="1" applyBorder="1" applyAlignment="1" applyProtection="1">
      <alignment horizontal="center"/>
      <protection/>
    </xf>
    <xf numFmtId="173" fontId="13" fillId="0" borderId="28" xfId="72" applyNumberFormat="1" applyFont="1" applyBorder="1" applyAlignment="1" applyProtection="1">
      <alignment horizontal="center"/>
      <protection/>
    </xf>
    <xf numFmtId="172" fontId="13" fillId="0" borderId="28" xfId="72" applyNumberFormat="1" applyFont="1" applyBorder="1" applyAlignment="1" applyProtection="1">
      <alignment horizontal="center"/>
      <protection/>
    </xf>
    <xf numFmtId="22" fontId="13" fillId="0" borderId="28" xfId="72" applyNumberFormat="1" applyFont="1" applyBorder="1" applyAlignment="1">
      <alignment horizontal="center"/>
      <protection/>
    </xf>
    <xf numFmtId="22" fontId="13" fillId="0" borderId="32" xfId="72" applyNumberFormat="1" applyFont="1" applyBorder="1" applyAlignment="1">
      <alignment horizontal="center"/>
      <protection/>
    </xf>
    <xf numFmtId="176" fontId="13" fillId="0" borderId="29" xfId="72" applyNumberFormat="1" applyFont="1" applyBorder="1" applyAlignment="1" applyProtection="1">
      <alignment horizontal="center"/>
      <protection/>
    </xf>
    <xf numFmtId="182" fontId="48" fillId="0" borderId="64" xfId="72" applyNumberFormat="1" applyFont="1" applyBorder="1" applyAlignment="1">
      <alignment horizontal="center"/>
      <protection/>
    </xf>
    <xf numFmtId="182" fontId="48" fillId="0" borderId="65" xfId="72" applyNumberFormat="1" applyFont="1" applyBorder="1" applyAlignment="1">
      <alignment horizontal="center"/>
      <protection/>
    </xf>
    <xf numFmtId="182" fontId="48" fillId="0" borderId="66" xfId="72" applyNumberFormat="1" applyFont="1" applyFill="1" applyBorder="1" applyAlignment="1">
      <alignment horizontal="center"/>
      <protection/>
    </xf>
    <xf numFmtId="172" fontId="49" fillId="0" borderId="28" xfId="72" applyNumberFormat="1" applyFont="1" applyBorder="1" applyAlignment="1" applyProtection="1" quotePrefix="1">
      <alignment horizontal="center"/>
      <protection/>
    </xf>
    <xf numFmtId="22" fontId="13" fillId="0" borderId="30" xfId="72" applyNumberFormat="1" applyFont="1" applyBorder="1" applyAlignment="1">
      <alignment horizontal="center"/>
      <protection/>
    </xf>
    <xf numFmtId="22" fontId="13" fillId="0" borderId="28" xfId="72" applyNumberFormat="1" applyFont="1" applyBorder="1" applyAlignment="1" applyProtection="1">
      <alignment horizontal="center"/>
      <protection/>
    </xf>
    <xf numFmtId="0" fontId="95" fillId="37" borderId="67" xfId="72" applyFont="1" applyFill="1" applyBorder="1">
      <alignment/>
      <protection/>
    </xf>
    <xf numFmtId="0" fontId="95" fillId="0" borderId="0" xfId="72" applyFont="1">
      <alignment/>
      <protection/>
    </xf>
    <xf numFmtId="0" fontId="95" fillId="0" borderId="0" xfId="72" applyFont="1" applyFill="1">
      <alignment/>
      <protection/>
    </xf>
    <xf numFmtId="0" fontId="95" fillId="0" borderId="67" xfId="72" applyFont="1" applyBorder="1">
      <alignment/>
      <protection/>
    </xf>
    <xf numFmtId="0" fontId="95" fillId="0" borderId="67" xfId="72" applyFont="1" applyBorder="1" quotePrefix="1">
      <alignment/>
      <protection/>
    </xf>
    <xf numFmtId="0" fontId="96" fillId="0" borderId="0" xfId="61" applyFont="1" applyFill="1" applyAlignment="1">
      <alignment/>
      <protection/>
    </xf>
    <xf numFmtId="0" fontId="95" fillId="37" borderId="67" xfId="72" applyFont="1" applyFill="1" applyBorder="1" applyAlignment="1">
      <alignment horizontal="center"/>
      <protection/>
    </xf>
    <xf numFmtId="0" fontId="95" fillId="46" borderId="0" xfId="72" applyFont="1" applyFill="1">
      <alignment/>
      <protection/>
    </xf>
    <xf numFmtId="0" fontId="95" fillId="46" borderId="0" xfId="72" applyNumberFormat="1" applyFont="1" applyFill="1">
      <alignment/>
      <protection/>
    </xf>
    <xf numFmtId="0" fontId="95" fillId="0" borderId="67" xfId="72" applyFont="1" applyFill="1" applyBorder="1" applyAlignment="1">
      <alignment horizontal="center"/>
      <protection/>
    </xf>
    <xf numFmtId="0" fontId="95" fillId="46" borderId="0" xfId="61" applyFont="1" applyFill="1" applyAlignment="1">
      <alignment/>
      <protection/>
    </xf>
    <xf numFmtId="0" fontId="97" fillId="0" borderId="67" xfId="72" applyFont="1" applyBorder="1">
      <alignment/>
      <protection/>
    </xf>
    <xf numFmtId="0" fontId="97" fillId="0" borderId="67" xfId="72" applyFont="1" applyFill="1" applyBorder="1">
      <alignment/>
      <protection/>
    </xf>
    <xf numFmtId="0" fontId="97" fillId="0" borderId="68" xfId="72" applyFont="1" applyBorder="1">
      <alignment/>
      <protection/>
    </xf>
    <xf numFmtId="0" fontId="97" fillId="0" borderId="68" xfId="72" applyFont="1" applyFill="1" applyBorder="1">
      <alignment/>
      <protection/>
    </xf>
    <xf numFmtId="0" fontId="98" fillId="0" borderId="67" xfId="72" applyFont="1" applyFill="1" applyBorder="1">
      <alignment/>
      <protection/>
    </xf>
    <xf numFmtId="0" fontId="98" fillId="0" borderId="67" xfId="72" applyFont="1" applyBorder="1">
      <alignment/>
      <protection/>
    </xf>
    <xf numFmtId="0" fontId="97" fillId="0" borderId="0" xfId="72" applyFont="1" applyFill="1">
      <alignment/>
      <protection/>
    </xf>
    <xf numFmtId="0" fontId="98" fillId="0" borderId="68" xfId="72" applyFont="1" applyBorder="1">
      <alignment/>
      <protection/>
    </xf>
    <xf numFmtId="0" fontId="98" fillId="0" borderId="68" xfId="72" applyFont="1" applyFill="1" applyBorder="1">
      <alignment/>
      <protection/>
    </xf>
    <xf numFmtId="0" fontId="99" fillId="0" borderId="67" xfId="72" applyFont="1" applyFill="1" applyBorder="1">
      <alignment/>
      <protection/>
    </xf>
    <xf numFmtId="0" fontId="99" fillId="0" borderId="68" xfId="72" applyFont="1" applyFill="1" applyBorder="1">
      <alignment/>
      <protection/>
    </xf>
    <xf numFmtId="0" fontId="99" fillId="47" borderId="67" xfId="72" applyFont="1" applyFill="1" applyBorder="1">
      <alignment/>
      <protection/>
    </xf>
    <xf numFmtId="0" fontId="3" fillId="0" borderId="0" xfId="72" quotePrefix="1">
      <alignment/>
      <protection/>
    </xf>
    <xf numFmtId="1" fontId="13" fillId="0" borderId="49" xfId="72" applyNumberFormat="1" applyFont="1" applyBorder="1" applyAlignment="1" applyProtection="1">
      <alignment horizontal="center"/>
      <protection locked="0"/>
    </xf>
    <xf numFmtId="172" fontId="49" fillId="0" borderId="28" xfId="72" applyNumberFormat="1" applyFont="1" applyBorder="1" applyAlignment="1" applyProtection="1">
      <alignment horizontal="center"/>
      <protection locked="0"/>
    </xf>
    <xf numFmtId="0" fontId="8" fillId="0" borderId="0" xfId="66" applyFont="1">
      <alignment/>
      <protection/>
    </xf>
    <xf numFmtId="0" fontId="8" fillId="0" borderId="0" xfId="66" applyFont="1" applyFill="1">
      <alignment/>
      <protection/>
    </xf>
    <xf numFmtId="0" fontId="11" fillId="0" borderId="0" xfId="66" applyFont="1" applyFill="1" applyAlignment="1">
      <alignment horizontal="right" vertical="top"/>
      <protection/>
    </xf>
    <xf numFmtId="0" fontId="9" fillId="0" borderId="0" xfId="66" applyFont="1" applyFill="1" applyAlignment="1">
      <alignment horizontal="centerContinuous"/>
      <protection/>
    </xf>
    <xf numFmtId="0" fontId="9" fillId="0" borderId="0" xfId="66" applyFont="1" applyAlignment="1">
      <alignment horizontal="centerContinuous"/>
      <protection/>
    </xf>
    <xf numFmtId="0" fontId="13" fillId="0" borderId="0" xfId="66" applyFont="1" applyFill="1">
      <alignment/>
      <protection/>
    </xf>
    <xf numFmtId="0" fontId="13" fillId="0" borderId="0" xfId="66" applyFont="1">
      <alignment/>
      <protection/>
    </xf>
    <xf numFmtId="0" fontId="6" fillId="0" borderId="0" xfId="66" applyFont="1" applyFill="1" applyAlignment="1">
      <alignment horizontal="centerContinuous"/>
      <protection/>
    </xf>
    <xf numFmtId="0" fontId="14" fillId="0" borderId="0" xfId="66" applyFont="1" applyFill="1" applyAlignment="1">
      <alignment horizontal="centerContinuous"/>
      <protection/>
    </xf>
    <xf numFmtId="0" fontId="14" fillId="0" borderId="0" xfId="66" applyFont="1" applyFill="1">
      <alignment/>
      <protection/>
    </xf>
    <xf numFmtId="0" fontId="14" fillId="0" borderId="0" xfId="66" applyFont="1">
      <alignment/>
      <protection/>
    </xf>
    <xf numFmtId="0" fontId="13" fillId="0" borderId="11" xfId="66" applyFont="1" applyFill="1" applyBorder="1">
      <alignment/>
      <protection/>
    </xf>
    <xf numFmtId="0" fontId="13" fillId="0" borderId="12" xfId="66" applyFont="1" applyFill="1" applyBorder="1">
      <alignment/>
      <protection/>
    </xf>
    <xf numFmtId="0" fontId="13" fillId="0" borderId="13" xfId="66" applyFont="1" applyFill="1" applyBorder="1">
      <alignment/>
      <protection/>
    </xf>
    <xf numFmtId="0" fontId="16" fillId="0" borderId="0" xfId="66" applyFont="1">
      <alignment/>
      <protection/>
    </xf>
    <xf numFmtId="0" fontId="16" fillId="0" borderId="14" xfId="66" applyFont="1" applyBorder="1">
      <alignment/>
      <protection/>
    </xf>
    <xf numFmtId="0" fontId="16" fillId="0" borderId="0" xfId="66" applyFont="1" applyBorder="1">
      <alignment/>
      <protection/>
    </xf>
    <xf numFmtId="0" fontId="20" fillId="0" borderId="0" xfId="66" applyFont="1" applyBorder="1" applyAlignment="1">
      <alignment horizontal="left"/>
      <protection/>
    </xf>
    <xf numFmtId="0" fontId="20" fillId="0" borderId="0" xfId="66" applyFont="1" applyBorder="1">
      <alignment/>
      <protection/>
    </xf>
    <xf numFmtId="0" fontId="18" fillId="0" borderId="0" xfId="66" applyFont="1">
      <alignment/>
      <protection/>
    </xf>
    <xf numFmtId="0" fontId="16" fillId="0" borderId="15" xfId="66" applyFont="1" applyFill="1" applyBorder="1">
      <alignment/>
      <protection/>
    </xf>
    <xf numFmtId="0" fontId="13" fillId="0" borderId="14" xfId="66" applyFont="1" applyFill="1" applyBorder="1">
      <alignment/>
      <protection/>
    </xf>
    <xf numFmtId="0" fontId="13" fillId="0" borderId="0" xfId="66" applyFont="1" applyFill="1" applyBorder="1">
      <alignment/>
      <protection/>
    </xf>
    <xf numFmtId="0" fontId="5" fillId="0" borderId="0" xfId="66" applyFont="1" applyFill="1" applyBorder="1" applyAlignment="1">
      <alignment horizontal="left"/>
      <protection/>
    </xf>
    <xf numFmtId="0" fontId="13" fillId="0" borderId="15" xfId="66" applyFont="1" applyFill="1" applyBorder="1">
      <alignment/>
      <protection/>
    </xf>
    <xf numFmtId="0" fontId="16" fillId="0" borderId="0" xfId="66" applyFont="1" applyAlignment="1">
      <alignment vertical="top"/>
      <protection/>
    </xf>
    <xf numFmtId="0" fontId="16" fillId="0" borderId="14" xfId="66" applyFont="1" applyBorder="1" applyAlignment="1">
      <alignment vertical="top"/>
      <protection/>
    </xf>
    <xf numFmtId="0" fontId="16" fillId="0" borderId="0" xfId="66" applyFont="1" applyBorder="1" applyAlignment="1">
      <alignment vertical="top"/>
      <protection/>
    </xf>
    <xf numFmtId="0" fontId="20" fillId="0" borderId="0" xfId="66" applyFont="1" applyFill="1" applyBorder="1" applyAlignment="1">
      <alignment horizontal="left" vertical="top"/>
      <protection/>
    </xf>
    <xf numFmtId="0" fontId="20" fillId="0" borderId="0" xfId="66" applyFont="1" applyBorder="1" applyAlignment="1">
      <alignment vertical="top"/>
      <protection/>
    </xf>
    <xf numFmtId="0" fontId="18" fillId="0" borderId="0" xfId="66" applyFont="1" applyAlignment="1">
      <alignment vertical="top"/>
      <protection/>
    </xf>
    <xf numFmtId="0" fontId="16" fillId="0" borderId="15" xfId="66" applyFont="1" applyFill="1" applyBorder="1" applyAlignment="1">
      <alignment vertical="top"/>
      <protection/>
    </xf>
    <xf numFmtId="0" fontId="13" fillId="0" borderId="0" xfId="66" applyFont="1" applyFill="1" applyAlignment="1">
      <alignment vertical="top"/>
      <protection/>
    </xf>
    <xf numFmtId="0" fontId="13" fillId="0" borderId="14" xfId="66" applyFont="1" applyFill="1" applyBorder="1" applyAlignment="1">
      <alignment vertical="top"/>
      <protection/>
    </xf>
    <xf numFmtId="0" fontId="13" fillId="0" borderId="0" xfId="66" applyFont="1" applyFill="1" applyBorder="1" applyAlignment="1">
      <alignment vertical="top"/>
      <protection/>
    </xf>
    <xf numFmtId="0" fontId="20" fillId="0" borderId="0" xfId="66" applyFont="1" applyBorder="1" applyAlignment="1">
      <alignment horizontal="left" vertical="top"/>
      <protection/>
    </xf>
    <xf numFmtId="0" fontId="13" fillId="0" borderId="0" xfId="66" applyFont="1" applyFill="1" applyBorder="1" applyAlignment="1">
      <alignment horizontal="center" vertical="top"/>
      <protection/>
    </xf>
    <xf numFmtId="0" fontId="13" fillId="0" borderId="15" xfId="66" applyFont="1" applyFill="1" applyBorder="1" applyAlignment="1">
      <alignment vertical="top"/>
      <protection/>
    </xf>
    <xf numFmtId="0" fontId="13" fillId="0" borderId="0" xfId="66" applyFont="1" applyAlignment="1">
      <alignment vertical="top"/>
      <protection/>
    </xf>
    <xf numFmtId="0" fontId="23" fillId="0" borderId="0" xfId="66" applyFont="1" applyFill="1">
      <alignment/>
      <protection/>
    </xf>
    <xf numFmtId="0" fontId="24" fillId="0" borderId="14" xfId="73" applyFont="1" applyBorder="1" applyAlignment="1">
      <alignment horizontal="centerContinuous"/>
      <protection/>
    </xf>
    <xf numFmtId="0" fontId="24" fillId="0" borderId="0" xfId="66" applyFont="1" applyBorder="1" applyAlignment="1">
      <alignment horizontal="centerContinuous"/>
      <protection/>
    </xf>
    <xf numFmtId="0" fontId="24" fillId="0" borderId="0" xfId="66" applyFont="1" applyFill="1" applyAlignment="1">
      <alignment horizontal="centerContinuous"/>
      <protection/>
    </xf>
    <xf numFmtId="0" fontId="24" fillId="0" borderId="0" xfId="66" applyFont="1" applyFill="1" applyBorder="1" applyAlignment="1">
      <alignment horizontal="centerContinuous"/>
      <protection/>
    </xf>
    <xf numFmtId="0" fontId="26" fillId="0" borderId="0" xfId="66" applyFont="1" applyFill="1" applyAlignment="1">
      <alignment horizontal="centerContinuous"/>
      <protection/>
    </xf>
    <xf numFmtId="0" fontId="26" fillId="0" borderId="15" xfId="66" applyFont="1" applyFill="1" applyBorder="1" applyAlignment="1">
      <alignment horizontal="centerContinuous"/>
      <protection/>
    </xf>
    <xf numFmtId="0" fontId="23" fillId="0" borderId="0" xfId="66" applyFont="1">
      <alignment/>
      <protection/>
    </xf>
    <xf numFmtId="0" fontId="13" fillId="0" borderId="0" xfId="66" applyFont="1" applyFill="1" applyBorder="1" applyAlignment="1">
      <alignment horizontal="center"/>
      <protection/>
    </xf>
    <xf numFmtId="0" fontId="3" fillId="0" borderId="62" xfId="66" applyFont="1" applyFill="1" applyBorder="1" applyAlignment="1" applyProtection="1">
      <alignment horizontal="left" vertical="center"/>
      <protection/>
    </xf>
    <xf numFmtId="0" fontId="3" fillId="0" borderId="62" xfId="66" applyFont="1" applyFill="1" applyBorder="1" applyAlignment="1" applyProtection="1">
      <alignment horizontal="center" vertical="center"/>
      <protection/>
    </xf>
    <xf numFmtId="0" fontId="3" fillId="0" borderId="62" xfId="66" applyFont="1" applyFill="1" applyBorder="1" applyAlignment="1">
      <alignment horizontal="center" vertical="center"/>
      <protection/>
    </xf>
    <xf numFmtId="0" fontId="13" fillId="41" borderId="0" xfId="66" applyFont="1" applyFill="1" applyBorder="1">
      <alignment/>
      <protection/>
    </xf>
    <xf numFmtId="0" fontId="3" fillId="0" borderId="16" xfId="66" applyFont="1" applyFill="1" applyBorder="1" applyAlignment="1" applyProtection="1">
      <alignment horizontal="left" vertical="center"/>
      <protection/>
    </xf>
    <xf numFmtId="0" fontId="3" fillId="0" borderId="41" xfId="66" applyFont="1" applyFill="1" applyBorder="1" applyAlignment="1" applyProtection="1">
      <alignment horizontal="center" vertical="center"/>
      <protection/>
    </xf>
    <xf numFmtId="0" fontId="3" fillId="0" borderId="21" xfId="66" applyFont="1" applyFill="1" applyBorder="1" applyAlignment="1">
      <alignment horizontal="center" vertical="center"/>
      <protection/>
    </xf>
    <xf numFmtId="0" fontId="3" fillId="0" borderId="0" xfId="66">
      <alignment/>
      <protection/>
    </xf>
    <xf numFmtId="0" fontId="48" fillId="0" borderId="0" xfId="66" applyFont="1" applyBorder="1" applyAlignment="1">
      <alignment horizontal="right"/>
      <protection/>
    </xf>
    <xf numFmtId="0" fontId="13" fillId="0" borderId="0" xfId="66" applyFont="1" applyBorder="1">
      <alignment/>
      <protection/>
    </xf>
    <xf numFmtId="0" fontId="5" fillId="0" borderId="0" xfId="66" applyFont="1" applyBorder="1" applyAlignment="1">
      <alignment horizontal="center"/>
      <protection/>
    </xf>
    <xf numFmtId="0" fontId="3" fillId="0" borderId="16" xfId="66" applyFont="1" applyFill="1" applyBorder="1" applyAlignment="1" applyProtection="1" quotePrefix="1">
      <alignment horizontal="left"/>
      <protection/>
    </xf>
    <xf numFmtId="0" fontId="3" fillId="0" borderId="22" xfId="66" applyFont="1" applyFill="1" applyBorder="1" applyAlignment="1" applyProtection="1">
      <alignment horizontal="center"/>
      <protection/>
    </xf>
    <xf numFmtId="172" fontId="3" fillId="0" borderId="21" xfId="66" applyNumberFormat="1" applyFont="1" applyFill="1" applyBorder="1" applyAlignment="1" applyProtection="1">
      <alignment horizontal="center"/>
      <protection/>
    </xf>
    <xf numFmtId="0" fontId="103" fillId="0" borderId="0" xfId="66" applyFont="1" applyBorder="1" applyAlignment="1">
      <alignment horizontal="center"/>
      <protection/>
    </xf>
    <xf numFmtId="22" fontId="13" fillId="0" borderId="0" xfId="66" applyNumberFormat="1" applyFont="1" applyFill="1" applyBorder="1">
      <alignment/>
      <protection/>
    </xf>
    <xf numFmtId="0" fontId="3" fillId="0" borderId="0" xfId="66" applyFont="1" applyFill="1" applyBorder="1" applyAlignment="1" applyProtection="1" quotePrefix="1">
      <alignment horizontal="left"/>
      <protection/>
    </xf>
    <xf numFmtId="0" fontId="3" fillId="0" borderId="0" xfId="66" applyFont="1" applyFill="1" applyBorder="1" applyAlignment="1" applyProtection="1">
      <alignment horizontal="center"/>
      <protection/>
    </xf>
    <xf numFmtId="172" fontId="3" fillId="0" borderId="0" xfId="66" applyNumberFormat="1" applyFont="1" applyFill="1" applyBorder="1" applyAlignment="1" applyProtection="1">
      <alignment horizontal="center"/>
      <protection/>
    </xf>
    <xf numFmtId="0" fontId="29" fillId="0" borderId="0" xfId="66" applyFont="1" applyFill="1" applyBorder="1">
      <alignment/>
      <protection/>
    </xf>
    <xf numFmtId="0" fontId="30" fillId="0" borderId="21" xfId="66" applyFont="1" applyFill="1" applyBorder="1" applyAlignment="1">
      <alignment horizontal="center" vertical="center"/>
      <protection/>
    </xf>
    <xf numFmtId="0" fontId="30" fillId="0" borderId="21" xfId="66" applyFont="1" applyBorder="1" applyAlignment="1">
      <alignment horizontal="center" vertical="center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Fill="1" applyBorder="1" applyAlignment="1" applyProtection="1">
      <alignment horizontal="center" vertical="center"/>
      <protection/>
    </xf>
    <xf numFmtId="0" fontId="30" fillId="0" borderId="21" xfId="66" applyFont="1" applyFill="1" applyBorder="1" applyAlignment="1" applyProtection="1" quotePrefix="1">
      <alignment horizontal="center" vertical="center" wrapText="1"/>
      <protection/>
    </xf>
    <xf numFmtId="0" fontId="30" fillId="0" borderId="21" xfId="66" applyFont="1" applyFill="1" applyBorder="1" applyAlignment="1">
      <alignment horizontal="center" vertical="center" wrapText="1"/>
      <protection/>
    </xf>
    <xf numFmtId="0" fontId="60" fillId="37" borderId="21" xfId="66" applyFont="1" applyFill="1" applyBorder="1" applyAlignment="1" applyProtection="1">
      <alignment horizontal="center" vertical="center"/>
      <protection/>
    </xf>
    <xf numFmtId="0" fontId="30" fillId="0" borderId="16" xfId="66" applyFont="1" applyBorder="1" applyAlignment="1" applyProtection="1">
      <alignment horizontal="center" vertical="center" wrapText="1"/>
      <protection/>
    </xf>
    <xf numFmtId="0" fontId="30" fillId="0" borderId="16" xfId="66" applyFont="1" applyFill="1" applyBorder="1" applyAlignment="1" applyProtection="1">
      <alignment horizontal="center" vertical="center"/>
      <protection/>
    </xf>
    <xf numFmtId="172" fontId="29" fillId="42" borderId="21" xfId="66" applyNumberFormat="1" applyFont="1" applyFill="1" applyBorder="1" applyAlignment="1" applyProtection="1">
      <alignment horizontal="center" vertical="center"/>
      <protection/>
    </xf>
    <xf numFmtId="0" fontId="67" fillId="39" borderId="21" xfId="66" applyFont="1" applyFill="1" applyBorder="1" applyAlignment="1">
      <alignment horizontal="center" vertical="center" wrapText="1"/>
      <protection/>
    </xf>
    <xf numFmtId="0" fontId="68" fillId="36" borderId="21" xfId="66" applyFont="1" applyFill="1" applyBorder="1" applyAlignment="1">
      <alignment horizontal="center" vertical="center" wrapText="1"/>
      <protection/>
    </xf>
    <xf numFmtId="0" fontId="36" fillId="37" borderId="16" xfId="66" applyFont="1" applyFill="1" applyBorder="1" applyAlignment="1" applyProtection="1">
      <alignment horizontal="centerContinuous" vertical="center" wrapText="1"/>
      <protection/>
    </xf>
    <xf numFmtId="0" fontId="36" fillId="37" borderId="17" xfId="66" applyFont="1" applyFill="1" applyBorder="1" applyAlignment="1">
      <alignment horizontal="centerContinuous" vertical="center"/>
      <protection/>
    </xf>
    <xf numFmtId="0" fontId="69" fillId="43" borderId="16" xfId="66" applyFont="1" applyFill="1" applyBorder="1" applyAlignment="1" applyProtection="1">
      <alignment horizontal="centerContinuous" vertical="center" wrapText="1"/>
      <protection/>
    </xf>
    <xf numFmtId="0" fontId="69" fillId="43" borderId="17" xfId="66" applyFont="1" applyFill="1" applyBorder="1" applyAlignment="1">
      <alignment horizontal="centerContinuous" vertical="center"/>
      <protection/>
    </xf>
    <xf numFmtId="0" fontId="34" fillId="44" borderId="21" xfId="66" applyFont="1" applyFill="1" applyBorder="1" applyAlignment="1">
      <alignment horizontal="center" vertical="center" wrapText="1"/>
      <protection/>
    </xf>
    <xf numFmtId="0" fontId="70" fillId="39" borderId="21" xfId="66" applyFont="1" applyFill="1" applyBorder="1" applyAlignment="1">
      <alignment horizontal="center" vertical="center" wrapText="1"/>
      <protection/>
    </xf>
    <xf numFmtId="0" fontId="30" fillId="0" borderId="21" xfId="66" applyFont="1" applyBorder="1" applyAlignment="1">
      <alignment horizontal="center" vertical="center" wrapText="1"/>
      <protection/>
    </xf>
    <xf numFmtId="0" fontId="61" fillId="37" borderId="21" xfId="66" applyFont="1" applyFill="1" applyBorder="1" applyAlignment="1">
      <alignment horizontal="center" vertical="center" wrapText="1"/>
      <protection/>
    </xf>
    <xf numFmtId="0" fontId="13" fillId="0" borderId="43" xfId="66" applyFont="1" applyFill="1" applyBorder="1" applyAlignment="1">
      <alignment horizontal="center"/>
      <protection/>
    </xf>
    <xf numFmtId="0" fontId="13" fillId="0" borderId="35" xfId="66" applyFont="1" applyFill="1" applyBorder="1" applyAlignment="1">
      <alignment horizontal="center"/>
      <protection/>
    </xf>
    <xf numFmtId="172" fontId="13" fillId="0" borderId="35" xfId="66" applyNumberFormat="1" applyFont="1" applyFill="1" applyBorder="1" applyAlignment="1" applyProtection="1">
      <alignment horizontal="center"/>
      <protection/>
    </xf>
    <xf numFmtId="0" fontId="63" fillId="37" borderId="35" xfId="66" applyFont="1" applyFill="1" applyBorder="1" applyAlignment="1">
      <alignment horizontal="center"/>
      <protection/>
    </xf>
    <xf numFmtId="0" fontId="13" fillId="0" borderId="28" xfId="66" applyFont="1" applyBorder="1">
      <alignment/>
      <protection/>
    </xf>
    <xf numFmtId="0" fontId="13" fillId="0" borderId="57" xfId="66" applyFont="1" applyFill="1" applyBorder="1" applyAlignment="1">
      <alignment horizontal="center"/>
      <protection/>
    </xf>
    <xf numFmtId="172" fontId="29" fillId="42" borderId="23" xfId="66" applyNumberFormat="1" applyFont="1" applyFill="1" applyBorder="1" applyAlignment="1" applyProtection="1">
      <alignment horizontal="center"/>
      <protection/>
    </xf>
    <xf numFmtId="0" fontId="71" fillId="39" borderId="43" xfId="66" applyFont="1" applyFill="1" applyBorder="1" applyAlignment="1">
      <alignment horizontal="center"/>
      <protection/>
    </xf>
    <xf numFmtId="0" fontId="72" fillId="36" borderId="43" xfId="66" applyFont="1" applyFill="1" applyBorder="1" applyAlignment="1">
      <alignment horizontal="center"/>
      <protection/>
    </xf>
    <xf numFmtId="0" fontId="52" fillId="37" borderId="24" xfId="66" applyFont="1" applyFill="1" applyBorder="1" applyAlignment="1">
      <alignment horizontal="center"/>
      <protection/>
    </xf>
    <xf numFmtId="0" fontId="52" fillId="37" borderId="26" xfId="66" applyFont="1" applyFill="1" applyBorder="1" applyAlignment="1">
      <alignment horizontal="center"/>
      <protection/>
    </xf>
    <xf numFmtId="0" fontId="73" fillId="43" borderId="45" xfId="66" applyFont="1" applyFill="1" applyBorder="1" applyAlignment="1">
      <alignment horizontal="center"/>
      <protection/>
    </xf>
    <xf numFmtId="0" fontId="73" fillId="43" borderId="46" xfId="66" applyFont="1" applyFill="1" applyBorder="1" applyAlignment="1">
      <alignment horizontal="center"/>
      <protection/>
    </xf>
    <xf numFmtId="0" fontId="50" fillId="44" borderId="43" xfId="66" applyFont="1" applyFill="1" applyBorder="1" applyAlignment="1">
      <alignment horizontal="center"/>
      <protection/>
    </xf>
    <xf numFmtId="0" fontId="74" fillId="39" borderId="43" xfId="66" applyFont="1" applyFill="1" applyBorder="1" applyAlignment="1">
      <alignment horizontal="center"/>
      <protection/>
    </xf>
    <xf numFmtId="7" fontId="78" fillId="37" borderId="43" xfId="66" applyNumberFormat="1" applyFont="1" applyFill="1" applyBorder="1" applyAlignment="1">
      <alignment horizontal="center"/>
      <protection/>
    </xf>
    <xf numFmtId="7" fontId="48" fillId="0" borderId="35" xfId="66" applyNumberFormat="1" applyFont="1" applyFill="1" applyBorder="1" applyAlignment="1">
      <alignment horizontal="center"/>
      <protection/>
    </xf>
    <xf numFmtId="0" fontId="13" fillId="0" borderId="27" xfId="66" applyFont="1" applyFill="1" applyBorder="1" applyAlignment="1">
      <alignment horizontal="center"/>
      <protection/>
    </xf>
    <xf numFmtId="172" fontId="13" fillId="0" borderId="27" xfId="66" applyNumberFormat="1" applyFont="1" applyFill="1" applyBorder="1" applyAlignment="1" applyProtection="1">
      <alignment horizontal="center"/>
      <protection/>
    </xf>
    <xf numFmtId="0" fontId="63" fillId="37" borderId="27" xfId="66" applyFont="1" applyFill="1" applyBorder="1" applyAlignment="1">
      <alignment horizontal="center"/>
      <protection/>
    </xf>
    <xf numFmtId="0" fontId="13" fillId="0" borderId="29" xfId="66" applyFont="1" applyBorder="1">
      <alignment/>
      <protection/>
    </xf>
    <xf numFmtId="0" fontId="13" fillId="0" borderId="47" xfId="66" applyFont="1" applyFill="1" applyBorder="1" applyAlignment="1">
      <alignment horizontal="center"/>
      <protection/>
    </xf>
    <xf numFmtId="172" fontId="29" fillId="42" borderId="27" xfId="66" applyNumberFormat="1" applyFont="1" applyFill="1" applyBorder="1" applyAlignment="1" applyProtection="1">
      <alignment horizontal="center"/>
      <protection/>
    </xf>
    <xf numFmtId="0" fontId="71" fillId="39" borderId="27" xfId="66" applyFont="1" applyFill="1" applyBorder="1" applyAlignment="1">
      <alignment horizontal="center"/>
      <protection/>
    </xf>
    <xf numFmtId="0" fontId="72" fillId="36" borderId="27" xfId="66" applyFont="1" applyFill="1" applyBorder="1" applyAlignment="1">
      <alignment horizontal="center"/>
      <protection/>
    </xf>
    <xf numFmtId="0" fontId="52" fillId="37" borderId="48" xfId="66" applyFont="1" applyFill="1" applyBorder="1" applyAlignment="1">
      <alignment horizontal="center"/>
      <protection/>
    </xf>
    <xf numFmtId="0" fontId="52" fillId="37" borderId="49" xfId="66" applyFont="1" applyFill="1" applyBorder="1" applyAlignment="1">
      <alignment horizontal="center"/>
      <protection/>
    </xf>
    <xf numFmtId="0" fontId="73" fillId="43" borderId="48" xfId="66" applyFont="1" applyFill="1" applyBorder="1" applyAlignment="1">
      <alignment horizontal="center"/>
      <protection/>
    </xf>
    <xf numFmtId="0" fontId="73" fillId="43" borderId="49" xfId="66" applyFont="1" applyFill="1" applyBorder="1" applyAlignment="1">
      <alignment horizontal="center"/>
      <protection/>
    </xf>
    <xf numFmtId="0" fontId="50" fillId="44" borderId="27" xfId="66" applyFont="1" applyFill="1" applyBorder="1" applyAlignment="1">
      <alignment horizontal="center"/>
      <protection/>
    </xf>
    <xf numFmtId="0" fontId="74" fillId="39" borderId="27" xfId="66" applyFont="1" applyFill="1" applyBorder="1" applyAlignment="1">
      <alignment horizontal="center"/>
      <protection/>
    </xf>
    <xf numFmtId="0" fontId="78" fillId="37" borderId="27" xfId="66" applyFont="1" applyFill="1" applyBorder="1" applyAlignment="1">
      <alignment horizontal="center"/>
      <protection/>
    </xf>
    <xf numFmtId="0" fontId="48" fillId="0" borderId="27" xfId="66" applyFont="1" applyFill="1" applyBorder="1" applyAlignment="1">
      <alignment horizontal="center"/>
      <protection/>
    </xf>
    <xf numFmtId="0" fontId="13" fillId="0" borderId="28" xfId="66" applyFont="1" applyFill="1" applyBorder="1" applyAlignment="1" applyProtection="1">
      <alignment horizontal="center"/>
      <protection locked="0"/>
    </xf>
    <xf numFmtId="0" fontId="13" fillId="0" borderId="27" xfId="66" applyFont="1" applyBorder="1" applyAlignment="1" applyProtection="1">
      <alignment horizontal="center"/>
      <protection locked="0"/>
    </xf>
    <xf numFmtId="0" fontId="13" fillId="0" borderId="32" xfId="66" applyFont="1" applyBorder="1" applyAlignment="1" applyProtection="1">
      <alignment horizontal="center"/>
      <protection locked="0"/>
    </xf>
    <xf numFmtId="172" fontId="13" fillId="0" borderId="27" xfId="66" applyNumberFormat="1" applyFont="1" applyBorder="1" applyAlignment="1" applyProtection="1">
      <alignment horizontal="center"/>
      <protection locked="0"/>
    </xf>
    <xf numFmtId="1" fontId="13" fillId="0" borderId="49" xfId="66" applyNumberFormat="1" applyFont="1" applyBorder="1" applyAlignment="1" applyProtection="1">
      <alignment horizontal="center"/>
      <protection locked="0"/>
    </xf>
    <xf numFmtId="182" fontId="63" fillId="37" borderId="27" xfId="66" applyNumberFormat="1" applyFont="1" applyFill="1" applyBorder="1" applyAlignment="1" applyProtection="1">
      <alignment horizontal="center"/>
      <protection/>
    </xf>
    <xf numFmtId="22" fontId="13" fillId="0" borderId="27" xfId="66" applyNumberFormat="1" applyFont="1" applyFill="1" applyBorder="1" applyAlignment="1" applyProtection="1">
      <alignment horizontal="center"/>
      <protection locked="0"/>
    </xf>
    <xf numFmtId="4" fontId="13" fillId="0" borderId="27" xfId="66" applyNumberFormat="1" applyFont="1" applyFill="1" applyBorder="1" applyAlignment="1" applyProtection="1">
      <alignment horizontal="center"/>
      <protection/>
    </xf>
    <xf numFmtId="3" fontId="13" fillId="0" borderId="27" xfId="66" applyNumberFormat="1" applyFont="1" applyFill="1" applyBorder="1" applyAlignment="1" applyProtection="1">
      <alignment horizontal="center"/>
      <protection/>
    </xf>
    <xf numFmtId="176" fontId="13" fillId="0" borderId="27" xfId="66" applyNumberFormat="1" applyFont="1" applyFill="1" applyBorder="1" applyAlignment="1" applyProtection="1">
      <alignment horizontal="center"/>
      <protection locked="0"/>
    </xf>
    <xf numFmtId="181" fontId="13" fillId="0" borderId="29" xfId="66" applyNumberFormat="1" applyFont="1" applyBorder="1" applyAlignment="1" applyProtection="1" quotePrefix="1">
      <alignment horizontal="center"/>
      <protection/>
    </xf>
    <xf numFmtId="176" fontId="13" fillId="0" borderId="27" xfId="66" applyNumberFormat="1" applyFont="1" applyBorder="1" applyAlignment="1" applyProtection="1" quotePrefix="1">
      <alignment horizontal="center"/>
      <protection/>
    </xf>
    <xf numFmtId="176" fontId="13" fillId="0" borderId="27" xfId="66" applyNumberFormat="1" applyFont="1" applyBorder="1" applyAlignment="1" applyProtection="1">
      <alignment horizontal="center"/>
      <protection/>
    </xf>
    <xf numFmtId="2" fontId="71" fillId="39" borderId="28" xfId="66" applyNumberFormat="1" applyFont="1" applyFill="1" applyBorder="1" applyAlignment="1" applyProtection="1">
      <alignment horizontal="center"/>
      <protection/>
    </xf>
    <xf numFmtId="2" fontId="72" fillId="36" borderId="28" xfId="66" applyNumberFormat="1" applyFont="1" applyFill="1" applyBorder="1" applyAlignment="1" applyProtection="1">
      <alignment horizontal="center"/>
      <protection/>
    </xf>
    <xf numFmtId="176" fontId="52" fillId="37" borderId="48" xfId="66" applyNumberFormat="1" applyFont="1" applyFill="1" applyBorder="1" applyAlignment="1" applyProtection="1" quotePrefix="1">
      <alignment horizontal="center"/>
      <protection/>
    </xf>
    <xf numFmtId="176" fontId="52" fillId="37" borderId="49" xfId="66" applyNumberFormat="1" applyFont="1" applyFill="1" applyBorder="1" applyAlignment="1" applyProtection="1" quotePrefix="1">
      <alignment horizontal="center"/>
      <protection/>
    </xf>
    <xf numFmtId="176" fontId="73" fillId="43" borderId="48" xfId="66" applyNumberFormat="1" applyFont="1" applyFill="1" applyBorder="1" applyAlignment="1" applyProtection="1" quotePrefix="1">
      <alignment horizontal="center"/>
      <protection/>
    </xf>
    <xf numFmtId="176" fontId="73" fillId="43" borderId="49" xfId="66" applyNumberFormat="1" applyFont="1" applyFill="1" applyBorder="1" applyAlignment="1" applyProtection="1" quotePrefix="1">
      <alignment horizontal="center"/>
      <protection/>
    </xf>
    <xf numFmtId="176" fontId="50" fillId="44" borderId="28" xfId="66" applyNumberFormat="1" applyFont="1" applyFill="1" applyBorder="1" applyAlignment="1" applyProtection="1" quotePrefix="1">
      <alignment horizontal="center"/>
      <protection/>
    </xf>
    <xf numFmtId="176" fontId="74" fillId="39" borderId="27" xfId="66" applyNumberFormat="1" applyFont="1" applyFill="1" applyBorder="1" applyAlignment="1" applyProtection="1" quotePrefix="1">
      <alignment horizontal="center"/>
      <protection/>
    </xf>
    <xf numFmtId="176" fontId="13" fillId="0" borderId="47" xfId="66" applyNumberFormat="1" applyFont="1" applyFill="1" applyBorder="1" applyAlignment="1" applyProtection="1">
      <alignment horizontal="center"/>
      <protection/>
    </xf>
    <xf numFmtId="4" fontId="78" fillId="37" borderId="27" xfId="66" applyNumberFormat="1" applyFont="1" applyFill="1" applyBorder="1" applyAlignment="1">
      <alignment horizontal="right"/>
      <protection/>
    </xf>
    <xf numFmtId="4" fontId="78" fillId="0" borderId="27" xfId="66" applyNumberFormat="1" applyFont="1" applyFill="1" applyBorder="1" applyAlignment="1">
      <alignment horizontal="right"/>
      <protection/>
    </xf>
    <xf numFmtId="22" fontId="13" fillId="0" borderId="28" xfId="66" applyNumberFormat="1" applyFont="1" applyFill="1" applyBorder="1" applyAlignment="1" applyProtection="1">
      <alignment horizontal="center"/>
      <protection locked="0"/>
    </xf>
    <xf numFmtId="176" fontId="13" fillId="0" borderId="28" xfId="66" applyNumberFormat="1" applyFont="1" applyFill="1" applyBorder="1" applyAlignment="1" applyProtection="1">
      <alignment horizontal="center"/>
      <protection locked="0"/>
    </xf>
    <xf numFmtId="1" fontId="13" fillId="0" borderId="49" xfId="66" applyNumberFormat="1" applyFont="1" applyBorder="1" applyAlignment="1" applyProtection="1" quotePrefix="1">
      <alignment horizontal="center"/>
      <protection locked="0"/>
    </xf>
    <xf numFmtId="0" fontId="13" fillId="0" borderId="47" xfId="66" applyFont="1" applyBorder="1" applyAlignment="1" applyProtection="1">
      <alignment horizontal="center"/>
      <protection locked="0"/>
    </xf>
    <xf numFmtId="0" fontId="75" fillId="0" borderId="36" xfId="66" applyFont="1" applyFill="1" applyBorder="1" applyAlignment="1" applyProtection="1">
      <alignment horizontal="center"/>
      <protection locked="0"/>
    </xf>
    <xf numFmtId="172" fontId="49" fillId="0" borderId="34" xfId="66" applyNumberFormat="1" applyFont="1" applyFill="1" applyBorder="1" applyAlignment="1" applyProtection="1">
      <alignment horizontal="center"/>
      <protection locked="0"/>
    </xf>
    <xf numFmtId="176" fontId="63" fillId="37" borderId="36" xfId="66" applyNumberFormat="1" applyFont="1" applyFill="1" applyBorder="1" applyAlignment="1" applyProtection="1">
      <alignment horizontal="center"/>
      <protection/>
    </xf>
    <xf numFmtId="0" fontId="13" fillId="0" borderId="36" xfId="66" applyFont="1" applyFill="1" applyBorder="1" applyAlignment="1" applyProtection="1">
      <alignment horizontal="center"/>
      <protection locked="0"/>
    </xf>
    <xf numFmtId="38" fontId="13" fillId="0" borderId="36" xfId="66" applyNumberFormat="1" applyFont="1" applyFill="1" applyBorder="1" applyAlignment="1" applyProtection="1">
      <alignment horizontal="center"/>
      <protection locked="0"/>
    </xf>
    <xf numFmtId="38" fontId="13" fillId="0" borderId="36" xfId="66" applyNumberFormat="1" applyFont="1" applyFill="1" applyBorder="1" applyAlignment="1" applyProtection="1">
      <alignment horizontal="center"/>
      <protection/>
    </xf>
    <xf numFmtId="172" fontId="13" fillId="0" borderId="36" xfId="66" applyNumberFormat="1" applyFont="1" applyFill="1" applyBorder="1" applyAlignment="1" applyProtection="1" quotePrefix="1">
      <alignment horizontal="center"/>
      <protection/>
    </xf>
    <xf numFmtId="176" fontId="13" fillId="0" borderId="36" xfId="66" applyNumberFormat="1" applyFont="1" applyFill="1" applyBorder="1" applyAlignment="1" applyProtection="1">
      <alignment horizontal="center"/>
      <protection locked="0"/>
    </xf>
    <xf numFmtId="181" fontId="13" fillId="0" borderId="36" xfId="66" applyNumberFormat="1" applyFont="1" applyBorder="1" applyAlignment="1" applyProtection="1" quotePrefix="1">
      <alignment horizontal="center"/>
      <protection locked="0"/>
    </xf>
    <xf numFmtId="176" fontId="13" fillId="0" borderId="50" xfId="66" applyNumberFormat="1" applyFont="1" applyFill="1" applyBorder="1" applyAlignment="1" applyProtection="1">
      <alignment horizontal="center"/>
      <protection locked="0"/>
    </xf>
    <xf numFmtId="172" fontId="29" fillId="42" borderId="34" xfId="66" applyNumberFormat="1" applyFont="1" applyFill="1" applyBorder="1" applyAlignment="1" applyProtection="1">
      <alignment horizontal="center"/>
      <protection locked="0"/>
    </xf>
    <xf numFmtId="2" fontId="71" fillId="39" borderId="36" xfId="66" applyNumberFormat="1" applyFont="1" applyFill="1" applyBorder="1" applyAlignment="1" applyProtection="1">
      <alignment horizontal="center"/>
      <protection locked="0"/>
    </xf>
    <xf numFmtId="2" fontId="72" fillId="36" borderId="36" xfId="66" applyNumberFormat="1" applyFont="1" applyFill="1" applyBorder="1" applyAlignment="1" applyProtection="1">
      <alignment horizontal="center"/>
      <protection locked="0"/>
    </xf>
    <xf numFmtId="176" fontId="52" fillId="37" borderId="51" xfId="66" applyNumberFormat="1" applyFont="1" applyFill="1" applyBorder="1" applyAlignment="1" applyProtection="1" quotePrefix="1">
      <alignment horizontal="center"/>
      <protection locked="0"/>
    </xf>
    <xf numFmtId="176" fontId="52" fillId="37" borderId="52" xfId="66" applyNumberFormat="1" applyFont="1" applyFill="1" applyBorder="1" applyAlignment="1" applyProtection="1" quotePrefix="1">
      <alignment horizontal="center"/>
      <protection locked="0"/>
    </xf>
    <xf numFmtId="176" fontId="73" fillId="43" borderId="37" xfId="66" applyNumberFormat="1" applyFont="1" applyFill="1" applyBorder="1" applyAlignment="1" applyProtection="1" quotePrefix="1">
      <alignment horizontal="center"/>
      <protection locked="0"/>
    </xf>
    <xf numFmtId="176" fontId="73" fillId="43" borderId="39" xfId="66" applyNumberFormat="1" applyFont="1" applyFill="1" applyBorder="1" applyAlignment="1" applyProtection="1" quotePrefix="1">
      <alignment horizontal="center"/>
      <protection locked="0"/>
    </xf>
    <xf numFmtId="176" fontId="50" fillId="44" borderId="36" xfId="66" applyNumberFormat="1" applyFont="1" applyFill="1" applyBorder="1" applyAlignment="1" applyProtection="1" quotePrefix="1">
      <alignment horizontal="center"/>
      <protection locked="0"/>
    </xf>
    <xf numFmtId="176" fontId="74" fillId="39" borderId="36" xfId="66" applyNumberFormat="1" applyFont="1" applyFill="1" applyBorder="1" applyAlignment="1" applyProtection="1" quotePrefix="1">
      <alignment horizontal="center"/>
      <protection locked="0"/>
    </xf>
    <xf numFmtId="176" fontId="76" fillId="0" borderId="50" xfId="66" applyNumberFormat="1" applyFont="1" applyFill="1" applyBorder="1" applyAlignment="1" applyProtection="1">
      <alignment horizontal="center"/>
      <protection locked="0"/>
    </xf>
    <xf numFmtId="176" fontId="78" fillId="37" borderId="40" xfId="66" applyNumberFormat="1" applyFont="1" applyFill="1" applyBorder="1" applyAlignment="1">
      <alignment horizontal="center"/>
      <protection/>
    </xf>
    <xf numFmtId="176" fontId="65" fillId="0" borderId="40" xfId="66" applyNumberFormat="1" applyFont="1" applyFill="1" applyBorder="1" applyAlignment="1">
      <alignment horizontal="center"/>
      <protection/>
    </xf>
    <xf numFmtId="0" fontId="104" fillId="0" borderId="41" xfId="66" applyFont="1" applyBorder="1" applyAlignment="1">
      <alignment horizontal="center"/>
      <protection/>
    </xf>
    <xf numFmtId="0" fontId="106" fillId="0" borderId="0" xfId="66" applyFont="1" applyBorder="1" applyAlignment="1" applyProtection="1">
      <alignment horizontal="left"/>
      <protection/>
    </xf>
    <xf numFmtId="0" fontId="57" fillId="0" borderId="41" xfId="66" applyFont="1" applyBorder="1" applyAlignment="1">
      <alignment horizontal="center"/>
      <protection/>
    </xf>
    <xf numFmtId="0" fontId="58" fillId="0" borderId="0" xfId="66" applyFont="1" applyBorder="1" applyAlignment="1" applyProtection="1">
      <alignment horizontal="left"/>
      <protection/>
    </xf>
    <xf numFmtId="172" fontId="29" fillId="0" borderId="0" xfId="66" applyNumberFormat="1" applyFont="1" applyFill="1" applyBorder="1" applyAlignment="1" applyProtection="1">
      <alignment horizontal="center"/>
      <protection/>
    </xf>
    <xf numFmtId="4" fontId="71" fillId="39" borderId="21" xfId="66" applyNumberFormat="1" applyFont="1" applyFill="1" applyBorder="1" applyAlignment="1">
      <alignment horizontal="center"/>
      <protection/>
    </xf>
    <xf numFmtId="4" fontId="72" fillId="36" borderId="21" xfId="66" applyNumberFormat="1" applyFont="1" applyFill="1" applyBorder="1" applyAlignment="1">
      <alignment horizontal="center"/>
      <protection/>
    </xf>
    <xf numFmtId="4" fontId="52" fillId="37" borderId="54" xfId="66" applyNumberFormat="1" applyFont="1" applyFill="1" applyBorder="1" applyAlignment="1">
      <alignment horizontal="center"/>
      <protection/>
    </xf>
    <xf numFmtId="4" fontId="52" fillId="37" borderId="17" xfId="66" applyNumberFormat="1" applyFont="1" applyFill="1" applyBorder="1" applyAlignment="1">
      <alignment horizontal="center"/>
      <protection/>
    </xf>
    <xf numFmtId="4" fontId="73" fillId="43" borderId="54" xfId="66" applyNumberFormat="1" applyFont="1" applyFill="1" applyBorder="1" applyAlignment="1">
      <alignment horizontal="center"/>
      <protection/>
    </xf>
    <xf numFmtId="4" fontId="73" fillId="43" borderId="55" xfId="66" applyNumberFormat="1" applyFont="1" applyFill="1" applyBorder="1" applyAlignment="1">
      <alignment horizontal="center"/>
      <protection/>
    </xf>
    <xf numFmtId="4" fontId="50" fillId="44" borderId="54" xfId="66" applyNumberFormat="1" applyFont="1" applyFill="1" applyBorder="1" applyAlignment="1">
      <alignment horizontal="center"/>
      <protection/>
    </xf>
    <xf numFmtId="4" fontId="74" fillId="39" borderId="55" xfId="66" applyNumberFormat="1" applyFont="1" applyFill="1" applyBorder="1" applyAlignment="1">
      <alignment horizontal="center"/>
      <protection/>
    </xf>
    <xf numFmtId="7" fontId="77" fillId="37" borderId="21" xfId="66" applyNumberFormat="1" applyFont="1" applyFill="1" applyBorder="1" applyAlignment="1">
      <alignment horizontal="right"/>
      <protection/>
    </xf>
    <xf numFmtId="7" fontId="77" fillId="0" borderId="21" xfId="66" applyNumberFormat="1" applyFont="1" applyFill="1" applyBorder="1" applyAlignment="1">
      <alignment horizontal="right"/>
      <protection/>
    </xf>
    <xf numFmtId="0" fontId="13" fillId="0" borderId="18" xfId="66" applyFont="1" applyFill="1" applyBorder="1">
      <alignment/>
      <protection/>
    </xf>
    <xf numFmtId="0" fontId="13" fillId="0" borderId="19" xfId="66" applyFont="1" applyFill="1" applyBorder="1">
      <alignment/>
      <protection/>
    </xf>
    <xf numFmtId="0" fontId="13" fillId="0" borderId="20" xfId="66" applyFont="1" applyFill="1" applyBorder="1">
      <alignment/>
      <protection/>
    </xf>
    <xf numFmtId="0" fontId="3" fillId="0" borderId="0" xfId="66" applyFill="1">
      <alignment/>
      <protection/>
    </xf>
    <xf numFmtId="0" fontId="0" fillId="0" borderId="0" xfId="66" applyFont="1">
      <alignment/>
      <protection/>
    </xf>
    <xf numFmtId="0" fontId="13" fillId="0" borderId="0" xfId="65" applyFont="1" applyFill="1">
      <alignment/>
      <protection/>
    </xf>
    <xf numFmtId="0" fontId="13" fillId="0" borderId="0" xfId="65" applyFont="1">
      <alignment/>
      <protection/>
    </xf>
    <xf numFmtId="0" fontId="3" fillId="0" borderId="0" xfId="65">
      <alignment/>
      <protection/>
    </xf>
    <xf numFmtId="0" fontId="11" fillId="0" borderId="0" xfId="65" applyFont="1" applyAlignment="1">
      <alignment horizontal="right" vertical="top"/>
      <protection/>
    </xf>
    <xf numFmtId="0" fontId="82" fillId="0" borderId="0" xfId="65" applyFont="1" applyFill="1">
      <alignment/>
      <protection/>
    </xf>
    <xf numFmtId="0" fontId="83" fillId="0" borderId="0" xfId="65" applyFont="1" applyAlignment="1">
      <alignment horizontal="centerContinuous"/>
      <protection/>
    </xf>
    <xf numFmtId="0" fontId="82" fillId="0" borderId="0" xfId="65" applyFont="1" applyAlignment="1">
      <alignment horizontal="centerContinuous"/>
      <protection/>
    </xf>
    <xf numFmtId="0" fontId="82" fillId="0" borderId="0" xfId="65" applyFont="1">
      <alignment/>
      <protection/>
    </xf>
    <xf numFmtId="0" fontId="6" fillId="0" borderId="0" xfId="65" applyFont="1" applyFill="1" applyBorder="1" applyAlignment="1" applyProtection="1">
      <alignment horizontal="center"/>
      <protection/>
    </xf>
    <xf numFmtId="0" fontId="6" fillId="0" borderId="0" xfId="65" applyFont="1" applyFill="1" applyBorder="1" applyAlignment="1" applyProtection="1">
      <alignment horizontal="left"/>
      <protection/>
    </xf>
    <xf numFmtId="0" fontId="14" fillId="0" borderId="0" xfId="65" applyFont="1">
      <alignment/>
      <protection/>
    </xf>
    <xf numFmtId="0" fontId="13" fillId="0" borderId="11" xfId="65" applyFont="1" applyBorder="1">
      <alignment/>
      <protection/>
    </xf>
    <xf numFmtId="0" fontId="13" fillId="0" borderId="12" xfId="65" applyFont="1" applyBorder="1">
      <alignment/>
      <protection/>
    </xf>
    <xf numFmtId="0" fontId="13" fillId="0" borderId="12" xfId="65" applyFont="1" applyBorder="1" applyAlignment="1" applyProtection="1">
      <alignment horizontal="left"/>
      <protection/>
    </xf>
    <xf numFmtId="0" fontId="3" fillId="0" borderId="12" xfId="65" applyBorder="1">
      <alignment/>
      <protection/>
    </xf>
    <xf numFmtId="0" fontId="13" fillId="0" borderId="13" xfId="65" applyFont="1" applyFill="1" applyBorder="1">
      <alignment/>
      <protection/>
    </xf>
    <xf numFmtId="0" fontId="13" fillId="0" borderId="14" xfId="65" applyFont="1" applyBorder="1">
      <alignment/>
      <protection/>
    </xf>
    <xf numFmtId="0" fontId="13" fillId="0" borderId="0" xfId="65" applyFont="1" applyBorder="1">
      <alignment/>
      <protection/>
    </xf>
    <xf numFmtId="0" fontId="20" fillId="0" borderId="0" xfId="65" applyFont="1" applyBorder="1" applyAlignment="1">
      <alignment horizontal="left"/>
      <protection/>
    </xf>
    <xf numFmtId="0" fontId="19" fillId="0" borderId="0" xfId="65" applyFont="1" applyBorder="1">
      <alignment/>
      <protection/>
    </xf>
    <xf numFmtId="0" fontId="13" fillId="0" borderId="15" xfId="65" applyFont="1" applyFill="1" applyBorder="1">
      <alignment/>
      <protection/>
    </xf>
    <xf numFmtId="0" fontId="23" fillId="0" borderId="0" xfId="65" applyFont="1">
      <alignment/>
      <protection/>
    </xf>
    <xf numFmtId="0" fontId="23" fillId="0" borderId="14" xfId="65" applyFont="1" applyBorder="1">
      <alignment/>
      <protection/>
    </xf>
    <xf numFmtId="0" fontId="23" fillId="0" borderId="0" xfId="65" applyFont="1" applyBorder="1">
      <alignment/>
      <protection/>
    </xf>
    <xf numFmtId="0" fontId="17" fillId="0" borderId="0" xfId="65" applyFont="1" applyBorder="1">
      <alignment/>
      <protection/>
    </xf>
    <xf numFmtId="0" fontId="23" fillId="0" borderId="15" xfId="65" applyFont="1" applyFill="1" applyBorder="1">
      <alignment/>
      <protection/>
    </xf>
    <xf numFmtId="0" fontId="13" fillId="0" borderId="0" xfId="65" applyFont="1" applyBorder="1" applyProtection="1">
      <alignment/>
      <protection/>
    </xf>
    <xf numFmtId="0" fontId="24" fillId="0" borderId="14" xfId="65" applyFont="1" applyBorder="1" applyAlignment="1">
      <alignment horizontal="centerContinuous"/>
      <protection/>
    </xf>
    <xf numFmtId="0" fontId="3" fillId="0" borderId="0" xfId="65" applyNumberFormat="1" applyAlignment="1">
      <alignment horizontal="centerContinuous"/>
      <protection/>
    </xf>
    <xf numFmtId="0" fontId="24" fillId="0" borderId="0" xfId="65" applyFont="1" applyBorder="1" applyAlignment="1">
      <alignment horizontal="centerContinuous"/>
      <protection/>
    </xf>
    <xf numFmtId="0" fontId="23" fillId="0" borderId="0" xfId="65" applyFont="1" applyBorder="1" applyAlignment="1">
      <alignment horizontal="centerContinuous"/>
      <protection/>
    </xf>
    <xf numFmtId="0" fontId="3" fillId="0" borderId="0" xfId="65" applyAlignment="1">
      <alignment horizontal="centerContinuous"/>
      <protection/>
    </xf>
    <xf numFmtId="0" fontId="23" fillId="0" borderId="0" xfId="65" applyFont="1" applyAlignment="1">
      <alignment horizontal="centerContinuous"/>
      <protection/>
    </xf>
    <xf numFmtId="0" fontId="23" fillId="0" borderId="0" xfId="65" applyFont="1" applyAlignment="1">
      <alignment/>
      <protection/>
    </xf>
    <xf numFmtId="0" fontId="23" fillId="0" borderId="15" xfId="65" applyFont="1" applyBorder="1" applyAlignment="1">
      <alignment horizontal="centerContinuous"/>
      <protection/>
    </xf>
    <xf numFmtId="0" fontId="13" fillId="0" borderId="0" xfId="65" applyFont="1" applyBorder="1" applyAlignment="1">
      <alignment horizontal="center"/>
      <protection/>
    </xf>
    <xf numFmtId="0" fontId="107" fillId="0" borderId="0" xfId="65" applyFont="1" applyBorder="1" applyAlignment="1" quotePrefix="1">
      <alignment horizontal="left"/>
      <protection/>
    </xf>
    <xf numFmtId="176" fontId="48" fillId="0" borderId="0" xfId="65" applyNumberFormat="1" applyFont="1" applyBorder="1" applyAlignment="1" applyProtection="1">
      <alignment horizontal="left"/>
      <protection/>
    </xf>
    <xf numFmtId="0" fontId="3" fillId="0" borderId="0" xfId="65" applyBorder="1">
      <alignment/>
      <protection/>
    </xf>
    <xf numFmtId="0" fontId="10" fillId="0" borderId="0" xfId="65" applyFont="1" applyBorder="1" applyAlignment="1">
      <alignment horizontal="center"/>
      <protection/>
    </xf>
    <xf numFmtId="0" fontId="10" fillId="0" borderId="0" xfId="65" applyFont="1" applyBorder="1">
      <alignment/>
      <protection/>
    </xf>
    <xf numFmtId="0" fontId="21" fillId="0" borderId="0" xfId="65" applyFont="1">
      <alignment/>
      <protection/>
    </xf>
    <xf numFmtId="0" fontId="21" fillId="0" borderId="14" xfId="65" applyFont="1" applyBorder="1">
      <alignment/>
      <protection/>
    </xf>
    <xf numFmtId="0" fontId="21" fillId="0" borderId="0" xfId="65" applyFont="1" applyBorder="1">
      <alignment/>
      <protection/>
    </xf>
    <xf numFmtId="0" fontId="21" fillId="0" borderId="0" xfId="65" applyFont="1" applyBorder="1" applyAlignment="1">
      <alignment horizontal="right"/>
      <protection/>
    </xf>
    <xf numFmtId="7" fontId="21" fillId="0" borderId="0" xfId="65" applyNumberFormat="1" applyFont="1" applyBorder="1" applyAlignment="1">
      <alignment horizontal="center"/>
      <protection/>
    </xf>
    <xf numFmtId="0" fontId="21" fillId="0" borderId="0" xfId="65" applyFont="1" applyBorder="1" applyAlignment="1">
      <alignment horizontal="center"/>
      <protection/>
    </xf>
    <xf numFmtId="0" fontId="84" fillId="0" borderId="0" xfId="65" applyFont="1" applyBorder="1" applyAlignment="1" quotePrefix="1">
      <alignment horizontal="left"/>
      <protection/>
    </xf>
    <xf numFmtId="0" fontId="21" fillId="0" borderId="15" xfId="65" applyFont="1" applyFill="1" applyBorder="1">
      <alignment/>
      <protection/>
    </xf>
    <xf numFmtId="0" fontId="21" fillId="0" borderId="0" xfId="65" applyFont="1" applyBorder="1" applyAlignment="1" applyProtection="1">
      <alignment horizontal="left"/>
      <protection/>
    </xf>
    <xf numFmtId="182" fontId="21" fillId="0" borderId="0" xfId="65" applyNumberFormat="1" applyFont="1" applyBorder="1" applyAlignment="1">
      <alignment horizontal="center"/>
      <protection/>
    </xf>
    <xf numFmtId="176" fontId="21" fillId="0" borderId="0" xfId="65" applyNumberFormat="1" applyFont="1" applyBorder="1" applyAlignment="1" applyProtection="1">
      <alignment horizontal="left"/>
      <protection/>
    </xf>
    <xf numFmtId="0" fontId="21" fillId="0" borderId="0" xfId="65" applyFont="1" applyAlignment="1">
      <alignment horizontal="right"/>
      <protection/>
    </xf>
    <xf numFmtId="10" fontId="21" fillId="0" borderId="0" xfId="65" applyNumberFormat="1" applyFont="1" applyBorder="1" applyAlignment="1" applyProtection="1">
      <alignment horizontal="right"/>
      <protection/>
    </xf>
    <xf numFmtId="191" fontId="21" fillId="0" borderId="0" xfId="65" applyNumberFormat="1" applyFont="1" applyBorder="1">
      <alignment/>
      <protection/>
    </xf>
    <xf numFmtId="0" fontId="3" fillId="0" borderId="0" xfId="65" applyFont="1" applyBorder="1" applyAlignment="1" applyProtection="1">
      <alignment horizontal="center"/>
      <protection/>
    </xf>
    <xf numFmtId="182" fontId="3" fillId="0" borderId="0" xfId="65" applyNumberFormat="1" applyFont="1" applyBorder="1" applyAlignment="1">
      <alignment horizontal="centerContinuous"/>
      <protection/>
    </xf>
    <xf numFmtId="0" fontId="21" fillId="0" borderId="0" xfId="65" applyFont="1" applyBorder="1" applyAlignment="1" applyProtection="1">
      <alignment horizontal="center"/>
      <protection/>
    </xf>
    <xf numFmtId="0" fontId="22" fillId="0" borderId="0" xfId="65" applyFont="1" applyBorder="1">
      <alignment/>
      <protection/>
    </xf>
    <xf numFmtId="176" fontId="4" fillId="0" borderId="16" xfId="65" applyNumberFormat="1" applyFont="1" applyBorder="1" applyAlignment="1" applyProtection="1">
      <alignment horizontal="center"/>
      <protection/>
    </xf>
    <xf numFmtId="191" fontId="21" fillId="0" borderId="17" xfId="65" applyNumberFormat="1" applyFont="1" applyBorder="1" applyAlignment="1" applyProtection="1">
      <alignment horizontal="centerContinuous"/>
      <protection/>
    </xf>
    <xf numFmtId="0" fontId="13" fillId="0" borderId="0" xfId="65" applyFont="1" applyBorder="1" applyAlignment="1" applyProtection="1">
      <alignment horizontal="center"/>
      <protection/>
    </xf>
    <xf numFmtId="172" fontId="89" fillId="0" borderId="0" xfId="65" applyNumberFormat="1" applyFont="1" applyBorder="1" applyAlignment="1" applyProtection="1">
      <alignment horizontal="center"/>
      <protection/>
    </xf>
    <xf numFmtId="173" fontId="21" fillId="0" borderId="0" xfId="65" applyNumberFormat="1" applyFont="1" applyBorder="1" applyAlignment="1" applyProtection="1">
      <alignment horizontal="center"/>
      <protection/>
    </xf>
    <xf numFmtId="176" fontId="21" fillId="0" borderId="0" xfId="65" applyNumberFormat="1" applyFont="1" applyBorder="1" applyAlignment="1" applyProtection="1">
      <alignment horizontal="center"/>
      <protection/>
    </xf>
    <xf numFmtId="181" fontId="21" fillId="0" borderId="0" xfId="65" applyNumberFormat="1" applyFont="1" applyBorder="1" applyAlignment="1" applyProtection="1" quotePrefix="1">
      <alignment horizontal="center"/>
      <protection/>
    </xf>
    <xf numFmtId="2" fontId="108" fillId="0" borderId="22" xfId="65" applyNumberFormat="1" applyFont="1" applyFill="1" applyBorder="1" applyAlignment="1" applyProtection="1">
      <alignment horizontal="center"/>
      <protection/>
    </xf>
    <xf numFmtId="2" fontId="77" fillId="0" borderId="22" xfId="65" applyNumberFormat="1" applyFont="1" applyFill="1" applyBorder="1" applyAlignment="1" applyProtection="1">
      <alignment horizontal="center"/>
      <protection/>
    </xf>
    <xf numFmtId="2" fontId="109" fillId="0" borderId="22" xfId="65" applyNumberFormat="1" applyFont="1" applyFill="1" applyBorder="1" applyAlignment="1" applyProtection="1">
      <alignment horizontal="center"/>
      <protection/>
    </xf>
    <xf numFmtId="2" fontId="21" fillId="0" borderId="0" xfId="65" applyNumberFormat="1" applyFont="1" applyBorder="1" applyAlignment="1" applyProtection="1">
      <alignment horizontal="center"/>
      <protection/>
    </xf>
    <xf numFmtId="7" fontId="21" fillId="0" borderId="0" xfId="65" applyNumberFormat="1" applyFont="1" applyBorder="1" applyAlignment="1" applyProtection="1">
      <alignment horizontal="center"/>
      <protection/>
    </xf>
    <xf numFmtId="4" fontId="13" fillId="0" borderId="15" xfId="65" applyNumberFormat="1" applyFont="1" applyFill="1" applyBorder="1" applyAlignment="1">
      <alignment horizontal="center"/>
      <protection/>
    </xf>
    <xf numFmtId="0" fontId="13" fillId="0" borderId="14" xfId="65" applyFont="1" applyFill="1" applyBorder="1">
      <alignment/>
      <protection/>
    </xf>
    <xf numFmtId="0" fontId="30" fillId="0" borderId="21" xfId="65" applyFont="1" applyFill="1" applyBorder="1" applyAlignment="1">
      <alignment horizontal="center" vertical="center"/>
      <protection/>
    </xf>
    <xf numFmtId="0" fontId="30" fillId="0" borderId="21" xfId="65" applyFont="1" applyFill="1" applyBorder="1" applyAlignment="1" applyProtection="1">
      <alignment horizontal="center" vertical="center" wrapText="1"/>
      <protection/>
    </xf>
    <xf numFmtId="0" fontId="30" fillId="0" borderId="21" xfId="65" applyFont="1" applyFill="1" applyBorder="1" applyAlignment="1" applyProtection="1">
      <alignment horizontal="center" vertical="center"/>
      <protection/>
    </xf>
    <xf numFmtId="0" fontId="30" fillId="0" borderId="21" xfId="65" applyFont="1" applyFill="1" applyBorder="1" applyAlignment="1" applyProtection="1" quotePrefix="1">
      <alignment horizontal="center" vertical="center" wrapText="1"/>
      <protection/>
    </xf>
    <xf numFmtId="0" fontId="30" fillId="0" borderId="21" xfId="65" applyFont="1" applyFill="1" applyBorder="1" applyAlignment="1">
      <alignment horizontal="center" vertical="center" wrapText="1"/>
      <protection/>
    </xf>
    <xf numFmtId="0" fontId="60" fillId="37" borderId="21" xfId="65" applyFont="1" applyFill="1" applyBorder="1" applyAlignment="1" applyProtection="1">
      <alignment horizontal="center" vertical="center"/>
      <protection/>
    </xf>
    <xf numFmtId="0" fontId="60" fillId="48" borderId="21" xfId="65" applyFont="1" applyFill="1" applyBorder="1" applyAlignment="1" applyProtection="1">
      <alignment horizontal="center" vertical="center"/>
      <protection/>
    </xf>
    <xf numFmtId="0" fontId="30" fillId="0" borderId="16" xfId="65" applyFont="1" applyBorder="1" applyAlignment="1" applyProtection="1">
      <alignment horizontal="center" vertical="center" wrapText="1"/>
      <protection/>
    </xf>
    <xf numFmtId="0" fontId="30" fillId="0" borderId="16" xfId="65" applyFont="1" applyFill="1" applyBorder="1" applyAlignment="1" applyProtection="1">
      <alignment horizontal="centerContinuous" vertical="center"/>
      <protection/>
    </xf>
    <xf numFmtId="0" fontId="30" fillId="0" borderId="22" xfId="65" applyFont="1" applyFill="1" applyBorder="1" applyAlignment="1" applyProtection="1">
      <alignment horizontal="centerContinuous" vertical="center"/>
      <protection/>
    </xf>
    <xf numFmtId="0" fontId="62" fillId="49" borderId="21" xfId="65" applyFont="1" applyFill="1" applyBorder="1" applyAlignment="1">
      <alignment horizontal="center" vertical="center" wrapText="1"/>
      <protection/>
    </xf>
    <xf numFmtId="0" fontId="62" fillId="50" borderId="16" xfId="65" applyFont="1" applyFill="1" applyBorder="1" applyAlignment="1" applyProtection="1">
      <alignment horizontal="centerContinuous" vertical="center" wrapText="1"/>
      <protection/>
    </xf>
    <xf numFmtId="0" fontId="62" fillId="50" borderId="17" xfId="65" applyFont="1" applyFill="1" applyBorder="1" applyAlignment="1">
      <alignment horizontal="centerContinuous" vertical="center"/>
      <protection/>
    </xf>
    <xf numFmtId="0" fontId="62" fillId="35" borderId="21" xfId="65" applyFont="1" applyFill="1" applyBorder="1" applyAlignment="1">
      <alignment horizontal="centerContinuous" vertical="center" wrapText="1"/>
      <protection/>
    </xf>
    <xf numFmtId="0" fontId="62" fillId="48" borderId="69" xfId="65" applyFont="1" applyFill="1" applyBorder="1" applyAlignment="1">
      <alignment vertical="center" wrapText="1"/>
      <protection/>
    </xf>
    <xf numFmtId="0" fontId="62" fillId="48" borderId="41" xfId="65" applyFont="1" applyFill="1" applyBorder="1" applyAlignment="1">
      <alignment vertical="center" wrapText="1"/>
      <protection/>
    </xf>
    <xf numFmtId="0" fontId="62" fillId="48" borderId="44" xfId="65" applyFont="1" applyFill="1" applyBorder="1" applyAlignment="1">
      <alignment vertical="center" wrapText="1"/>
      <protection/>
    </xf>
    <xf numFmtId="0" fontId="30" fillId="0" borderId="21" xfId="65" applyFont="1" applyBorder="1" applyAlignment="1">
      <alignment horizontal="center" vertical="center" wrapText="1"/>
      <protection/>
    </xf>
    <xf numFmtId="0" fontId="13" fillId="0" borderId="28" xfId="65" applyFont="1" applyBorder="1" applyAlignment="1">
      <alignment horizontal="center"/>
      <protection/>
    </xf>
    <xf numFmtId="0" fontId="13" fillId="0" borderId="28" xfId="65" applyFont="1" applyFill="1" applyBorder="1" applyAlignment="1">
      <alignment horizontal="center"/>
      <protection/>
    </xf>
    <xf numFmtId="172" fontId="13" fillId="0" borderId="28" xfId="65" applyNumberFormat="1" applyFont="1" applyFill="1" applyBorder="1" applyAlignment="1" applyProtection="1">
      <alignment horizontal="center"/>
      <protection/>
    </xf>
    <xf numFmtId="0" fontId="110" fillId="37" borderId="28" xfId="65" applyFont="1" applyFill="1" applyBorder="1" applyAlignment="1">
      <alignment horizontal="center"/>
      <protection/>
    </xf>
    <xf numFmtId="0" fontId="110" fillId="48" borderId="28" xfId="65" applyFont="1" applyFill="1" applyBorder="1" applyAlignment="1">
      <alignment horizontal="center"/>
      <protection/>
    </xf>
    <xf numFmtId="0" fontId="13" fillId="0" borderId="29" xfId="65" applyFont="1" applyFill="1" applyBorder="1" applyAlignment="1">
      <alignment horizontal="center"/>
      <protection/>
    </xf>
    <xf numFmtId="0" fontId="13" fillId="0" borderId="70" xfId="65" applyFont="1" applyFill="1" applyBorder="1" applyAlignment="1">
      <alignment horizontal="center"/>
      <protection/>
    </xf>
    <xf numFmtId="0" fontId="63" fillId="37" borderId="23" xfId="65" applyFont="1" applyFill="1" applyBorder="1" applyAlignment="1">
      <alignment horizontal="center"/>
      <protection/>
    </xf>
    <xf numFmtId="0" fontId="29" fillId="49" borderId="23" xfId="65" applyFont="1" applyFill="1" applyBorder="1" applyAlignment="1">
      <alignment horizontal="center"/>
      <protection/>
    </xf>
    <xf numFmtId="0" fontId="29" fillId="50" borderId="24" xfId="65" applyFont="1" applyFill="1" applyBorder="1" applyAlignment="1">
      <alignment horizontal="center"/>
      <protection/>
    </xf>
    <xf numFmtId="0" fontId="29" fillId="50" borderId="26" xfId="65" applyFont="1" applyFill="1" applyBorder="1" applyAlignment="1">
      <alignment horizontal="left"/>
      <protection/>
    </xf>
    <xf numFmtId="0" fontId="29" fillId="35" borderId="23" xfId="65" applyFont="1" applyFill="1" applyBorder="1" applyAlignment="1">
      <alignment horizontal="left"/>
      <protection/>
    </xf>
    <xf numFmtId="0" fontId="29" fillId="48" borderId="58" xfId="65" applyFont="1" applyFill="1" applyBorder="1" applyAlignment="1">
      <alignment horizontal="left"/>
      <protection/>
    </xf>
    <xf numFmtId="0" fontId="29" fillId="48" borderId="0" xfId="65" applyFont="1" applyFill="1" applyBorder="1" applyAlignment="1">
      <alignment horizontal="left"/>
      <protection/>
    </xf>
    <xf numFmtId="0" fontId="29" fillId="48" borderId="57" xfId="65" applyFont="1" applyFill="1" applyBorder="1" applyAlignment="1">
      <alignment horizontal="left"/>
      <protection/>
    </xf>
    <xf numFmtId="0" fontId="48" fillId="0" borderId="29" xfId="65" applyFont="1" applyFill="1" applyBorder="1" applyAlignment="1">
      <alignment horizontal="center"/>
      <protection/>
    </xf>
    <xf numFmtId="0" fontId="13" fillId="0" borderId="28" xfId="59" applyFont="1" applyBorder="1" applyAlignment="1" applyProtection="1">
      <alignment horizontal="center"/>
      <protection locked="0"/>
    </xf>
    <xf numFmtId="0" fontId="13" fillId="0" borderId="27" xfId="65" applyFont="1" applyBorder="1" applyAlignment="1" applyProtection="1">
      <alignment horizontal="center"/>
      <protection/>
    </xf>
    <xf numFmtId="0" fontId="13" fillId="0" borderId="32" xfId="65" applyFont="1" applyBorder="1" applyAlignment="1" applyProtection="1">
      <alignment horizontal="center"/>
      <protection/>
    </xf>
    <xf numFmtId="172" fontId="13" fillId="0" borderId="27" xfId="65" applyNumberFormat="1" applyFont="1" applyBorder="1" applyAlignment="1" applyProtection="1">
      <alignment horizontal="center"/>
      <protection/>
    </xf>
    <xf numFmtId="1" fontId="13" fillId="0" borderId="49" xfId="65" applyNumberFormat="1" applyFont="1" applyBorder="1" applyAlignment="1" applyProtection="1">
      <alignment horizontal="center"/>
      <protection/>
    </xf>
    <xf numFmtId="176" fontId="110" fillId="37" borderId="28" xfId="65" applyNumberFormat="1" applyFont="1" applyFill="1" applyBorder="1" applyAlignment="1" applyProtection="1">
      <alignment horizontal="center"/>
      <protection/>
    </xf>
    <xf numFmtId="176" fontId="110" fillId="48" borderId="28" xfId="65" applyNumberFormat="1" applyFont="1" applyFill="1" applyBorder="1" applyAlignment="1" applyProtection="1">
      <alignment horizontal="center"/>
      <protection/>
    </xf>
    <xf numFmtId="4" fontId="13" fillId="0" borderId="28" xfId="65" applyNumberFormat="1" applyFont="1" applyFill="1" applyBorder="1" applyAlignment="1" applyProtection="1">
      <alignment horizontal="center"/>
      <protection/>
    </xf>
    <xf numFmtId="3" fontId="13" fillId="0" borderId="28" xfId="65" applyNumberFormat="1" applyFont="1" applyFill="1" applyBorder="1" applyAlignment="1" applyProtection="1">
      <alignment horizontal="center"/>
      <protection/>
    </xf>
    <xf numFmtId="176" fontId="13" fillId="0" borderId="28" xfId="65" applyNumberFormat="1" applyFont="1" applyFill="1" applyBorder="1" applyAlignment="1" applyProtection="1">
      <alignment horizontal="center"/>
      <protection/>
    </xf>
    <xf numFmtId="176" fontId="13" fillId="0" borderId="28" xfId="65" applyNumberFormat="1" applyFont="1" applyBorder="1" applyAlignment="1" applyProtection="1" quotePrefix="1">
      <alignment horizontal="center"/>
      <protection/>
    </xf>
    <xf numFmtId="176" fontId="13" fillId="0" borderId="47" xfId="65" applyNumberFormat="1" applyFont="1" applyBorder="1" applyAlignment="1" applyProtection="1">
      <alignment horizontal="center"/>
      <protection/>
    </xf>
    <xf numFmtId="172" fontId="63" fillId="37" borderId="28" xfId="65" applyNumberFormat="1" applyFont="1" applyFill="1" applyBorder="1" applyAlignment="1" applyProtection="1">
      <alignment horizontal="center"/>
      <protection/>
    </xf>
    <xf numFmtId="2" fontId="64" fillId="49" borderId="28" xfId="65" applyNumberFormat="1" applyFont="1" applyFill="1" applyBorder="1" applyAlignment="1">
      <alignment horizontal="center"/>
      <protection/>
    </xf>
    <xf numFmtId="176" fontId="64" fillId="50" borderId="48" xfId="65" applyNumberFormat="1" applyFont="1" applyFill="1" applyBorder="1" applyAlignment="1" applyProtection="1" quotePrefix="1">
      <alignment horizontal="center"/>
      <protection/>
    </xf>
    <xf numFmtId="176" fontId="64" fillId="50" borderId="49" xfId="65" applyNumberFormat="1" applyFont="1" applyFill="1" applyBorder="1" applyAlignment="1" applyProtection="1" quotePrefix="1">
      <alignment horizontal="center"/>
      <protection/>
    </xf>
    <xf numFmtId="176" fontId="64" fillId="35" borderId="28" xfId="65" applyNumberFormat="1" applyFont="1" applyFill="1" applyBorder="1" applyAlignment="1" applyProtection="1" quotePrefix="1">
      <alignment horizontal="center"/>
      <protection/>
    </xf>
    <xf numFmtId="176" fontId="64" fillId="48" borderId="58" xfId="65" applyNumberFormat="1" applyFont="1" applyFill="1" applyBorder="1" applyAlignment="1" applyProtection="1" quotePrefix="1">
      <alignment horizontal="center"/>
      <protection/>
    </xf>
    <xf numFmtId="176" fontId="64" fillId="48" borderId="0" xfId="65" applyNumberFormat="1" applyFont="1" applyFill="1" applyBorder="1" applyAlignment="1" applyProtection="1" quotePrefix="1">
      <alignment horizontal="center"/>
      <protection/>
    </xf>
    <xf numFmtId="176" fontId="64" fillId="48" borderId="57" xfId="65" applyNumberFormat="1" applyFont="1" applyFill="1" applyBorder="1" applyAlignment="1" applyProtection="1" quotePrefix="1">
      <alignment horizontal="center"/>
      <protection/>
    </xf>
    <xf numFmtId="176" fontId="13" fillId="0" borderId="29" xfId="65" applyNumberFormat="1" applyFont="1" applyFill="1" applyBorder="1" applyAlignment="1">
      <alignment horizontal="center"/>
      <protection/>
    </xf>
    <xf numFmtId="4" fontId="78" fillId="0" borderId="29" xfId="65" applyNumberFormat="1" applyFont="1" applyFill="1" applyBorder="1" applyAlignment="1">
      <alignment horizontal="right"/>
      <protection/>
    </xf>
    <xf numFmtId="22" fontId="13" fillId="0" borderId="28" xfId="65" applyNumberFormat="1" applyFont="1" applyFill="1" applyBorder="1" applyAlignment="1" applyProtection="1">
      <alignment horizontal="center"/>
      <protection/>
    </xf>
    <xf numFmtId="0" fontId="13" fillId="0" borderId="36" xfId="65" applyFont="1" applyFill="1" applyBorder="1" applyAlignment="1">
      <alignment horizontal="center"/>
      <protection/>
    </xf>
    <xf numFmtId="0" fontId="13" fillId="0" borderId="34" xfId="65" applyFont="1" applyBorder="1" applyAlignment="1" applyProtection="1">
      <alignment horizontal="center"/>
      <protection/>
    </xf>
    <xf numFmtId="0" fontId="13" fillId="0" borderId="71" xfId="65" applyFont="1" applyBorder="1" applyAlignment="1" applyProtection="1">
      <alignment horizontal="center"/>
      <protection/>
    </xf>
    <xf numFmtId="172" fontId="13" fillId="0" borderId="34" xfId="65" applyNumberFormat="1" applyFont="1" applyBorder="1" applyAlignment="1" applyProtection="1">
      <alignment horizontal="center"/>
      <protection/>
    </xf>
    <xf numFmtId="1" fontId="13" fillId="0" borderId="52" xfId="65" applyNumberFormat="1" applyFont="1" applyBorder="1" applyAlignment="1" applyProtection="1" quotePrefix="1">
      <alignment horizontal="center"/>
      <protection/>
    </xf>
    <xf numFmtId="176" fontId="110" fillId="37" borderId="36" xfId="65" applyNumberFormat="1" applyFont="1" applyFill="1" applyBorder="1" applyAlignment="1" applyProtection="1">
      <alignment horizontal="center"/>
      <protection/>
    </xf>
    <xf numFmtId="176" fontId="110" fillId="48" borderId="36" xfId="65" applyNumberFormat="1" applyFont="1" applyFill="1" applyBorder="1" applyAlignment="1" applyProtection="1">
      <alignment horizontal="center"/>
      <protection/>
    </xf>
    <xf numFmtId="22" fontId="13" fillId="0" borderId="36" xfId="65" applyNumberFormat="1" applyFont="1" applyFill="1" applyBorder="1" applyAlignment="1">
      <alignment horizontal="center"/>
      <protection/>
    </xf>
    <xf numFmtId="22" fontId="13" fillId="0" borderId="36" xfId="65" applyNumberFormat="1" applyFont="1" applyFill="1" applyBorder="1" applyAlignment="1" applyProtection="1">
      <alignment horizontal="center"/>
      <protection/>
    </xf>
    <xf numFmtId="4" fontId="13" fillId="0" borderId="36" xfId="65" applyNumberFormat="1" applyFont="1" applyFill="1" applyBorder="1" applyAlignment="1" applyProtection="1">
      <alignment horizontal="center"/>
      <protection/>
    </xf>
    <xf numFmtId="3" fontId="13" fillId="0" borderId="36" xfId="65" applyNumberFormat="1" applyFont="1" applyFill="1" applyBorder="1" applyAlignment="1" applyProtection="1">
      <alignment horizontal="center"/>
      <protection/>
    </xf>
    <xf numFmtId="176" fontId="13" fillId="0" borderId="36" xfId="65" applyNumberFormat="1" applyFont="1" applyFill="1" applyBorder="1" applyAlignment="1" applyProtection="1">
      <alignment horizontal="center"/>
      <protection/>
    </xf>
    <xf numFmtId="176" fontId="13" fillId="0" borderId="36" xfId="65" applyNumberFormat="1" applyFont="1" applyBorder="1" applyAlignment="1" applyProtection="1">
      <alignment horizontal="center"/>
      <protection/>
    </xf>
    <xf numFmtId="172" fontId="63" fillId="37" borderId="36" xfId="65" applyNumberFormat="1" applyFont="1" applyFill="1" applyBorder="1" applyAlignment="1" applyProtection="1">
      <alignment horizontal="center"/>
      <protection/>
    </xf>
    <xf numFmtId="2" fontId="29" fillId="49" borderId="36" xfId="65" applyNumberFormat="1" applyFont="1" applyFill="1" applyBorder="1" applyAlignment="1">
      <alignment horizontal="center"/>
      <protection/>
    </xf>
    <xf numFmtId="176" fontId="29" fillId="50" borderId="51" xfId="65" applyNumberFormat="1" applyFont="1" applyFill="1" applyBorder="1" applyAlignment="1" applyProtection="1" quotePrefix="1">
      <alignment horizontal="center"/>
      <protection/>
    </xf>
    <xf numFmtId="176" fontId="29" fillId="50" borderId="52" xfId="65" applyNumberFormat="1" applyFont="1" applyFill="1" applyBorder="1" applyAlignment="1" applyProtection="1" quotePrefix="1">
      <alignment horizontal="center"/>
      <protection/>
    </xf>
    <xf numFmtId="176" fontId="29" fillId="35" borderId="36" xfId="65" applyNumberFormat="1" applyFont="1" applyFill="1" applyBorder="1" applyAlignment="1" applyProtection="1" quotePrefix="1">
      <alignment horizontal="center"/>
      <protection/>
    </xf>
    <xf numFmtId="176" fontId="29" fillId="48" borderId="72" xfId="65" applyNumberFormat="1" applyFont="1" applyFill="1" applyBorder="1" applyAlignment="1" applyProtection="1" quotePrefix="1">
      <alignment horizontal="center"/>
      <protection/>
    </xf>
    <xf numFmtId="176" fontId="29" fillId="48" borderId="62" xfId="65" applyNumberFormat="1" applyFont="1" applyFill="1" applyBorder="1" applyAlignment="1" applyProtection="1" quotePrefix="1">
      <alignment horizontal="center"/>
      <protection/>
    </xf>
    <xf numFmtId="176" fontId="29" fillId="48" borderId="50" xfId="65" applyNumberFormat="1" applyFont="1" applyFill="1" applyBorder="1" applyAlignment="1" applyProtection="1" quotePrefix="1">
      <alignment horizontal="center"/>
      <protection/>
    </xf>
    <xf numFmtId="176" fontId="13" fillId="0" borderId="50" xfId="65" applyNumberFormat="1" applyFont="1" applyFill="1" applyBorder="1" applyAlignment="1">
      <alignment horizontal="center"/>
      <protection/>
    </xf>
    <xf numFmtId="4" fontId="78" fillId="0" borderId="50" xfId="65" applyNumberFormat="1" applyFont="1" applyFill="1" applyBorder="1" applyAlignment="1">
      <alignment horizontal="right"/>
      <protection/>
    </xf>
    <xf numFmtId="0" fontId="13" fillId="0" borderId="0" xfId="65" applyFont="1" applyFill="1" applyBorder="1" applyAlignment="1">
      <alignment horizontal="center"/>
      <protection/>
    </xf>
    <xf numFmtId="172" fontId="13" fillId="0" borderId="0" xfId="65" applyNumberFormat="1" applyFont="1" applyBorder="1" applyAlignment="1" applyProtection="1">
      <alignment horizontal="center"/>
      <protection/>
    </xf>
    <xf numFmtId="1" fontId="13" fillId="0" borderId="0" xfId="65" applyNumberFormat="1" applyFont="1" applyBorder="1" applyAlignment="1" applyProtection="1" quotePrefix="1">
      <alignment horizontal="center"/>
      <protection/>
    </xf>
    <xf numFmtId="176" fontId="13" fillId="0" borderId="0" xfId="65" applyNumberFormat="1" applyFont="1" applyFill="1" applyBorder="1" applyAlignment="1" applyProtection="1">
      <alignment horizontal="center"/>
      <protection/>
    </xf>
    <xf numFmtId="22" fontId="13" fillId="0" borderId="0" xfId="65" applyNumberFormat="1" applyFont="1" applyFill="1" applyBorder="1" applyAlignment="1">
      <alignment horizontal="center"/>
      <protection/>
    </xf>
    <xf numFmtId="22" fontId="13" fillId="0" borderId="0" xfId="65" applyNumberFormat="1" applyFont="1" applyFill="1" applyBorder="1" applyAlignment="1" applyProtection="1">
      <alignment horizontal="center"/>
      <protection/>
    </xf>
    <xf numFmtId="4" fontId="13" fillId="0" borderId="0" xfId="65" applyNumberFormat="1" applyFont="1" applyFill="1" applyBorder="1" applyAlignment="1" applyProtection="1">
      <alignment horizontal="center"/>
      <protection/>
    </xf>
    <xf numFmtId="3" fontId="13" fillId="0" borderId="0" xfId="65" applyNumberFormat="1" applyFont="1" applyFill="1" applyBorder="1" applyAlignment="1" applyProtection="1">
      <alignment horizontal="center"/>
      <protection/>
    </xf>
    <xf numFmtId="176" fontId="13" fillId="0" borderId="0" xfId="65" applyNumberFormat="1" applyFont="1" applyBorder="1" applyAlignment="1" applyProtection="1" quotePrefix="1">
      <alignment horizontal="center"/>
      <protection/>
    </xf>
    <xf numFmtId="176" fontId="13" fillId="0" borderId="0" xfId="65" applyNumberFormat="1" applyFont="1" applyBorder="1" applyAlignment="1" applyProtection="1">
      <alignment horizontal="center"/>
      <protection/>
    </xf>
    <xf numFmtId="172" fontId="13" fillId="0" borderId="41" xfId="65" applyNumberFormat="1" applyFont="1" applyFill="1" applyBorder="1" applyAlignment="1" applyProtection="1">
      <alignment horizontal="center"/>
      <protection/>
    </xf>
    <xf numFmtId="2" fontId="59" fillId="0" borderId="41" xfId="65" applyNumberFormat="1" applyFont="1" applyFill="1" applyBorder="1" applyAlignment="1">
      <alignment horizontal="center"/>
      <protection/>
    </xf>
    <xf numFmtId="176" fontId="49" fillId="0" borderId="41" xfId="65" applyNumberFormat="1" applyFont="1" applyFill="1" applyBorder="1" applyAlignment="1" applyProtection="1" quotePrefix="1">
      <alignment horizontal="center"/>
      <protection/>
    </xf>
    <xf numFmtId="176" fontId="13" fillId="0" borderId="41" xfId="65" applyNumberFormat="1" applyFont="1" applyFill="1" applyBorder="1" applyAlignment="1">
      <alignment horizontal="center"/>
      <protection/>
    </xf>
    <xf numFmtId="8" fontId="78" fillId="0" borderId="21" xfId="53" applyNumberFormat="1" applyFont="1" applyFill="1" applyBorder="1" applyAlignment="1">
      <alignment horizontal="right"/>
    </xf>
    <xf numFmtId="0" fontId="30" fillId="0" borderId="16" xfId="65" applyFont="1" applyFill="1" applyBorder="1" applyAlignment="1" applyProtection="1" quotePrefix="1">
      <alignment horizontal="center" vertical="center" wrapText="1"/>
      <protection/>
    </xf>
    <xf numFmtId="0" fontId="62" fillId="34" borderId="21" xfId="65" applyFont="1" applyFill="1" applyBorder="1" applyAlignment="1" applyProtection="1">
      <alignment horizontal="center" vertical="center"/>
      <protection/>
    </xf>
    <xf numFmtId="0" fontId="69" fillId="43" borderId="21" xfId="65" applyFont="1" applyFill="1" applyBorder="1" applyAlignment="1">
      <alignment horizontal="center" vertical="center" wrapText="1"/>
      <protection/>
    </xf>
    <xf numFmtId="0" fontId="35" fillId="36" borderId="16" xfId="65" applyFont="1" applyFill="1" applyBorder="1" applyAlignment="1" applyProtection="1">
      <alignment horizontal="centerContinuous" vertical="center" wrapText="1"/>
      <protection/>
    </xf>
    <xf numFmtId="0" fontId="35" fillId="36" borderId="17" xfId="65" applyFont="1" applyFill="1" applyBorder="1" applyAlignment="1">
      <alignment horizontal="centerContinuous" vertical="center"/>
      <protection/>
    </xf>
    <xf numFmtId="0" fontId="62" fillId="35" borderId="21" xfId="65" applyFont="1" applyFill="1" applyBorder="1" applyAlignment="1">
      <alignment horizontal="center" vertical="center" wrapText="1"/>
      <protection/>
    </xf>
    <xf numFmtId="172" fontId="29" fillId="34" borderId="28" xfId="65" applyNumberFormat="1" applyFont="1" applyFill="1" applyBorder="1" applyAlignment="1" applyProtection="1">
      <alignment horizontal="center"/>
      <protection/>
    </xf>
    <xf numFmtId="0" fontId="73" fillId="43" borderId="23" xfId="65" applyFont="1" applyFill="1" applyBorder="1" applyAlignment="1" applyProtection="1">
      <alignment horizontal="center"/>
      <protection/>
    </xf>
    <xf numFmtId="176" fontId="51" fillId="36" borderId="24" xfId="65" applyNumberFormat="1" applyFont="1" applyFill="1" applyBorder="1" applyAlignment="1" applyProtection="1" quotePrefix="1">
      <alignment horizontal="center"/>
      <protection/>
    </xf>
    <xf numFmtId="176" fontId="51" fillId="36" borderId="26" xfId="65" applyNumberFormat="1" applyFont="1" applyFill="1" applyBorder="1" applyAlignment="1" applyProtection="1" quotePrefix="1">
      <alignment horizontal="center"/>
      <protection/>
    </xf>
    <xf numFmtId="176" fontId="64" fillId="35" borderId="23" xfId="65" applyNumberFormat="1" applyFont="1" applyFill="1" applyBorder="1" applyAlignment="1" applyProtection="1" quotePrefix="1">
      <alignment horizontal="center"/>
      <protection/>
    </xf>
    <xf numFmtId="0" fontId="13" fillId="0" borderId="27" xfId="59" applyFont="1" applyBorder="1" applyAlignment="1" applyProtection="1">
      <alignment horizontal="center"/>
      <protection locked="0"/>
    </xf>
    <xf numFmtId="0" fontId="13" fillId="0" borderId="33" xfId="76" applyFont="1" applyBorder="1" applyAlignment="1" applyProtection="1">
      <alignment horizontal="center"/>
      <protection locked="0"/>
    </xf>
    <xf numFmtId="172" fontId="13" fillId="0" borderId="47" xfId="65" applyNumberFormat="1" applyFont="1" applyBorder="1" applyAlignment="1" applyProtection="1">
      <alignment horizontal="center"/>
      <protection/>
    </xf>
    <xf numFmtId="22" fontId="13" fillId="0" borderId="30" xfId="76" applyNumberFormat="1" applyFont="1" applyBorder="1" applyAlignment="1" applyProtection="1">
      <alignment horizontal="center"/>
      <protection locked="0"/>
    </xf>
    <xf numFmtId="22" fontId="13" fillId="0" borderId="28" xfId="76" applyNumberFormat="1" applyFont="1" applyBorder="1" applyAlignment="1" applyProtection="1">
      <alignment horizontal="center"/>
      <protection locked="0"/>
    </xf>
    <xf numFmtId="2" fontId="73" fillId="43" borderId="28" xfId="65" applyNumberFormat="1" applyFont="1" applyFill="1" applyBorder="1" applyAlignment="1" applyProtection="1">
      <alignment horizontal="center"/>
      <protection/>
    </xf>
    <xf numFmtId="176" fontId="51" fillId="36" borderId="30" xfId="65" applyNumberFormat="1" applyFont="1" applyFill="1" applyBorder="1" applyAlignment="1" applyProtection="1" quotePrefix="1">
      <alignment horizontal="center"/>
      <protection/>
    </xf>
    <xf numFmtId="176" fontId="51" fillId="36" borderId="56" xfId="65" applyNumberFormat="1" applyFont="1" applyFill="1" applyBorder="1" applyAlignment="1" applyProtection="1" quotePrefix="1">
      <alignment horizontal="center"/>
      <protection/>
    </xf>
    <xf numFmtId="4" fontId="78" fillId="0" borderId="28" xfId="65" applyNumberFormat="1" applyFont="1" applyFill="1" applyBorder="1" applyAlignment="1">
      <alignment horizontal="right"/>
      <protection/>
    </xf>
    <xf numFmtId="172" fontId="13" fillId="0" borderId="73" xfId="65" applyNumberFormat="1" applyFont="1" applyBorder="1" applyAlignment="1" applyProtection="1">
      <alignment horizontal="center"/>
      <protection/>
    </xf>
    <xf numFmtId="172" fontId="13" fillId="0" borderId="0" xfId="65" applyNumberFormat="1" applyFont="1" applyFill="1" applyBorder="1" applyAlignment="1" applyProtection="1">
      <alignment horizontal="center"/>
      <protection/>
    </xf>
    <xf numFmtId="2" fontId="59" fillId="0" borderId="0" xfId="65" applyNumberFormat="1" applyFont="1" applyFill="1" applyBorder="1" applyAlignment="1">
      <alignment horizontal="center"/>
      <protection/>
    </xf>
    <xf numFmtId="176" fontId="49" fillId="0" borderId="0" xfId="65" applyNumberFormat="1" applyFont="1" applyFill="1" applyBorder="1" applyAlignment="1" applyProtection="1" quotePrefix="1">
      <alignment horizontal="center"/>
      <protection/>
    </xf>
    <xf numFmtId="176" fontId="13" fillId="0" borderId="0" xfId="65" applyNumberFormat="1" applyFont="1" applyFill="1" applyBorder="1" applyAlignment="1">
      <alignment horizontal="center"/>
      <protection/>
    </xf>
    <xf numFmtId="8" fontId="78" fillId="0" borderId="22" xfId="53" applyNumberFormat="1" applyFont="1" applyFill="1" applyBorder="1" applyAlignment="1">
      <alignment horizontal="right"/>
    </xf>
    <xf numFmtId="0" fontId="30" fillId="0" borderId="21" xfId="65" applyFont="1" applyBorder="1" applyAlignment="1" applyProtection="1">
      <alignment horizontal="center" vertical="center"/>
      <protection/>
    </xf>
    <xf numFmtId="176" fontId="29" fillId="48" borderId="0" xfId="65" applyNumberFormat="1" applyFont="1" applyFill="1" applyBorder="1" applyAlignment="1" applyProtection="1" quotePrefix="1">
      <alignment horizontal="center"/>
      <protection/>
    </xf>
    <xf numFmtId="0" fontId="30" fillId="0" borderId="21" xfId="65" applyFont="1" applyBorder="1" applyAlignment="1" applyProtection="1">
      <alignment horizontal="center" vertical="center" wrapText="1"/>
      <protection/>
    </xf>
    <xf numFmtId="0" fontId="60" fillId="37" borderId="17" xfId="65" applyFont="1" applyFill="1" applyBorder="1" applyAlignment="1" applyProtection="1">
      <alignment horizontal="center" vertical="center"/>
      <protection/>
    </xf>
    <xf numFmtId="0" fontId="61" fillId="39" borderId="21" xfId="65" applyFont="1" applyFill="1" applyBorder="1" applyAlignment="1">
      <alignment horizontal="center" vertical="center" wrapText="1"/>
      <protection/>
    </xf>
    <xf numFmtId="0" fontId="34" fillId="45" borderId="16" xfId="65" applyFont="1" applyFill="1" applyBorder="1" applyAlignment="1" applyProtection="1">
      <alignment horizontal="centerContinuous" vertical="center" wrapText="1"/>
      <protection/>
    </xf>
    <xf numFmtId="0" fontId="34" fillId="45" borderId="17" xfId="65" applyFont="1" applyFill="1" applyBorder="1" applyAlignment="1">
      <alignment horizontal="centerContinuous" vertical="center"/>
      <protection/>
    </xf>
    <xf numFmtId="0" fontId="69" fillId="43" borderId="16" xfId="65" applyFont="1" applyFill="1" applyBorder="1" applyAlignment="1" applyProtection="1">
      <alignment horizontal="centerContinuous" vertical="center" wrapText="1"/>
      <protection/>
    </xf>
    <xf numFmtId="0" fontId="69" fillId="43" borderId="17" xfId="65" applyFont="1" applyFill="1" applyBorder="1" applyAlignment="1">
      <alignment horizontal="centerContinuous" vertical="center"/>
      <protection/>
    </xf>
    <xf numFmtId="0" fontId="37" fillId="36" borderId="21" xfId="65" applyFont="1" applyFill="1" applyBorder="1" applyAlignment="1">
      <alignment horizontal="center" vertical="center" wrapText="1"/>
      <protection/>
    </xf>
    <xf numFmtId="0" fontId="68" fillId="36" borderId="21" xfId="65" applyFont="1" applyFill="1" applyBorder="1" applyAlignment="1">
      <alignment horizontal="center" vertical="center" wrapText="1"/>
      <protection/>
    </xf>
    <xf numFmtId="0" fontId="61" fillId="0" borderId="21" xfId="65" applyFont="1" applyFill="1" applyBorder="1" applyAlignment="1">
      <alignment horizontal="center" vertical="center" wrapText="1"/>
      <protection/>
    </xf>
    <xf numFmtId="4" fontId="21" fillId="0" borderId="15" xfId="65" applyNumberFormat="1" applyFont="1" applyFill="1" applyBorder="1" applyAlignment="1">
      <alignment horizontal="center"/>
      <protection/>
    </xf>
    <xf numFmtId="0" fontId="13" fillId="0" borderId="43" xfId="65" applyFont="1" applyFill="1" applyBorder="1" applyAlignment="1">
      <alignment horizontal="center"/>
      <protection/>
    </xf>
    <xf numFmtId="0" fontId="13" fillId="0" borderId="57" xfId="65" applyFont="1" applyBorder="1" applyAlignment="1">
      <alignment horizontal="center"/>
      <protection/>
    </xf>
    <xf numFmtId="0" fontId="63" fillId="37" borderId="35" xfId="65" applyFont="1" applyFill="1" applyBorder="1" applyAlignment="1">
      <alignment horizontal="center"/>
      <protection/>
    </xf>
    <xf numFmtId="0" fontId="13" fillId="0" borderId="58" xfId="65" applyFont="1" applyBorder="1" applyAlignment="1">
      <alignment horizontal="center"/>
      <protection/>
    </xf>
    <xf numFmtId="0" fontId="13" fillId="0" borderId="35" xfId="65" applyFont="1" applyBorder="1" applyAlignment="1">
      <alignment horizontal="center"/>
      <protection/>
    </xf>
    <xf numFmtId="0" fontId="13" fillId="0" borderId="28" xfId="65" applyFont="1" applyBorder="1">
      <alignment/>
      <protection/>
    </xf>
    <xf numFmtId="0" fontId="63" fillId="37" borderId="0" xfId="65" applyFont="1" applyFill="1" applyBorder="1" applyAlignment="1">
      <alignment horizontal="center"/>
      <protection/>
    </xf>
    <xf numFmtId="0" fontId="81" fillId="39" borderId="43" xfId="65" applyFont="1" applyFill="1" applyBorder="1" applyAlignment="1">
      <alignment horizontal="center"/>
      <protection/>
    </xf>
    <xf numFmtId="0" fontId="50" fillId="45" borderId="45" xfId="65" applyFont="1" applyFill="1" applyBorder="1" applyAlignment="1">
      <alignment horizontal="center"/>
      <protection/>
    </xf>
    <xf numFmtId="0" fontId="50" fillId="45" borderId="46" xfId="65" applyFont="1" applyFill="1" applyBorder="1" applyAlignment="1">
      <alignment horizontal="center"/>
      <protection/>
    </xf>
    <xf numFmtId="0" fontId="73" fillId="43" borderId="45" xfId="65" applyFont="1" applyFill="1" applyBorder="1" applyAlignment="1">
      <alignment horizontal="center"/>
      <protection/>
    </xf>
    <xf numFmtId="0" fontId="73" fillId="43" borderId="46" xfId="65" applyFont="1" applyFill="1" applyBorder="1" applyAlignment="1">
      <alignment horizontal="center"/>
      <protection/>
    </xf>
    <xf numFmtId="0" fontId="53" fillId="36" borderId="43" xfId="65" applyFont="1" applyFill="1" applyBorder="1" applyAlignment="1">
      <alignment horizontal="center"/>
      <protection/>
    </xf>
    <xf numFmtId="0" fontId="13" fillId="0" borderId="43" xfId="65" applyFont="1" applyBorder="1" applyAlignment="1">
      <alignment horizontal="center"/>
      <protection/>
    </xf>
    <xf numFmtId="7" fontId="78" fillId="0" borderId="43" xfId="65" applyNumberFormat="1" applyFont="1" applyFill="1" applyBorder="1" applyAlignment="1">
      <alignment horizontal="center"/>
      <protection/>
    </xf>
    <xf numFmtId="0" fontId="75" fillId="0" borderId="32" xfId="65" applyFont="1" applyBorder="1" applyAlignment="1" applyProtection="1">
      <alignment horizontal="center"/>
      <protection/>
    </xf>
    <xf numFmtId="0" fontId="75" fillId="0" borderId="59" xfId="65" applyFont="1" applyBorder="1" applyAlignment="1" applyProtection="1">
      <alignment horizontal="center"/>
      <protection/>
    </xf>
    <xf numFmtId="182" fontId="63" fillId="37" borderId="28" xfId="65" applyNumberFormat="1" applyFont="1" applyFill="1" applyBorder="1" applyAlignment="1" applyProtection="1">
      <alignment horizontal="center"/>
      <protection/>
    </xf>
    <xf numFmtId="22" fontId="13" fillId="0" borderId="48" xfId="65" applyNumberFormat="1" applyFont="1" applyBorder="1" applyAlignment="1">
      <alignment horizontal="center"/>
      <protection/>
    </xf>
    <xf numFmtId="22" fontId="13" fillId="0" borderId="59" xfId="65" applyNumberFormat="1" applyFont="1" applyBorder="1" applyAlignment="1" applyProtection="1">
      <alignment horizontal="center"/>
      <protection/>
    </xf>
    <xf numFmtId="2" fontId="13" fillId="0" borderId="27" xfId="65" applyNumberFormat="1" applyFont="1" applyFill="1" applyBorder="1" applyAlignment="1" applyProtection="1" quotePrefix="1">
      <alignment horizontal="center"/>
      <protection/>
    </xf>
    <xf numFmtId="172" fontId="13" fillId="0" borderId="27" xfId="65" applyNumberFormat="1" applyFont="1" applyFill="1" applyBorder="1" applyAlignment="1" applyProtection="1" quotePrefix="1">
      <alignment horizontal="center"/>
      <protection/>
    </xf>
    <xf numFmtId="181" fontId="13" fillId="0" borderId="29" xfId="65" applyNumberFormat="1" applyFont="1" applyBorder="1" applyAlignment="1" applyProtection="1" quotePrefix="1">
      <alignment horizontal="center"/>
      <protection/>
    </xf>
    <xf numFmtId="172" fontId="63" fillId="37" borderId="59" xfId="65" applyNumberFormat="1" applyFont="1" applyFill="1" applyBorder="1" applyAlignment="1" applyProtection="1">
      <alignment horizontal="center"/>
      <protection/>
    </xf>
    <xf numFmtId="2" fontId="81" fillId="39" borderId="28" xfId="65" applyNumberFormat="1" applyFont="1" applyFill="1" applyBorder="1" applyAlignment="1" applyProtection="1">
      <alignment horizontal="center"/>
      <protection/>
    </xf>
    <xf numFmtId="176" fontId="50" fillId="45" borderId="48" xfId="65" applyNumberFormat="1" applyFont="1" applyFill="1" applyBorder="1" applyAlignment="1" applyProtection="1" quotePrefix="1">
      <alignment horizontal="center"/>
      <protection/>
    </xf>
    <xf numFmtId="176" fontId="50" fillId="45" borderId="49" xfId="65" applyNumberFormat="1" applyFont="1" applyFill="1" applyBorder="1" applyAlignment="1" applyProtection="1" quotePrefix="1">
      <alignment horizontal="center"/>
      <protection/>
    </xf>
    <xf numFmtId="176" fontId="73" fillId="43" borderId="48" xfId="65" applyNumberFormat="1" applyFont="1" applyFill="1" applyBorder="1" applyAlignment="1" applyProtection="1" quotePrefix="1">
      <alignment horizontal="center"/>
      <protection/>
    </xf>
    <xf numFmtId="176" fontId="73" fillId="43" borderId="49" xfId="65" applyNumberFormat="1" applyFont="1" applyFill="1" applyBorder="1" applyAlignment="1" applyProtection="1" quotePrefix="1">
      <alignment horizontal="center"/>
      <protection/>
    </xf>
    <xf numFmtId="176" fontId="53" fillId="36" borderId="27" xfId="65" applyNumberFormat="1" applyFont="1" applyFill="1" applyBorder="1" applyAlignment="1" applyProtection="1" quotePrefix="1">
      <alignment horizontal="center"/>
      <protection/>
    </xf>
    <xf numFmtId="2" fontId="72" fillId="36" borderId="27" xfId="65" applyNumberFormat="1" applyFont="1" applyFill="1" applyBorder="1" applyAlignment="1" applyProtection="1">
      <alignment horizontal="center"/>
      <protection/>
    </xf>
    <xf numFmtId="176" fontId="13" fillId="0" borderId="27" xfId="65" applyNumberFormat="1" applyFont="1" applyBorder="1" applyAlignment="1" applyProtection="1">
      <alignment horizontal="center"/>
      <protection/>
    </xf>
    <xf numFmtId="4" fontId="78" fillId="0" borderId="27" xfId="65" applyNumberFormat="1" applyFont="1" applyFill="1" applyBorder="1" applyAlignment="1">
      <alignment horizontal="right"/>
      <protection/>
    </xf>
    <xf numFmtId="2" fontId="13" fillId="0" borderId="28" xfId="65" applyNumberFormat="1" applyFont="1" applyFill="1" applyBorder="1" applyAlignment="1" applyProtection="1" quotePrefix="1">
      <alignment horizontal="center"/>
      <protection/>
    </xf>
    <xf numFmtId="172" fontId="13" fillId="0" borderId="28" xfId="65" applyNumberFormat="1" applyFont="1" applyFill="1" applyBorder="1" applyAlignment="1" applyProtection="1" quotePrefix="1">
      <alignment horizontal="center"/>
      <protection/>
    </xf>
    <xf numFmtId="176" fontId="13" fillId="0" borderId="29" xfId="65" applyNumberFormat="1" applyFont="1" applyBorder="1" applyAlignment="1" applyProtection="1">
      <alignment horizontal="center"/>
      <protection locked="0"/>
    </xf>
    <xf numFmtId="2" fontId="72" fillId="36" borderId="28" xfId="65" applyNumberFormat="1" applyFont="1" applyFill="1" applyBorder="1" applyAlignment="1" applyProtection="1">
      <alignment horizontal="center"/>
      <protection/>
    </xf>
    <xf numFmtId="176" fontId="13" fillId="0" borderId="28" xfId="65" applyNumberFormat="1" applyFont="1" applyBorder="1" applyAlignment="1" applyProtection="1">
      <alignment horizontal="center"/>
      <protection/>
    </xf>
    <xf numFmtId="0" fontId="75" fillId="0" borderId="60" xfId="65" applyFont="1" applyBorder="1" applyAlignment="1" applyProtection="1">
      <alignment horizontal="center"/>
      <protection locked="0"/>
    </xf>
    <xf numFmtId="0" fontId="75" fillId="0" borderId="33" xfId="65" applyFont="1" applyBorder="1" applyAlignment="1" applyProtection="1">
      <alignment horizontal="center"/>
      <protection locked="0"/>
    </xf>
    <xf numFmtId="22" fontId="13" fillId="0" borderId="30" xfId="65" applyNumberFormat="1" applyFont="1" applyBorder="1" applyAlignment="1" applyProtection="1">
      <alignment horizontal="center"/>
      <protection locked="0"/>
    </xf>
    <xf numFmtId="22" fontId="13" fillId="0" borderId="33" xfId="65" applyNumberFormat="1" applyFont="1" applyBorder="1" applyAlignment="1" applyProtection="1">
      <alignment horizontal="center"/>
      <protection locked="0"/>
    </xf>
    <xf numFmtId="0" fontId="13" fillId="0" borderId="34" xfId="65" applyFont="1" applyFill="1" applyBorder="1" applyAlignment="1">
      <alignment horizontal="center"/>
      <protection/>
    </xf>
    <xf numFmtId="0" fontId="75" fillId="0" borderId="62" xfId="65" applyFont="1" applyBorder="1" applyAlignment="1" applyProtection="1">
      <alignment horizontal="center"/>
      <protection locked="0"/>
    </xf>
    <xf numFmtId="0" fontId="75" fillId="0" borderId="72" xfId="65" applyFont="1" applyBorder="1" applyAlignment="1" applyProtection="1">
      <alignment horizontal="center"/>
      <protection locked="0"/>
    </xf>
    <xf numFmtId="182" fontId="63" fillId="37" borderId="34" xfId="65" applyNumberFormat="1" applyFont="1" applyFill="1" applyBorder="1" applyAlignment="1" applyProtection="1">
      <alignment horizontal="center"/>
      <protection/>
    </xf>
    <xf numFmtId="176" fontId="29" fillId="48" borderId="36" xfId="65" applyNumberFormat="1" applyFont="1" applyFill="1" applyBorder="1" applyAlignment="1" applyProtection="1" quotePrefix="1">
      <alignment horizontal="center"/>
      <protection/>
    </xf>
    <xf numFmtId="22" fontId="13" fillId="0" borderId="37" xfId="65" applyNumberFormat="1" applyFont="1" applyBorder="1" applyAlignment="1" applyProtection="1">
      <alignment horizontal="center"/>
      <protection locked="0"/>
    </xf>
    <xf numFmtId="22" fontId="13" fillId="0" borderId="72" xfId="65" applyNumberFormat="1" applyFont="1" applyBorder="1" applyAlignment="1" applyProtection="1">
      <alignment horizontal="center"/>
      <protection locked="0"/>
    </xf>
    <xf numFmtId="2" fontId="13" fillId="0" borderId="36" xfId="65" applyNumberFormat="1" applyFont="1" applyFill="1" applyBorder="1" applyAlignment="1" applyProtection="1" quotePrefix="1">
      <alignment horizontal="center"/>
      <protection/>
    </xf>
    <xf numFmtId="172" fontId="13" fillId="0" borderId="36" xfId="65" applyNumberFormat="1" applyFont="1" applyFill="1" applyBorder="1" applyAlignment="1" applyProtection="1" quotePrefix="1">
      <alignment horizontal="center"/>
      <protection/>
    </xf>
    <xf numFmtId="176" fontId="13" fillId="0" borderId="50" xfId="65" applyNumberFormat="1" applyFont="1" applyBorder="1" applyAlignment="1" applyProtection="1">
      <alignment horizontal="center"/>
      <protection locked="0"/>
    </xf>
    <xf numFmtId="181" fontId="13" fillId="0" borderId="50" xfId="65" applyNumberFormat="1" applyFont="1" applyBorder="1" applyAlignment="1" applyProtection="1" quotePrefix="1">
      <alignment horizontal="center"/>
      <protection/>
    </xf>
    <xf numFmtId="172" fontId="63" fillId="37" borderId="62" xfId="65" applyNumberFormat="1" applyFont="1" applyFill="1" applyBorder="1" applyAlignment="1" applyProtection="1">
      <alignment horizontal="center"/>
      <protection/>
    </xf>
    <xf numFmtId="2" fontId="81" fillId="39" borderId="36" xfId="65" applyNumberFormat="1" applyFont="1" applyFill="1" applyBorder="1" applyAlignment="1" applyProtection="1">
      <alignment horizontal="center"/>
      <protection/>
    </xf>
    <xf numFmtId="176" fontId="50" fillId="45" borderId="51" xfId="65" applyNumberFormat="1" applyFont="1" applyFill="1" applyBorder="1" applyAlignment="1" applyProtection="1" quotePrefix="1">
      <alignment horizontal="center"/>
      <protection/>
    </xf>
    <xf numFmtId="176" fontId="50" fillId="45" borderId="52" xfId="65" applyNumberFormat="1" applyFont="1" applyFill="1" applyBorder="1" applyAlignment="1" applyProtection="1" quotePrefix="1">
      <alignment horizontal="center"/>
      <protection/>
    </xf>
    <xf numFmtId="176" fontId="73" fillId="43" borderId="51" xfId="65" applyNumberFormat="1" applyFont="1" applyFill="1" applyBorder="1" applyAlignment="1" applyProtection="1" quotePrefix="1">
      <alignment horizontal="center"/>
      <protection/>
    </xf>
    <xf numFmtId="176" fontId="73" fillId="43" borderId="52" xfId="65" applyNumberFormat="1" applyFont="1" applyFill="1" applyBorder="1" applyAlignment="1" applyProtection="1" quotePrefix="1">
      <alignment horizontal="center"/>
      <protection/>
    </xf>
    <xf numFmtId="176" fontId="53" fillId="36" borderId="34" xfId="65" applyNumberFormat="1" applyFont="1" applyFill="1" applyBorder="1" applyAlignment="1" applyProtection="1" quotePrefix="1">
      <alignment horizontal="center"/>
      <protection/>
    </xf>
    <xf numFmtId="2" fontId="72" fillId="36" borderId="36" xfId="65" applyNumberFormat="1" applyFont="1" applyFill="1" applyBorder="1" applyAlignment="1" applyProtection="1">
      <alignment horizontal="center"/>
      <protection/>
    </xf>
    <xf numFmtId="4" fontId="78" fillId="0" borderId="36" xfId="65" applyNumberFormat="1" applyFont="1" applyFill="1" applyBorder="1" applyAlignment="1">
      <alignment horizontal="right"/>
      <protection/>
    </xf>
    <xf numFmtId="8" fontId="78" fillId="0" borderId="0" xfId="53" applyNumberFormat="1" applyFont="1" applyFill="1" applyBorder="1" applyAlignment="1">
      <alignment horizontal="right"/>
    </xf>
    <xf numFmtId="176" fontId="13" fillId="0" borderId="0" xfId="65" applyNumberFormat="1" applyFont="1" applyBorder="1" applyAlignment="1" applyProtection="1" quotePrefix="1">
      <alignment horizontal="centerContinuous"/>
      <protection/>
    </xf>
    <xf numFmtId="176" fontId="13" fillId="0" borderId="0" xfId="65" applyNumberFormat="1" applyFont="1" applyBorder="1" applyAlignment="1" applyProtection="1">
      <alignment horizontal="centerContinuous"/>
      <protection/>
    </xf>
    <xf numFmtId="4" fontId="78" fillId="0" borderId="0" xfId="65" applyNumberFormat="1" applyFont="1" applyFill="1" applyBorder="1" applyAlignment="1">
      <alignment horizontal="right"/>
      <protection/>
    </xf>
    <xf numFmtId="2" fontId="90" fillId="0" borderId="0" xfId="65" applyNumberFormat="1" applyFont="1" applyBorder="1" applyAlignment="1" applyProtection="1">
      <alignment horizontal="left"/>
      <protection/>
    </xf>
    <xf numFmtId="176" fontId="90" fillId="0" borderId="0" xfId="65" applyNumberFormat="1" applyFont="1" applyBorder="1" applyAlignment="1" applyProtection="1">
      <alignment horizontal="center"/>
      <protection/>
    </xf>
    <xf numFmtId="0" fontId="90" fillId="0" borderId="0" xfId="65" applyFont="1" applyBorder="1" applyAlignment="1" applyProtection="1">
      <alignment horizontal="center"/>
      <protection/>
    </xf>
    <xf numFmtId="173" fontId="90" fillId="0" borderId="0" xfId="65" applyNumberFormat="1" applyFont="1" applyBorder="1" applyAlignment="1" applyProtection="1">
      <alignment horizontal="center"/>
      <protection/>
    </xf>
    <xf numFmtId="0" fontId="111" fillId="0" borderId="0" xfId="65" applyFont="1">
      <alignment/>
      <protection/>
    </xf>
    <xf numFmtId="181" fontId="90" fillId="0" borderId="0" xfId="65" applyNumberFormat="1" applyFont="1" applyBorder="1" applyAlignment="1" applyProtection="1" quotePrefix="1">
      <alignment horizontal="center"/>
      <protection/>
    </xf>
    <xf numFmtId="0" fontId="90" fillId="0" borderId="0" xfId="65" applyFont="1">
      <alignment/>
      <protection/>
    </xf>
    <xf numFmtId="2" fontId="90" fillId="0" borderId="0" xfId="65" applyNumberFormat="1" applyFont="1" applyBorder="1" applyAlignment="1" applyProtection="1">
      <alignment horizontal="center"/>
      <protection/>
    </xf>
    <xf numFmtId="176" fontId="90" fillId="0" borderId="0" xfId="65" applyNumberFormat="1" applyFont="1" applyBorder="1" applyAlignment="1" applyProtection="1" quotePrefix="1">
      <alignment horizontal="center"/>
      <protection/>
    </xf>
    <xf numFmtId="0" fontId="4" fillId="0" borderId="0" xfId="65" applyFont="1" applyBorder="1" applyAlignment="1">
      <alignment horizontal="center"/>
      <protection/>
    </xf>
    <xf numFmtId="2" fontId="91" fillId="0" borderId="0" xfId="65" applyNumberFormat="1" applyFont="1" applyBorder="1" applyAlignment="1" applyProtection="1">
      <alignment horizontal="left"/>
      <protection/>
    </xf>
    <xf numFmtId="0" fontId="21" fillId="0" borderId="0" xfId="65" applyFont="1" applyAlignment="1">
      <alignment horizontal="center"/>
      <protection/>
    </xf>
    <xf numFmtId="181" fontId="4" fillId="0" borderId="0" xfId="65" applyNumberFormat="1" applyFont="1" applyBorder="1" applyAlignment="1" applyProtection="1">
      <alignment horizontal="left"/>
      <protection/>
    </xf>
    <xf numFmtId="2" fontId="92" fillId="0" borderId="0" xfId="65" applyNumberFormat="1" applyFont="1" applyBorder="1" applyAlignment="1" applyProtection="1">
      <alignment horizontal="center"/>
      <protection/>
    </xf>
    <xf numFmtId="176" fontId="4" fillId="0" borderId="0" xfId="65" applyNumberFormat="1" applyFont="1" applyBorder="1" applyAlignment="1" applyProtection="1">
      <alignment horizontal="left"/>
      <protection/>
    </xf>
    <xf numFmtId="176" fontId="89" fillId="0" borderId="0" xfId="65" applyNumberFormat="1" applyFont="1" applyBorder="1" applyAlignment="1" applyProtection="1" quotePrefix="1">
      <alignment horizontal="center"/>
      <protection/>
    </xf>
    <xf numFmtId="4" fontId="89" fillId="0" borderId="0" xfId="65" applyNumberFormat="1" applyFont="1" applyBorder="1" applyAlignment="1" applyProtection="1">
      <alignment horizontal="center"/>
      <protection/>
    </xf>
    <xf numFmtId="7" fontId="21" fillId="0" borderId="0" xfId="65" applyNumberFormat="1" applyFont="1" applyBorder="1" applyAlignment="1">
      <alignment horizontal="centerContinuous"/>
      <protection/>
    </xf>
    <xf numFmtId="1" fontId="21" fillId="0" borderId="0" xfId="65" applyNumberFormat="1" applyFont="1" applyBorder="1" applyAlignment="1" applyProtection="1">
      <alignment horizontal="center"/>
      <protection/>
    </xf>
    <xf numFmtId="191" fontId="21" fillId="0" borderId="0" xfId="65" applyNumberFormat="1" applyFont="1" applyBorder="1" applyAlignment="1" applyProtection="1">
      <alignment horizontal="centerContinuous"/>
      <protection/>
    </xf>
    <xf numFmtId="191" fontId="90" fillId="0" borderId="0" xfId="65" applyNumberFormat="1" applyFont="1" applyBorder="1" applyAlignment="1" applyProtection="1">
      <alignment horizontal="centerContinuous"/>
      <protection/>
    </xf>
    <xf numFmtId="176" fontId="90" fillId="0" borderId="0" xfId="73" applyNumberFormat="1" applyFont="1" applyBorder="1" applyAlignment="1" applyProtection="1" quotePrefix="1">
      <alignment horizontal="left"/>
      <protection/>
    </xf>
    <xf numFmtId="4" fontId="90" fillId="0" borderId="0" xfId="65" applyNumberFormat="1" applyFont="1" applyBorder="1" applyAlignment="1" applyProtection="1">
      <alignment horizontal="center"/>
      <protection/>
    </xf>
    <xf numFmtId="7" fontId="90" fillId="0" borderId="0" xfId="65" applyNumberFormat="1" applyFont="1" applyFill="1" applyBorder="1" applyAlignment="1">
      <alignment horizontal="center"/>
      <protection/>
    </xf>
    <xf numFmtId="176" fontId="90" fillId="0" borderId="0" xfId="65" applyNumberFormat="1" applyFont="1" applyBorder="1" applyAlignment="1" applyProtection="1" quotePrefix="1">
      <alignment horizontal="left"/>
      <protection/>
    </xf>
    <xf numFmtId="1" fontId="21" fillId="0" borderId="0" xfId="65" applyNumberFormat="1" applyFont="1" applyBorder="1" applyAlignment="1" applyProtection="1">
      <alignment horizontal="left"/>
      <protection/>
    </xf>
    <xf numFmtId="1" fontId="21" fillId="0" borderId="0" xfId="65" applyNumberFormat="1" applyFont="1" applyBorder="1" applyAlignment="1" applyProtection="1">
      <alignment horizontal="centerContinuous"/>
      <protection/>
    </xf>
    <xf numFmtId="176" fontId="22" fillId="0" borderId="0" xfId="65" applyNumberFormat="1" applyFont="1" applyBorder="1" applyAlignment="1" applyProtection="1">
      <alignment horizontal="left"/>
      <protection/>
    </xf>
    <xf numFmtId="10" fontId="21" fillId="0" borderId="0" xfId="65" applyNumberFormat="1" applyFont="1" applyBorder="1" applyAlignment="1" applyProtection="1">
      <alignment horizontal="center"/>
      <protection/>
    </xf>
    <xf numFmtId="7" fontId="21" fillId="0" borderId="0" xfId="65" applyNumberFormat="1" applyFont="1" applyAlignment="1">
      <alignment horizontal="right"/>
      <protection/>
    </xf>
    <xf numFmtId="0" fontId="21" fillId="0" borderId="0" xfId="65" applyFont="1" quotePrefix="1">
      <alignment/>
      <protection/>
    </xf>
    <xf numFmtId="176" fontId="21" fillId="0" borderId="0" xfId="65" applyNumberFormat="1" applyFont="1" applyBorder="1" applyAlignment="1" applyProtection="1" quotePrefix="1">
      <alignment horizontal="center"/>
      <protection/>
    </xf>
    <xf numFmtId="7" fontId="21" fillId="0" borderId="0" xfId="65" applyNumberFormat="1" applyFont="1" applyBorder="1" applyAlignment="1" applyProtection="1">
      <alignment horizontal="left"/>
      <protection/>
    </xf>
    <xf numFmtId="0" fontId="111" fillId="0" borderId="0" xfId="65" applyFont="1" quotePrefix="1">
      <alignment/>
      <protection/>
    </xf>
    <xf numFmtId="0" fontId="112" fillId="0" borderId="0" xfId="65" applyFont="1" applyAlignment="1">
      <alignment vertical="center"/>
      <protection/>
    </xf>
    <xf numFmtId="0" fontId="23" fillId="0" borderId="14" xfId="65" applyFont="1" applyBorder="1" applyAlignment="1">
      <alignment vertical="center"/>
      <protection/>
    </xf>
    <xf numFmtId="0" fontId="23" fillId="0" borderId="0" xfId="65" applyFont="1" applyBorder="1" applyAlignment="1">
      <alignment horizontal="center" vertical="center"/>
      <protection/>
    </xf>
    <xf numFmtId="176" fontId="23" fillId="0" borderId="0" xfId="65" applyNumberFormat="1" applyFont="1" applyBorder="1" applyAlignment="1" applyProtection="1">
      <alignment horizontal="left" vertical="center"/>
      <protection/>
    </xf>
    <xf numFmtId="0" fontId="112" fillId="0" borderId="0" xfId="65" applyFont="1" applyAlignment="1" quotePrefix="1">
      <alignment vertical="center"/>
      <protection/>
    </xf>
    <xf numFmtId="0" fontId="23" fillId="0" borderId="0" xfId="65" applyFont="1" applyBorder="1" applyAlignment="1" applyProtection="1">
      <alignment horizontal="center" vertical="center"/>
      <protection/>
    </xf>
    <xf numFmtId="173" fontId="23" fillId="0" borderId="0" xfId="65" applyNumberFormat="1" applyFont="1" applyBorder="1" applyAlignment="1" applyProtection="1">
      <alignment horizontal="center" vertical="center"/>
      <protection/>
    </xf>
    <xf numFmtId="4" fontId="10" fillId="0" borderId="16" xfId="65" applyNumberFormat="1" applyFont="1" applyBorder="1" applyAlignment="1" applyProtection="1">
      <alignment horizontal="center" vertical="center"/>
      <protection/>
    </xf>
    <xf numFmtId="7" fontId="113" fillId="0" borderId="17" xfId="65" applyNumberFormat="1" applyFont="1" applyFill="1" applyBorder="1" applyAlignment="1">
      <alignment horizontal="center" vertical="center"/>
      <protection/>
    </xf>
    <xf numFmtId="176" fontId="23" fillId="0" borderId="0" xfId="65" applyNumberFormat="1" applyFont="1" applyBorder="1" applyAlignment="1" applyProtection="1">
      <alignment horizontal="center" vertical="center"/>
      <protection/>
    </xf>
    <xf numFmtId="181" fontId="23" fillId="0" borderId="0" xfId="65" applyNumberFormat="1" applyFont="1" applyBorder="1" applyAlignment="1" applyProtection="1" quotePrefix="1">
      <alignment horizontal="center" vertical="center"/>
      <protection/>
    </xf>
    <xf numFmtId="2" fontId="93" fillId="0" borderId="0" xfId="65" applyNumberFormat="1" applyFont="1" applyBorder="1" applyAlignment="1" applyProtection="1">
      <alignment horizontal="center" vertical="center"/>
      <protection/>
    </xf>
    <xf numFmtId="176" fontId="94" fillId="0" borderId="0" xfId="65" applyNumberFormat="1" applyFont="1" applyBorder="1" applyAlignment="1" applyProtection="1" quotePrefix="1">
      <alignment horizontal="center" vertical="center"/>
      <protection/>
    </xf>
    <xf numFmtId="4" fontId="23" fillId="0" borderId="15" xfId="65" applyNumberFormat="1" applyFont="1" applyFill="1" applyBorder="1" applyAlignment="1">
      <alignment horizontal="center" vertical="center"/>
      <protection/>
    </xf>
    <xf numFmtId="0" fontId="21" fillId="0" borderId="18" xfId="65" applyFont="1" applyBorder="1">
      <alignment/>
      <protection/>
    </xf>
    <xf numFmtId="0" fontId="21" fillId="0" borderId="19" xfId="65" applyFont="1" applyBorder="1">
      <alignment/>
      <protection/>
    </xf>
    <xf numFmtId="0" fontId="3" fillId="0" borderId="19" xfId="65" applyBorder="1">
      <alignment/>
      <protection/>
    </xf>
    <xf numFmtId="0" fontId="21" fillId="0" borderId="20" xfId="65" applyFont="1" applyFill="1" applyBorder="1">
      <alignment/>
      <protection/>
    </xf>
    <xf numFmtId="0" fontId="13" fillId="0" borderId="0" xfId="65" applyFont="1" applyBorder="1" applyAlignment="1">
      <alignment horizontal="left"/>
      <protection/>
    </xf>
    <xf numFmtId="0" fontId="27" fillId="0" borderId="0" xfId="75" applyNumberFormat="1" applyFont="1" applyBorder="1" applyAlignment="1">
      <alignment horizontal="left"/>
      <protection/>
    </xf>
    <xf numFmtId="0" fontId="13" fillId="0" borderId="0" xfId="73" applyFont="1" applyBorder="1" applyAlignment="1">
      <alignment horizontal="center"/>
      <protection/>
    </xf>
    <xf numFmtId="176" fontId="13" fillId="0" borderId="29" xfId="73" applyNumberFormat="1" applyFont="1" applyBorder="1" applyAlignment="1" applyProtection="1">
      <alignment horizontal="center"/>
      <protection locked="0"/>
    </xf>
    <xf numFmtId="22" fontId="13" fillId="0" borderId="33" xfId="73" applyNumberFormat="1" applyFont="1" applyBorder="1" applyAlignment="1" applyProtection="1">
      <alignment horizontal="center"/>
      <protection locked="0"/>
    </xf>
    <xf numFmtId="176" fontId="13" fillId="0" borderId="36" xfId="73" applyNumberFormat="1" applyFont="1" applyBorder="1" applyAlignment="1" applyProtection="1">
      <alignment horizontal="center"/>
      <protection/>
    </xf>
    <xf numFmtId="173" fontId="13" fillId="0" borderId="0" xfId="73" applyNumberFormat="1" applyFont="1" applyBorder="1" applyAlignment="1" applyProtection="1">
      <alignment horizontal="center"/>
      <protection/>
    </xf>
    <xf numFmtId="0" fontId="3" fillId="0" borderId="0" xfId="68">
      <alignment/>
      <protection/>
    </xf>
    <xf numFmtId="0" fontId="8" fillId="0" borderId="0" xfId="68" applyFont="1">
      <alignment/>
      <protection/>
    </xf>
    <xf numFmtId="0" fontId="11" fillId="0" borderId="0" xfId="68" applyFont="1" applyAlignment="1">
      <alignment horizontal="right" vertical="top"/>
      <protection/>
    </xf>
    <xf numFmtId="0" fontId="8" fillId="0" borderId="0" xfId="68" applyFont="1" applyFill="1">
      <alignment/>
      <protection/>
    </xf>
    <xf numFmtId="0" fontId="9" fillId="0" borderId="0" xfId="68" applyFont="1" applyAlignment="1">
      <alignment horizontal="centerContinuous"/>
      <protection/>
    </xf>
    <xf numFmtId="0" fontId="13" fillId="0" borderId="0" xfId="68" applyFont="1" applyFill="1">
      <alignment/>
      <protection/>
    </xf>
    <xf numFmtId="0" fontId="13" fillId="0" borderId="0" xfId="68" applyFont="1">
      <alignment/>
      <protection/>
    </xf>
    <xf numFmtId="0" fontId="6" fillId="0" borderId="0" xfId="68" applyFont="1" applyFill="1" applyBorder="1" applyAlignment="1" applyProtection="1">
      <alignment horizontal="left"/>
      <protection/>
    </xf>
    <xf numFmtId="0" fontId="6" fillId="0" borderId="0" xfId="68" applyFont="1" applyFill="1" applyBorder="1" applyAlignment="1" applyProtection="1">
      <alignment horizontal="centerContinuous"/>
      <protection/>
    </xf>
    <xf numFmtId="0" fontId="14" fillId="0" borderId="0" xfId="68" applyFont="1">
      <alignment/>
      <protection/>
    </xf>
    <xf numFmtId="0" fontId="13" fillId="0" borderId="11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2" xfId="68" applyFont="1" applyBorder="1" applyAlignment="1" applyProtection="1">
      <alignment horizontal="left"/>
      <protection/>
    </xf>
    <xf numFmtId="0" fontId="13" fillId="0" borderId="13" xfId="68" applyFont="1" applyFill="1" applyBorder="1">
      <alignment/>
      <protection/>
    </xf>
    <xf numFmtId="0" fontId="16" fillId="0" borderId="0" xfId="68" applyFont="1">
      <alignment/>
      <protection/>
    </xf>
    <xf numFmtId="0" fontId="16" fillId="0" borderId="14" xfId="68" applyFont="1" applyBorder="1">
      <alignment/>
      <protection/>
    </xf>
    <xf numFmtId="0" fontId="16" fillId="0" borderId="0" xfId="68" applyFont="1" applyBorder="1">
      <alignment/>
      <protection/>
    </xf>
    <xf numFmtId="0" fontId="20" fillId="0" borderId="0" xfId="68" applyFont="1" applyBorder="1" applyAlignment="1">
      <alignment horizontal="left"/>
      <protection/>
    </xf>
    <xf numFmtId="0" fontId="20" fillId="0" borderId="0" xfId="68" applyFont="1" applyBorder="1">
      <alignment/>
      <protection/>
    </xf>
    <xf numFmtId="0" fontId="16" fillId="0" borderId="15" xfId="68" applyFont="1" applyFill="1" applyBorder="1">
      <alignment/>
      <protection/>
    </xf>
    <xf numFmtId="0" fontId="13" fillId="0" borderId="14" xfId="68" applyFont="1" applyBorder="1">
      <alignment/>
      <protection/>
    </xf>
    <xf numFmtId="0" fontId="13" fillId="0" borderId="0" xfId="68" applyFont="1" applyBorder="1">
      <alignment/>
      <protection/>
    </xf>
    <xf numFmtId="0" fontId="13" fillId="0" borderId="15" xfId="68" applyFont="1" applyFill="1" applyBorder="1">
      <alignment/>
      <protection/>
    </xf>
    <xf numFmtId="0" fontId="16" fillId="0" borderId="0" xfId="68" applyFont="1" applyAlignment="1">
      <alignment vertical="top"/>
      <protection/>
    </xf>
    <xf numFmtId="0" fontId="16" fillId="0" borderId="14" xfId="68" applyFont="1" applyBorder="1" applyAlignment="1">
      <alignment vertical="top"/>
      <protection/>
    </xf>
    <xf numFmtId="0" fontId="16" fillId="0" borderId="0" xfId="68" applyFont="1" applyBorder="1" applyAlignment="1">
      <alignment vertical="top"/>
      <protection/>
    </xf>
    <xf numFmtId="0" fontId="20" fillId="0" borderId="0" xfId="68" applyFont="1" applyBorder="1" applyAlignment="1">
      <alignment vertical="top"/>
      <protection/>
    </xf>
    <xf numFmtId="0" fontId="16" fillId="0" borderId="15" xfId="68" applyFont="1" applyFill="1" applyBorder="1" applyAlignment="1">
      <alignment vertical="top"/>
      <protection/>
    </xf>
    <xf numFmtId="0" fontId="13" fillId="0" borderId="0" xfId="68" applyFont="1" applyAlignment="1">
      <alignment vertical="top"/>
      <protection/>
    </xf>
    <xf numFmtId="0" fontId="20" fillId="0" borderId="0" xfId="68" applyFont="1" applyBorder="1" applyAlignment="1">
      <alignment horizontal="left" vertical="top"/>
      <protection/>
    </xf>
    <xf numFmtId="0" fontId="13" fillId="0" borderId="15" xfId="68" applyFont="1" applyFill="1" applyBorder="1" applyAlignment="1">
      <alignment vertical="top"/>
      <protection/>
    </xf>
    <xf numFmtId="0" fontId="23" fillId="0" borderId="0" xfId="68" applyFont="1">
      <alignment/>
      <protection/>
    </xf>
    <xf numFmtId="0" fontId="24" fillId="0" borderId="14" xfId="68" applyFont="1" applyBorder="1" applyAlignment="1">
      <alignment horizontal="centerContinuous"/>
      <protection/>
    </xf>
    <xf numFmtId="0" fontId="24" fillId="0" borderId="0" xfId="68" applyFont="1" applyBorder="1" applyAlignment="1">
      <alignment horizontal="centerContinuous"/>
      <protection/>
    </xf>
    <xf numFmtId="0" fontId="13" fillId="0" borderId="0" xfId="68" applyFont="1" applyBorder="1" applyAlignment="1">
      <alignment horizontal="center"/>
      <protection/>
    </xf>
    <xf numFmtId="0" fontId="3" fillId="0" borderId="0" xfId="68" applyFont="1" applyBorder="1" applyAlignment="1" applyProtection="1">
      <alignment horizontal="center"/>
      <protection/>
    </xf>
    <xf numFmtId="182" fontId="3" fillId="0" borderId="0" xfId="68" applyNumberFormat="1" applyFont="1" applyBorder="1" applyAlignment="1">
      <alignment horizontal="centerContinuous"/>
      <protection/>
    </xf>
    <xf numFmtId="0" fontId="30" fillId="0" borderId="21" xfId="68" applyFont="1" applyBorder="1" applyAlignment="1">
      <alignment horizontal="center" vertical="center"/>
      <protection/>
    </xf>
    <xf numFmtId="0" fontId="30" fillId="0" borderId="21" xfId="68" applyFont="1" applyBorder="1" applyAlignment="1" applyProtection="1">
      <alignment horizontal="center" vertical="center"/>
      <protection/>
    </xf>
    <xf numFmtId="0" fontId="30" fillId="0" borderId="21" xfId="68" applyFont="1" applyBorder="1" applyAlignment="1" applyProtection="1">
      <alignment horizontal="center" vertical="center" wrapText="1"/>
      <protection/>
    </xf>
    <xf numFmtId="176" fontId="30" fillId="0" borderId="21" xfId="68" applyNumberFormat="1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 wrapText="1"/>
      <protection/>
    </xf>
    <xf numFmtId="0" fontId="36" fillId="37" borderId="16" xfId="68" applyFont="1" applyFill="1" applyBorder="1" applyAlignment="1" applyProtection="1">
      <alignment horizontal="centerContinuous" vertical="center" wrapText="1"/>
      <protection/>
    </xf>
    <xf numFmtId="0" fontId="36" fillId="37" borderId="17" xfId="68" applyFont="1" applyFill="1" applyBorder="1" applyAlignment="1">
      <alignment horizontal="centerContinuous" vertical="center"/>
      <protection/>
    </xf>
    <xf numFmtId="0" fontId="30" fillId="0" borderId="21" xfId="68" applyFont="1" applyBorder="1" applyAlignment="1">
      <alignment horizontal="center" vertical="center" wrapText="1"/>
      <protection/>
    </xf>
    <xf numFmtId="0" fontId="13" fillId="0" borderId="15" xfId="68" applyFont="1" applyFill="1" applyBorder="1" applyAlignment="1">
      <alignment horizontal="center"/>
      <protection/>
    </xf>
    <xf numFmtId="0" fontId="13" fillId="0" borderId="28" xfId="68" applyFont="1" applyFill="1" applyBorder="1" applyAlignment="1">
      <alignment horizontal="center"/>
      <protection/>
    </xf>
    <xf numFmtId="0" fontId="13" fillId="0" borderId="28" xfId="71" applyFont="1" applyFill="1" applyBorder="1" applyAlignment="1" applyProtection="1">
      <alignment horizontal="center"/>
      <protection locked="0"/>
    </xf>
    <xf numFmtId="172" fontId="13" fillId="0" borderId="28" xfId="71" applyNumberFormat="1" applyFont="1" applyFill="1" applyBorder="1" applyAlignment="1" applyProtection="1">
      <alignment horizontal="center"/>
      <protection locked="0"/>
    </xf>
    <xf numFmtId="178" fontId="13" fillId="0" borderId="28" xfId="71" applyNumberFormat="1" applyFont="1" applyFill="1" applyBorder="1" applyAlignment="1" applyProtection="1">
      <alignment horizontal="center"/>
      <protection locked="0"/>
    </xf>
    <xf numFmtId="22" fontId="13" fillId="0" borderId="29" xfId="68" applyNumberFormat="1" applyFont="1" applyFill="1" applyBorder="1" applyAlignment="1" applyProtection="1">
      <alignment horizontal="center"/>
      <protection locked="0"/>
    </xf>
    <xf numFmtId="22" fontId="13" fillId="0" borderId="32" xfId="68" applyNumberFormat="1" applyFont="1" applyFill="1" applyBorder="1" applyAlignment="1" applyProtection="1">
      <alignment horizontal="center"/>
      <protection locked="0"/>
    </xf>
    <xf numFmtId="176" fontId="13" fillId="0" borderId="29" xfId="68" applyNumberFormat="1" applyFont="1" applyBorder="1" applyAlignment="1" applyProtection="1">
      <alignment horizontal="center"/>
      <protection locked="0"/>
    </xf>
    <xf numFmtId="176" fontId="13" fillId="0" borderId="28" xfId="68" applyNumberFormat="1" applyFont="1" applyBorder="1" applyAlignment="1" applyProtection="1">
      <alignment horizontal="center"/>
      <protection/>
    </xf>
    <xf numFmtId="4" fontId="48" fillId="0" borderId="29" xfId="68" applyNumberFormat="1" applyFont="1" applyFill="1" applyBorder="1" applyAlignment="1">
      <alignment horizontal="right"/>
      <protection/>
    </xf>
    <xf numFmtId="22" fontId="13" fillId="0" borderId="29" xfId="71" applyNumberFormat="1" applyFont="1" applyFill="1" applyBorder="1" applyAlignment="1" applyProtection="1">
      <alignment horizontal="center"/>
      <protection locked="0"/>
    </xf>
    <xf numFmtId="22" fontId="13" fillId="0" borderId="33" xfId="71" applyNumberFormat="1" applyFont="1" applyFill="1" applyBorder="1" applyAlignment="1" applyProtection="1">
      <alignment horizontal="center"/>
      <protection locked="0"/>
    </xf>
    <xf numFmtId="172" fontId="13" fillId="0" borderId="28" xfId="68" applyNumberFormat="1" applyFont="1" applyFill="1" applyBorder="1" applyAlignment="1" applyProtection="1">
      <alignment horizontal="center"/>
      <protection locked="0"/>
    </xf>
    <xf numFmtId="0" fontId="13" fillId="0" borderId="28" xfId="68" applyFont="1" applyFill="1" applyBorder="1" applyAlignment="1" applyProtection="1">
      <alignment horizontal="center"/>
      <protection locked="0"/>
    </xf>
    <xf numFmtId="0" fontId="13" fillId="0" borderId="27" xfId="68" applyFont="1" applyFill="1" applyBorder="1" applyAlignment="1">
      <alignment horizontal="center"/>
      <protection/>
    </xf>
    <xf numFmtId="22" fontId="13" fillId="0" borderId="33" xfId="68" applyNumberFormat="1" applyFont="1" applyBorder="1" applyAlignment="1" applyProtection="1">
      <alignment horizontal="center"/>
      <protection locked="0"/>
    </xf>
    <xf numFmtId="176" fontId="13" fillId="0" borderId="36" xfId="68" applyNumberFormat="1" applyFont="1" applyBorder="1" applyAlignment="1" applyProtection="1">
      <alignment horizontal="center"/>
      <protection/>
    </xf>
    <xf numFmtId="181" fontId="13" fillId="0" borderId="36" xfId="68" applyNumberFormat="1" applyFont="1" applyBorder="1" applyAlignment="1" applyProtection="1" quotePrefix="1">
      <alignment horizontal="center"/>
      <protection locked="0"/>
    </xf>
    <xf numFmtId="0" fontId="104" fillId="0" borderId="41" xfId="68" applyFont="1" applyBorder="1" applyAlignment="1">
      <alignment horizontal="center"/>
      <protection/>
    </xf>
    <xf numFmtId="0" fontId="58" fillId="0" borderId="0" xfId="68" applyFont="1" applyBorder="1" applyAlignment="1" applyProtection="1">
      <alignment horizontal="left"/>
      <protection/>
    </xf>
    <xf numFmtId="0" fontId="13" fillId="0" borderId="0" xfId="68" applyFont="1" applyBorder="1" applyAlignment="1" applyProtection="1">
      <alignment horizontal="center"/>
      <protection/>
    </xf>
    <xf numFmtId="176" fontId="13" fillId="0" borderId="0" xfId="68" applyNumberFormat="1" applyFont="1" applyBorder="1" applyAlignment="1" applyProtection="1">
      <alignment horizontal="center"/>
      <protection/>
    </xf>
    <xf numFmtId="0" fontId="3" fillId="0" borderId="0" xfId="68" applyBorder="1">
      <alignment/>
      <protection/>
    </xf>
    <xf numFmtId="0" fontId="11" fillId="0" borderId="0" xfId="68" applyFont="1" applyFill="1" applyAlignment="1">
      <alignment horizontal="right" vertical="top"/>
      <protection/>
    </xf>
    <xf numFmtId="0" fontId="9" fillId="0" borderId="0" xfId="68" applyFont="1" applyFill="1" applyAlignment="1">
      <alignment horizontal="centerContinuous"/>
      <protection/>
    </xf>
    <xf numFmtId="0" fontId="6" fillId="0" borderId="0" xfId="68" applyFont="1" applyFill="1" applyAlignment="1">
      <alignment horizontal="centerContinuous"/>
      <protection/>
    </xf>
    <xf numFmtId="0" fontId="14" fillId="0" borderId="0" xfId="68" applyFont="1" applyFill="1" applyAlignment="1">
      <alignment horizontal="centerContinuous"/>
      <protection/>
    </xf>
    <xf numFmtId="0" fontId="14" fillId="0" borderId="0" xfId="68" applyFont="1" applyFill="1">
      <alignment/>
      <protection/>
    </xf>
    <xf numFmtId="0" fontId="13" fillId="0" borderId="11" xfId="68" applyFont="1" applyFill="1" applyBorder="1">
      <alignment/>
      <protection/>
    </xf>
    <xf numFmtId="0" fontId="13" fillId="0" borderId="12" xfId="68" applyFont="1" applyFill="1" applyBorder="1">
      <alignment/>
      <protection/>
    </xf>
    <xf numFmtId="0" fontId="18" fillId="0" borderId="0" xfId="68" applyFont="1">
      <alignment/>
      <protection/>
    </xf>
    <xf numFmtId="0" fontId="13" fillId="0" borderId="14" xfId="68" applyFont="1" applyFill="1" applyBorder="1">
      <alignment/>
      <protection/>
    </xf>
    <xf numFmtId="0" fontId="13" fillId="0" borderId="0" xfId="68" applyFont="1" applyFill="1" applyBorder="1">
      <alignment/>
      <protection/>
    </xf>
    <xf numFmtId="0" fontId="5" fillId="0" borderId="0" xfId="68" applyFont="1" applyFill="1" applyBorder="1" applyAlignment="1">
      <alignment horizontal="left"/>
      <protection/>
    </xf>
    <xf numFmtId="0" fontId="20" fillId="0" borderId="0" xfId="68" applyFont="1" applyFill="1" applyBorder="1" applyAlignment="1">
      <alignment horizontal="left" vertical="top"/>
      <protection/>
    </xf>
    <xf numFmtId="0" fontId="18" fillId="0" borderId="0" xfId="68" applyFont="1" applyAlignment="1">
      <alignment vertical="top"/>
      <protection/>
    </xf>
    <xf numFmtId="0" fontId="13" fillId="0" borderId="0" xfId="68" applyFont="1" applyFill="1" applyAlignment="1">
      <alignment vertical="top"/>
      <protection/>
    </xf>
    <xf numFmtId="0" fontId="13" fillId="0" borderId="14" xfId="68" applyFont="1" applyFill="1" applyBorder="1" applyAlignment="1">
      <alignment vertical="top"/>
      <protection/>
    </xf>
    <xf numFmtId="0" fontId="13" fillId="0" borderId="0" xfId="68" applyFont="1" applyFill="1" applyBorder="1" applyAlignment="1">
      <alignment vertical="top"/>
      <protection/>
    </xf>
    <xf numFmtId="0" fontId="13" fillId="0" borderId="0" xfId="68" applyFont="1" applyFill="1" applyBorder="1" applyAlignment="1">
      <alignment horizontal="center" vertical="top"/>
      <protection/>
    </xf>
    <xf numFmtId="0" fontId="23" fillId="0" borderId="0" xfId="68" applyFont="1" applyFill="1">
      <alignment/>
      <protection/>
    </xf>
    <xf numFmtId="0" fontId="24" fillId="0" borderId="0" xfId="68" applyFont="1" applyFill="1" applyAlignment="1">
      <alignment horizontal="centerContinuous"/>
      <protection/>
    </xf>
    <xf numFmtId="0" fontId="24" fillId="0" borderId="0" xfId="68" applyFont="1" applyFill="1" applyBorder="1" applyAlignment="1">
      <alignment horizontal="centerContinuous"/>
      <protection/>
    </xf>
    <xf numFmtId="0" fontId="26" fillId="0" borderId="0" xfId="68" applyFont="1" applyFill="1" applyAlignment="1">
      <alignment horizontal="centerContinuous"/>
      <protection/>
    </xf>
    <xf numFmtId="0" fontId="26" fillId="0" borderId="15" xfId="68" applyFont="1" applyFill="1" applyBorder="1" applyAlignment="1">
      <alignment horizontal="centerContinuous"/>
      <protection/>
    </xf>
    <xf numFmtId="0" fontId="13" fillId="0" borderId="0" xfId="68" applyFont="1" applyFill="1" applyBorder="1" applyAlignment="1">
      <alignment horizontal="center"/>
      <protection/>
    </xf>
    <xf numFmtId="0" fontId="3" fillId="0" borderId="16" xfId="68" applyFont="1" applyFill="1" applyBorder="1" applyAlignment="1" applyProtection="1">
      <alignment horizontal="left" vertical="center"/>
      <protection/>
    </xf>
    <xf numFmtId="0" fontId="3" fillId="0" borderId="41" xfId="68" applyFont="1" applyFill="1" applyBorder="1" applyAlignment="1" applyProtection="1">
      <alignment horizontal="center" vertical="center"/>
      <protection/>
    </xf>
    <xf numFmtId="0" fontId="3" fillId="0" borderId="21" xfId="68" applyFont="1" applyFill="1" applyBorder="1" applyAlignment="1">
      <alignment horizontal="center" vertical="center"/>
      <protection/>
    </xf>
    <xf numFmtId="0" fontId="3" fillId="0" borderId="0" xfId="68" applyFont="1" applyBorder="1" applyAlignment="1">
      <alignment horizontal="center" vertical="center"/>
      <protection/>
    </xf>
    <xf numFmtId="0" fontId="3" fillId="0" borderId="16" xfId="68" applyFont="1" applyFill="1" applyBorder="1" applyAlignment="1" applyProtection="1" quotePrefix="1">
      <alignment horizontal="left"/>
      <protection/>
    </xf>
    <xf numFmtId="0" fontId="3" fillId="0" borderId="22" xfId="68" applyFont="1" applyFill="1" applyBorder="1" applyAlignment="1" applyProtection="1">
      <alignment horizontal="center"/>
      <protection/>
    </xf>
    <xf numFmtId="172" fontId="3" fillId="0" borderId="21" xfId="68" applyNumberFormat="1" applyFont="1" applyFill="1" applyBorder="1" applyAlignment="1" applyProtection="1">
      <alignment horizontal="center"/>
      <protection/>
    </xf>
    <xf numFmtId="0" fontId="48" fillId="0" borderId="0" xfId="68" applyFont="1" applyBorder="1" applyAlignment="1">
      <alignment horizontal="right"/>
      <protection/>
    </xf>
    <xf numFmtId="0" fontId="103" fillId="0" borderId="0" xfId="68" applyFont="1" applyBorder="1" applyAlignment="1">
      <alignment horizontal="center"/>
      <protection/>
    </xf>
    <xf numFmtId="0" fontId="5" fillId="0" borderId="0" xfId="68" applyFont="1" applyBorder="1" applyAlignment="1">
      <alignment horizontal="center"/>
      <protection/>
    </xf>
    <xf numFmtId="22" fontId="13" fillId="0" borderId="0" xfId="68" applyNumberFormat="1" applyFont="1" applyFill="1" applyBorder="1">
      <alignment/>
      <protection/>
    </xf>
    <xf numFmtId="0" fontId="3" fillId="0" borderId="0" xfId="68" applyFont="1" applyFill="1" applyBorder="1" applyAlignment="1" applyProtection="1" quotePrefix="1">
      <alignment horizontal="left"/>
      <protection/>
    </xf>
    <xf numFmtId="0" fontId="3" fillId="0" borderId="0" xfId="68" applyFont="1" applyFill="1" applyBorder="1" applyAlignment="1" applyProtection="1">
      <alignment horizontal="center"/>
      <protection/>
    </xf>
    <xf numFmtId="172" fontId="3" fillId="0" borderId="0" xfId="68" applyNumberFormat="1" applyFont="1" applyFill="1" applyBorder="1" applyAlignment="1" applyProtection="1">
      <alignment horizontal="center"/>
      <protection/>
    </xf>
    <xf numFmtId="0" fontId="29" fillId="0" borderId="0" xfId="68" applyFont="1" applyFill="1" applyBorder="1">
      <alignment/>
      <protection/>
    </xf>
    <xf numFmtId="0" fontId="30" fillId="0" borderId="21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 applyProtection="1">
      <alignment horizontal="center" vertical="center" wrapText="1"/>
      <protection/>
    </xf>
    <xf numFmtId="0" fontId="30" fillId="0" borderId="21" xfId="68" applyFont="1" applyFill="1" applyBorder="1" applyAlignment="1" applyProtection="1">
      <alignment horizontal="center" vertical="center"/>
      <protection/>
    </xf>
    <xf numFmtId="0" fontId="30" fillId="0" borderId="21" xfId="68" applyFont="1" applyFill="1" applyBorder="1" applyAlignment="1" applyProtection="1" quotePrefix="1">
      <alignment horizontal="center" vertical="center" wrapText="1"/>
      <protection/>
    </xf>
    <xf numFmtId="0" fontId="30" fillId="0" borderId="21" xfId="68" applyFont="1" applyFill="1" applyBorder="1" applyAlignment="1">
      <alignment horizontal="center" vertical="center" wrapText="1"/>
      <protection/>
    </xf>
    <xf numFmtId="0" fontId="60" fillId="37" borderId="21" xfId="68" applyFont="1" applyFill="1" applyBorder="1" applyAlignment="1" applyProtection="1">
      <alignment horizontal="center" vertical="center"/>
      <protection/>
    </xf>
    <xf numFmtId="0" fontId="30" fillId="0" borderId="16" xfId="68" applyFont="1" applyFill="1" applyBorder="1" applyAlignment="1" applyProtection="1">
      <alignment horizontal="center" vertical="center"/>
      <protection/>
    </xf>
    <xf numFmtId="172" fontId="29" fillId="42" borderId="21" xfId="68" applyNumberFormat="1" applyFont="1" applyFill="1" applyBorder="1" applyAlignment="1" applyProtection="1">
      <alignment horizontal="center" vertical="center"/>
      <protection/>
    </xf>
    <xf numFmtId="0" fontId="67" fillId="39" borderId="21" xfId="68" applyFont="1" applyFill="1" applyBorder="1" applyAlignment="1">
      <alignment horizontal="center" vertical="center" wrapText="1"/>
      <protection/>
    </xf>
    <xf numFmtId="0" fontId="68" fillId="36" borderId="21" xfId="68" applyFont="1" applyFill="1" applyBorder="1" applyAlignment="1">
      <alignment horizontal="center" vertical="center" wrapText="1"/>
      <protection/>
    </xf>
    <xf numFmtId="0" fontId="69" fillId="43" borderId="16" xfId="68" applyFont="1" applyFill="1" applyBorder="1" applyAlignment="1" applyProtection="1">
      <alignment horizontal="centerContinuous" vertical="center" wrapText="1"/>
      <protection/>
    </xf>
    <xf numFmtId="0" fontId="69" fillId="43" borderId="17" xfId="68" applyFont="1" applyFill="1" applyBorder="1" applyAlignment="1">
      <alignment horizontal="centerContinuous" vertical="center"/>
      <protection/>
    </xf>
    <xf numFmtId="0" fontId="34" fillId="44" borderId="21" xfId="68" applyFont="1" applyFill="1" applyBorder="1" applyAlignment="1">
      <alignment horizontal="center" vertical="center" wrapText="1"/>
      <protection/>
    </xf>
    <xf numFmtId="0" fontId="70" fillId="39" borderId="21" xfId="68" applyFont="1" applyFill="1" applyBorder="1" applyAlignment="1">
      <alignment horizontal="center" vertical="center" wrapText="1"/>
      <protection/>
    </xf>
    <xf numFmtId="0" fontId="61" fillId="37" borderId="21" xfId="68" applyFont="1" applyFill="1" applyBorder="1" applyAlignment="1">
      <alignment horizontal="center" vertical="center" wrapText="1"/>
      <protection/>
    </xf>
    <xf numFmtId="0" fontId="13" fillId="0" borderId="43" xfId="68" applyFont="1" applyFill="1" applyBorder="1" applyAlignment="1">
      <alignment horizontal="center"/>
      <protection/>
    </xf>
    <xf numFmtId="0" fontId="13" fillId="0" borderId="35" xfId="68" applyFont="1" applyFill="1" applyBorder="1" applyAlignment="1">
      <alignment horizontal="center"/>
      <protection/>
    </xf>
    <xf numFmtId="172" fontId="13" fillId="0" borderId="35" xfId="68" applyNumberFormat="1" applyFont="1" applyFill="1" applyBorder="1" applyAlignment="1" applyProtection="1">
      <alignment horizontal="center"/>
      <protection/>
    </xf>
    <xf numFmtId="0" fontId="63" fillId="37" borderId="35" xfId="68" applyFont="1" applyFill="1" applyBorder="1" applyAlignment="1">
      <alignment horizontal="center"/>
      <protection/>
    </xf>
    <xf numFmtId="0" fontId="13" fillId="0" borderId="28" xfId="68" applyFont="1" applyBorder="1">
      <alignment/>
      <protection/>
    </xf>
    <xf numFmtId="0" fontId="13" fillId="0" borderId="57" xfId="68" applyFont="1" applyFill="1" applyBorder="1" applyAlignment="1">
      <alignment horizontal="center"/>
      <protection/>
    </xf>
    <xf numFmtId="172" fontId="29" fillId="42" borderId="23" xfId="68" applyNumberFormat="1" applyFont="1" applyFill="1" applyBorder="1" applyAlignment="1" applyProtection="1">
      <alignment horizontal="center"/>
      <protection/>
    </xf>
    <xf numFmtId="0" fontId="71" fillId="39" borderId="43" xfId="68" applyFont="1" applyFill="1" applyBorder="1" applyAlignment="1">
      <alignment horizontal="center"/>
      <protection/>
    </xf>
    <xf numFmtId="0" fontId="72" fillId="36" borderId="43" xfId="68" applyFont="1" applyFill="1" applyBorder="1" applyAlignment="1">
      <alignment horizontal="center"/>
      <protection/>
    </xf>
    <xf numFmtId="0" fontId="52" fillId="37" borderId="24" xfId="68" applyFont="1" applyFill="1" applyBorder="1" applyAlignment="1">
      <alignment horizontal="center"/>
      <protection/>
    </xf>
    <xf numFmtId="0" fontId="52" fillId="37" borderId="26" xfId="68" applyFont="1" applyFill="1" applyBorder="1" applyAlignment="1">
      <alignment horizontal="center"/>
      <protection/>
    </xf>
    <xf numFmtId="0" fontId="73" fillId="43" borderId="45" xfId="68" applyFont="1" applyFill="1" applyBorder="1" applyAlignment="1">
      <alignment horizontal="center"/>
      <protection/>
    </xf>
    <xf numFmtId="0" fontId="73" fillId="43" borderId="46" xfId="68" applyFont="1" applyFill="1" applyBorder="1" applyAlignment="1">
      <alignment horizontal="center"/>
      <protection/>
    </xf>
    <xf numFmtId="0" fontId="50" fillId="44" borderId="43" xfId="68" applyFont="1" applyFill="1" applyBorder="1" applyAlignment="1">
      <alignment horizontal="center"/>
      <protection/>
    </xf>
    <xf numFmtId="0" fontId="74" fillId="39" borderId="43" xfId="68" applyFont="1" applyFill="1" applyBorder="1" applyAlignment="1">
      <alignment horizontal="center"/>
      <protection/>
    </xf>
    <xf numFmtId="7" fontId="78" fillId="37" borderId="43" xfId="68" applyNumberFormat="1" applyFont="1" applyFill="1" applyBorder="1" applyAlignment="1">
      <alignment horizontal="center"/>
      <protection/>
    </xf>
    <xf numFmtId="7" fontId="48" fillId="0" borderId="35" xfId="68" applyNumberFormat="1" applyFont="1" applyFill="1" applyBorder="1" applyAlignment="1">
      <alignment horizontal="center"/>
      <protection/>
    </xf>
    <xf numFmtId="172" fontId="13" fillId="0" borderId="27" xfId="68" applyNumberFormat="1" applyFont="1" applyFill="1" applyBorder="1" applyAlignment="1" applyProtection="1">
      <alignment horizontal="center"/>
      <protection/>
    </xf>
    <xf numFmtId="0" fontId="63" fillId="37" borderId="27" xfId="68" applyFont="1" applyFill="1" applyBorder="1" applyAlignment="1">
      <alignment horizontal="center"/>
      <protection/>
    </xf>
    <xf numFmtId="0" fontId="13" fillId="0" borderId="29" xfId="68" applyFont="1" applyBorder="1">
      <alignment/>
      <protection/>
    </xf>
    <xf numFmtId="0" fontId="13" fillId="0" borderId="47" xfId="68" applyFont="1" applyFill="1" applyBorder="1" applyAlignment="1">
      <alignment horizontal="center"/>
      <protection/>
    </xf>
    <xf numFmtId="172" fontId="29" fillId="42" borderId="27" xfId="68" applyNumberFormat="1" applyFont="1" applyFill="1" applyBorder="1" applyAlignment="1" applyProtection="1">
      <alignment horizontal="center"/>
      <protection/>
    </xf>
    <xf numFmtId="0" fontId="71" fillId="39" borderId="27" xfId="68" applyFont="1" applyFill="1" applyBorder="1" applyAlignment="1">
      <alignment horizontal="center"/>
      <protection/>
    </xf>
    <xf numFmtId="0" fontId="72" fillId="36" borderId="27" xfId="68" applyFont="1" applyFill="1" applyBorder="1" applyAlignment="1">
      <alignment horizontal="center"/>
      <protection/>
    </xf>
    <xf numFmtId="0" fontId="52" fillId="37" borderId="48" xfId="68" applyFont="1" applyFill="1" applyBorder="1" applyAlignment="1">
      <alignment horizontal="center"/>
      <protection/>
    </xf>
    <xf numFmtId="0" fontId="52" fillId="37" borderId="49" xfId="68" applyFont="1" applyFill="1" applyBorder="1" applyAlignment="1">
      <alignment horizontal="center"/>
      <protection/>
    </xf>
    <xf numFmtId="0" fontId="73" fillId="43" borderId="48" xfId="68" applyFont="1" applyFill="1" applyBorder="1" applyAlignment="1">
      <alignment horizontal="center"/>
      <protection/>
    </xf>
    <xf numFmtId="0" fontId="73" fillId="43" borderId="49" xfId="68" applyFont="1" applyFill="1" applyBorder="1" applyAlignment="1">
      <alignment horizontal="center"/>
      <protection/>
    </xf>
    <xf numFmtId="0" fontId="50" fillId="44" borderId="27" xfId="68" applyFont="1" applyFill="1" applyBorder="1" applyAlignment="1">
      <alignment horizontal="center"/>
      <protection/>
    </xf>
    <xf numFmtId="0" fontId="74" fillId="39" borderId="27" xfId="68" applyFont="1" applyFill="1" applyBorder="1" applyAlignment="1">
      <alignment horizontal="center"/>
      <protection/>
    </xf>
    <xf numFmtId="0" fontId="78" fillId="37" borderId="27" xfId="68" applyFont="1" applyFill="1" applyBorder="1" applyAlignment="1">
      <alignment horizontal="center"/>
      <protection/>
    </xf>
    <xf numFmtId="0" fontId="48" fillId="0" borderId="27" xfId="68" applyFont="1" applyFill="1" applyBorder="1" applyAlignment="1">
      <alignment horizontal="center"/>
      <protection/>
    </xf>
    <xf numFmtId="0" fontId="13" fillId="0" borderId="27" xfId="68" applyFont="1" applyBorder="1" applyAlignment="1" applyProtection="1">
      <alignment horizontal="center"/>
      <protection locked="0"/>
    </xf>
    <xf numFmtId="0" fontId="13" fillId="0" borderId="32" xfId="68" applyFont="1" applyBorder="1" applyAlignment="1" applyProtection="1">
      <alignment horizontal="center"/>
      <protection locked="0"/>
    </xf>
    <xf numFmtId="172" fontId="13" fillId="0" borderId="27" xfId="68" applyNumberFormat="1" applyFont="1" applyBorder="1" applyAlignment="1" applyProtection="1">
      <alignment horizontal="center"/>
      <protection locked="0"/>
    </xf>
    <xf numFmtId="1" fontId="13" fillId="0" borderId="49" xfId="68" applyNumberFormat="1" applyFont="1" applyBorder="1" applyAlignment="1" applyProtection="1">
      <alignment horizontal="center"/>
      <protection locked="0"/>
    </xf>
    <xf numFmtId="182" fontId="63" fillId="37" borderId="27" xfId="68" applyNumberFormat="1" applyFont="1" applyFill="1" applyBorder="1" applyAlignment="1" applyProtection="1">
      <alignment horizontal="center"/>
      <protection/>
    </xf>
    <xf numFmtId="22" fontId="13" fillId="0" borderId="28" xfId="68" applyNumberFormat="1" applyFont="1" applyFill="1" applyBorder="1" applyAlignment="1" applyProtection="1">
      <alignment horizontal="center"/>
      <protection locked="0"/>
    </xf>
    <xf numFmtId="4" fontId="13" fillId="0" borderId="27" xfId="68" applyNumberFormat="1" applyFont="1" applyFill="1" applyBorder="1" applyAlignment="1" applyProtection="1">
      <alignment horizontal="center"/>
      <protection/>
    </xf>
    <xf numFmtId="3" fontId="13" fillId="0" borderId="27" xfId="68" applyNumberFormat="1" applyFont="1" applyFill="1" applyBorder="1" applyAlignment="1" applyProtection="1">
      <alignment horizontal="center"/>
      <protection/>
    </xf>
    <xf numFmtId="176" fontId="13" fillId="0" borderId="28" xfId="68" applyNumberFormat="1" applyFont="1" applyFill="1" applyBorder="1" applyAlignment="1" applyProtection="1">
      <alignment horizontal="center"/>
      <protection locked="0"/>
    </xf>
    <xf numFmtId="181" fontId="13" fillId="0" borderId="29" xfId="68" applyNumberFormat="1" applyFont="1" applyBorder="1" applyAlignment="1" applyProtection="1" quotePrefix="1">
      <alignment horizontal="center"/>
      <protection/>
    </xf>
    <xf numFmtId="176" fontId="13" fillId="0" borderId="27" xfId="68" applyNumberFormat="1" applyFont="1" applyBorder="1" applyAlignment="1" applyProtection="1" quotePrefix="1">
      <alignment horizontal="center"/>
      <protection/>
    </xf>
    <xf numFmtId="176" fontId="13" fillId="0" borderId="27" xfId="68" applyNumberFormat="1" applyFont="1" applyBorder="1" applyAlignment="1" applyProtection="1">
      <alignment horizontal="center"/>
      <protection/>
    </xf>
    <xf numFmtId="2" fontId="71" fillId="39" borderId="28" xfId="68" applyNumberFormat="1" applyFont="1" applyFill="1" applyBorder="1" applyAlignment="1" applyProtection="1">
      <alignment horizontal="center"/>
      <protection/>
    </xf>
    <xf numFmtId="2" fontId="72" fillId="36" borderId="28" xfId="68" applyNumberFormat="1" applyFont="1" applyFill="1" applyBorder="1" applyAlignment="1" applyProtection="1">
      <alignment horizontal="center"/>
      <protection/>
    </xf>
    <xf numFmtId="176" fontId="52" fillId="37" borderId="48" xfId="68" applyNumberFormat="1" applyFont="1" applyFill="1" applyBorder="1" applyAlignment="1" applyProtection="1" quotePrefix="1">
      <alignment horizontal="center"/>
      <protection/>
    </xf>
    <xf numFmtId="176" fontId="52" fillId="37" borderId="49" xfId="68" applyNumberFormat="1" applyFont="1" applyFill="1" applyBorder="1" applyAlignment="1" applyProtection="1" quotePrefix="1">
      <alignment horizontal="center"/>
      <protection/>
    </xf>
    <xf numFmtId="176" fontId="73" fillId="43" borderId="48" xfId="68" applyNumberFormat="1" applyFont="1" applyFill="1" applyBorder="1" applyAlignment="1" applyProtection="1" quotePrefix="1">
      <alignment horizontal="center"/>
      <protection/>
    </xf>
    <xf numFmtId="176" fontId="73" fillId="43" borderId="49" xfId="68" applyNumberFormat="1" applyFont="1" applyFill="1" applyBorder="1" applyAlignment="1" applyProtection="1" quotePrefix="1">
      <alignment horizontal="center"/>
      <protection/>
    </xf>
    <xf numFmtId="176" fontId="50" fillId="44" borderId="28" xfId="68" applyNumberFormat="1" applyFont="1" applyFill="1" applyBorder="1" applyAlignment="1" applyProtection="1" quotePrefix="1">
      <alignment horizontal="center"/>
      <protection/>
    </xf>
    <xf numFmtId="176" fontId="74" fillId="39" borderId="27" xfId="68" applyNumberFormat="1" applyFont="1" applyFill="1" applyBorder="1" applyAlignment="1" applyProtection="1" quotePrefix="1">
      <alignment horizontal="center"/>
      <protection/>
    </xf>
    <xf numFmtId="176" fontId="13" fillId="0" borderId="47" xfId="68" applyNumberFormat="1" applyFont="1" applyFill="1" applyBorder="1" applyAlignment="1" applyProtection="1">
      <alignment horizontal="center"/>
      <protection/>
    </xf>
    <xf numFmtId="4" fontId="78" fillId="37" borderId="27" xfId="68" applyNumberFormat="1" applyFont="1" applyFill="1" applyBorder="1" applyAlignment="1">
      <alignment horizontal="right"/>
      <protection/>
    </xf>
    <xf numFmtId="4" fontId="78" fillId="0" borderId="27" xfId="68" applyNumberFormat="1" applyFont="1" applyFill="1" applyBorder="1" applyAlignment="1">
      <alignment horizontal="right"/>
      <protection/>
    </xf>
    <xf numFmtId="1" fontId="13" fillId="0" borderId="49" xfId="68" applyNumberFormat="1" applyFont="1" applyBorder="1" applyAlignment="1" applyProtection="1" quotePrefix="1">
      <alignment horizontal="center"/>
      <protection locked="0"/>
    </xf>
    <xf numFmtId="0" fontId="13" fillId="0" borderId="47" xfId="68" applyFont="1" applyBorder="1" applyAlignment="1" applyProtection="1">
      <alignment horizontal="center"/>
      <protection locked="0"/>
    </xf>
    <xf numFmtId="0" fontId="75" fillId="0" borderId="36" xfId="68" applyFont="1" applyFill="1" applyBorder="1" applyAlignment="1" applyProtection="1">
      <alignment horizontal="center"/>
      <protection locked="0"/>
    </xf>
    <xf numFmtId="172" fontId="49" fillId="0" borderId="34" xfId="68" applyNumberFormat="1" applyFont="1" applyFill="1" applyBorder="1" applyAlignment="1" applyProtection="1">
      <alignment horizontal="center"/>
      <protection locked="0"/>
    </xf>
    <xf numFmtId="176" fontId="63" fillId="37" borderId="36" xfId="68" applyNumberFormat="1" applyFont="1" applyFill="1" applyBorder="1" applyAlignment="1" applyProtection="1">
      <alignment horizontal="center"/>
      <protection/>
    </xf>
    <xf numFmtId="0" fontId="13" fillId="0" borderId="36" xfId="68" applyFont="1" applyFill="1" applyBorder="1" applyAlignment="1" applyProtection="1">
      <alignment horizontal="center"/>
      <protection locked="0"/>
    </xf>
    <xf numFmtId="38" fontId="13" fillId="0" borderId="36" xfId="68" applyNumberFormat="1" applyFont="1" applyFill="1" applyBorder="1" applyAlignment="1" applyProtection="1">
      <alignment horizontal="center"/>
      <protection locked="0"/>
    </xf>
    <xf numFmtId="38" fontId="13" fillId="0" borderId="36" xfId="68" applyNumberFormat="1" applyFont="1" applyFill="1" applyBorder="1" applyAlignment="1" applyProtection="1">
      <alignment horizontal="center"/>
      <protection/>
    </xf>
    <xf numFmtId="172" fontId="13" fillId="0" borderId="36" xfId="68" applyNumberFormat="1" applyFont="1" applyFill="1" applyBorder="1" applyAlignment="1" applyProtection="1" quotePrefix="1">
      <alignment horizontal="center"/>
      <protection/>
    </xf>
    <xf numFmtId="176" fontId="13" fillId="0" borderId="36" xfId="68" applyNumberFormat="1" applyFont="1" applyFill="1" applyBorder="1" applyAlignment="1" applyProtection="1">
      <alignment horizontal="center"/>
      <protection locked="0"/>
    </xf>
    <xf numFmtId="176" fontId="13" fillId="0" borderId="50" xfId="68" applyNumberFormat="1" applyFont="1" applyFill="1" applyBorder="1" applyAlignment="1" applyProtection="1">
      <alignment horizontal="center"/>
      <protection locked="0"/>
    </xf>
    <xf numFmtId="172" fontId="29" fillId="42" borderId="34" xfId="68" applyNumberFormat="1" applyFont="1" applyFill="1" applyBorder="1" applyAlignment="1" applyProtection="1">
      <alignment horizontal="center"/>
      <protection locked="0"/>
    </xf>
    <xf numFmtId="2" fontId="71" fillId="39" borderId="36" xfId="68" applyNumberFormat="1" applyFont="1" applyFill="1" applyBorder="1" applyAlignment="1" applyProtection="1">
      <alignment horizontal="center"/>
      <protection locked="0"/>
    </xf>
    <xf numFmtId="2" fontId="72" fillId="36" borderId="36" xfId="68" applyNumberFormat="1" applyFont="1" applyFill="1" applyBorder="1" applyAlignment="1" applyProtection="1">
      <alignment horizontal="center"/>
      <protection locked="0"/>
    </xf>
    <xf numFmtId="176" fontId="52" fillId="37" borderId="51" xfId="68" applyNumberFormat="1" applyFont="1" applyFill="1" applyBorder="1" applyAlignment="1" applyProtection="1" quotePrefix="1">
      <alignment horizontal="center"/>
      <protection locked="0"/>
    </xf>
    <xf numFmtId="176" fontId="52" fillId="37" borderId="52" xfId="68" applyNumberFormat="1" applyFont="1" applyFill="1" applyBorder="1" applyAlignment="1" applyProtection="1" quotePrefix="1">
      <alignment horizontal="center"/>
      <protection locked="0"/>
    </xf>
    <xf numFmtId="176" fontId="73" fillId="43" borderId="37" xfId="68" applyNumberFormat="1" applyFont="1" applyFill="1" applyBorder="1" applyAlignment="1" applyProtection="1" quotePrefix="1">
      <alignment horizontal="center"/>
      <protection locked="0"/>
    </xf>
    <xf numFmtId="176" fontId="73" fillId="43" borderId="39" xfId="68" applyNumberFormat="1" applyFont="1" applyFill="1" applyBorder="1" applyAlignment="1" applyProtection="1" quotePrefix="1">
      <alignment horizontal="center"/>
      <protection locked="0"/>
    </xf>
    <xf numFmtId="176" fontId="50" fillId="44" borderId="36" xfId="68" applyNumberFormat="1" applyFont="1" applyFill="1" applyBorder="1" applyAlignment="1" applyProtection="1" quotePrefix="1">
      <alignment horizontal="center"/>
      <protection locked="0"/>
    </xf>
    <xf numFmtId="176" fontId="74" fillId="39" borderId="36" xfId="68" applyNumberFormat="1" applyFont="1" applyFill="1" applyBorder="1" applyAlignment="1" applyProtection="1" quotePrefix="1">
      <alignment horizontal="center"/>
      <protection locked="0"/>
    </xf>
    <xf numFmtId="176" fontId="76" fillId="0" borderId="50" xfId="68" applyNumberFormat="1" applyFont="1" applyFill="1" applyBorder="1" applyAlignment="1" applyProtection="1">
      <alignment horizontal="center"/>
      <protection locked="0"/>
    </xf>
    <xf numFmtId="176" fontId="78" fillId="37" borderId="40" xfId="68" applyNumberFormat="1" applyFont="1" applyFill="1" applyBorder="1" applyAlignment="1">
      <alignment horizontal="center"/>
      <protection/>
    </xf>
    <xf numFmtId="176" fontId="65" fillId="0" borderId="40" xfId="68" applyNumberFormat="1" applyFont="1" applyFill="1" applyBorder="1" applyAlignment="1">
      <alignment horizontal="center"/>
      <protection/>
    </xf>
    <xf numFmtId="0" fontId="104" fillId="0" borderId="0" xfId="68" applyFont="1" applyFill="1" applyBorder="1" applyAlignment="1">
      <alignment horizontal="left"/>
      <protection/>
    </xf>
    <xf numFmtId="0" fontId="57" fillId="0" borderId="41" xfId="68" applyFont="1" applyBorder="1" applyAlignment="1">
      <alignment horizontal="center"/>
      <protection/>
    </xf>
    <xf numFmtId="172" fontId="29" fillId="0" borderId="0" xfId="68" applyNumberFormat="1" applyFont="1" applyFill="1" applyBorder="1" applyAlignment="1" applyProtection="1">
      <alignment horizontal="center"/>
      <protection/>
    </xf>
    <xf numFmtId="4" fontId="71" fillId="39" borderId="21" xfId="68" applyNumberFormat="1" applyFont="1" applyFill="1" applyBorder="1" applyAlignment="1">
      <alignment horizontal="center"/>
      <protection/>
    </xf>
    <xf numFmtId="4" fontId="72" fillId="36" borderId="21" xfId="68" applyNumberFormat="1" applyFont="1" applyFill="1" applyBorder="1" applyAlignment="1">
      <alignment horizontal="center"/>
      <protection/>
    </xf>
    <xf numFmtId="4" fontId="52" fillId="37" borderId="54" xfId="68" applyNumberFormat="1" applyFont="1" applyFill="1" applyBorder="1" applyAlignment="1">
      <alignment horizontal="center"/>
      <protection/>
    </xf>
    <xf numFmtId="4" fontId="52" fillId="37" borderId="17" xfId="68" applyNumberFormat="1" applyFont="1" applyFill="1" applyBorder="1" applyAlignment="1">
      <alignment horizontal="center"/>
      <protection/>
    </xf>
    <xf numFmtId="4" fontId="73" fillId="43" borderId="54" xfId="68" applyNumberFormat="1" applyFont="1" applyFill="1" applyBorder="1" applyAlignment="1">
      <alignment horizontal="center"/>
      <protection/>
    </xf>
    <xf numFmtId="4" fontId="73" fillId="43" borderId="55" xfId="68" applyNumberFormat="1" applyFont="1" applyFill="1" applyBorder="1" applyAlignment="1">
      <alignment horizontal="center"/>
      <protection/>
    </xf>
    <xf numFmtId="4" fontId="50" fillId="44" borderId="54" xfId="68" applyNumberFormat="1" applyFont="1" applyFill="1" applyBorder="1" applyAlignment="1">
      <alignment horizontal="center"/>
      <protection/>
    </xf>
    <xf numFmtId="4" fontId="74" fillId="39" borderId="55" xfId="68" applyNumberFormat="1" applyFont="1" applyFill="1" applyBorder="1" applyAlignment="1">
      <alignment horizontal="center"/>
      <protection/>
    </xf>
    <xf numFmtId="7" fontId="77" fillId="37" borderId="21" xfId="68" applyNumberFormat="1" applyFont="1" applyFill="1" applyBorder="1" applyAlignment="1">
      <alignment horizontal="right"/>
      <protection/>
    </xf>
    <xf numFmtId="7" fontId="77" fillId="0" borderId="21" xfId="68" applyNumberFormat="1" applyFont="1" applyFill="1" applyBorder="1" applyAlignment="1">
      <alignment horizontal="right"/>
      <protection/>
    </xf>
    <xf numFmtId="0" fontId="13" fillId="0" borderId="18" xfId="68" applyFont="1" applyFill="1" applyBorder="1">
      <alignment/>
      <protection/>
    </xf>
    <xf numFmtId="0" fontId="13" fillId="0" borderId="19" xfId="68" applyFont="1" applyFill="1" applyBorder="1">
      <alignment/>
      <protection/>
    </xf>
    <xf numFmtId="0" fontId="13" fillId="0" borderId="20" xfId="68" applyFont="1" applyFill="1" applyBorder="1">
      <alignment/>
      <protection/>
    </xf>
    <xf numFmtId="0" fontId="3" fillId="0" borderId="0" xfId="68" applyFill="1">
      <alignment/>
      <protection/>
    </xf>
    <xf numFmtId="0" fontId="0" fillId="0" borderId="0" xfId="68" applyFont="1">
      <alignment/>
      <protection/>
    </xf>
    <xf numFmtId="0" fontId="104" fillId="0" borderId="41" xfId="72" applyFont="1" applyBorder="1" applyAlignment="1">
      <alignment horizontal="left"/>
      <protection/>
    </xf>
    <xf numFmtId="176" fontId="13" fillId="0" borderId="47" xfId="73" applyNumberFormat="1" applyFont="1" applyBorder="1" applyAlignment="1" applyProtection="1">
      <alignment horizontal="center"/>
      <protection/>
    </xf>
    <xf numFmtId="22" fontId="13" fillId="0" borderId="30" xfId="73" applyNumberFormat="1" applyFont="1" applyBorder="1" applyAlignment="1" applyProtection="1">
      <alignment horizontal="center"/>
      <protection locked="0"/>
    </xf>
    <xf numFmtId="0" fontId="75" fillId="0" borderId="60" xfId="73" applyFont="1" applyBorder="1" applyAlignment="1" applyProtection="1">
      <alignment horizontal="center"/>
      <protection locked="0"/>
    </xf>
    <xf numFmtId="0" fontId="75" fillId="0" borderId="33" xfId="73" applyFont="1" applyBorder="1" applyAlignment="1" applyProtection="1">
      <alignment horizontal="center"/>
      <protection locked="0"/>
    </xf>
    <xf numFmtId="0" fontId="13" fillId="0" borderId="0" xfId="67" applyFont="1" applyFill="1">
      <alignment/>
      <protection/>
    </xf>
    <xf numFmtId="0" fontId="13" fillId="0" borderId="0" xfId="67" applyFont="1">
      <alignment/>
      <protection/>
    </xf>
    <xf numFmtId="0" fontId="3" fillId="0" borderId="0" xfId="67">
      <alignment/>
      <protection/>
    </xf>
    <xf numFmtId="0" fontId="11" fillId="0" borderId="0" xfId="67" applyFont="1" applyAlignment="1">
      <alignment horizontal="right" vertical="top"/>
      <protection/>
    </xf>
    <xf numFmtId="0" fontId="82" fillId="0" borderId="0" xfId="67" applyFont="1" applyFill="1">
      <alignment/>
      <protection/>
    </xf>
    <xf numFmtId="0" fontId="83" fillId="0" borderId="0" xfId="67" applyFont="1" applyAlignment="1">
      <alignment horizontal="centerContinuous"/>
      <protection/>
    </xf>
    <xf numFmtId="0" fontId="82" fillId="0" borderId="0" xfId="67" applyFont="1" applyAlignment="1">
      <alignment horizontal="centerContinuous"/>
      <protection/>
    </xf>
    <xf numFmtId="0" fontId="82" fillId="0" borderId="0" xfId="67" applyFont="1">
      <alignment/>
      <protection/>
    </xf>
    <xf numFmtId="0" fontId="6" fillId="0" borderId="0" xfId="67" applyFont="1" applyFill="1" applyBorder="1" applyAlignment="1" applyProtection="1">
      <alignment horizontal="center"/>
      <protection/>
    </xf>
    <xf numFmtId="0" fontId="6" fillId="0" borderId="0" xfId="67" applyFont="1" applyFill="1" applyBorder="1" applyAlignment="1" applyProtection="1">
      <alignment horizontal="left"/>
      <protection/>
    </xf>
    <xf numFmtId="0" fontId="14" fillId="0" borderId="0" xfId="67" applyFont="1">
      <alignment/>
      <protection/>
    </xf>
    <xf numFmtId="0" fontId="13" fillId="0" borderId="11" xfId="67" applyFont="1" applyBorder="1">
      <alignment/>
      <protection/>
    </xf>
    <xf numFmtId="0" fontId="13" fillId="0" borderId="12" xfId="67" applyFont="1" applyBorder="1">
      <alignment/>
      <protection/>
    </xf>
    <xf numFmtId="0" fontId="13" fillId="0" borderId="12" xfId="67" applyFont="1" applyBorder="1" applyAlignment="1" applyProtection="1">
      <alignment horizontal="left"/>
      <protection/>
    </xf>
    <xf numFmtId="0" fontId="3" fillId="0" borderId="12" xfId="67" applyBorder="1">
      <alignment/>
      <protection/>
    </xf>
    <xf numFmtId="0" fontId="13" fillId="0" borderId="13" xfId="67" applyFont="1" applyFill="1" applyBorder="1">
      <alignment/>
      <protection/>
    </xf>
    <xf numFmtId="0" fontId="13" fillId="0" borderId="14" xfId="67" applyFont="1" applyBorder="1">
      <alignment/>
      <protection/>
    </xf>
    <xf numFmtId="0" fontId="13" fillId="0" borderId="0" xfId="67" applyFont="1" applyBorder="1">
      <alignment/>
      <protection/>
    </xf>
    <xf numFmtId="0" fontId="20" fillId="0" borderId="0" xfId="67" applyFont="1" applyBorder="1" applyAlignment="1">
      <alignment horizontal="left"/>
      <protection/>
    </xf>
    <xf numFmtId="0" fontId="19" fillId="0" borderId="0" xfId="67" applyFont="1" applyBorder="1">
      <alignment/>
      <protection/>
    </xf>
    <xf numFmtId="0" fontId="13" fillId="0" borderId="15" xfId="67" applyFont="1" applyFill="1" applyBorder="1">
      <alignment/>
      <protection/>
    </xf>
    <xf numFmtId="0" fontId="23" fillId="0" borderId="0" xfId="67" applyFont="1">
      <alignment/>
      <protection/>
    </xf>
    <xf numFmtId="0" fontId="23" fillId="0" borderId="14" xfId="67" applyFont="1" applyBorder="1">
      <alignment/>
      <protection/>
    </xf>
    <xf numFmtId="0" fontId="23" fillId="0" borderId="0" xfId="67" applyFont="1" applyBorder="1">
      <alignment/>
      <protection/>
    </xf>
    <xf numFmtId="0" fontId="17" fillId="0" borderId="0" xfId="67" applyFont="1" applyBorder="1">
      <alignment/>
      <protection/>
    </xf>
    <xf numFmtId="0" fontId="23" fillId="0" borderId="15" xfId="67" applyFont="1" applyFill="1" applyBorder="1">
      <alignment/>
      <protection/>
    </xf>
    <xf numFmtId="0" fontId="13" fillId="0" borderId="0" xfId="67" applyFont="1" applyBorder="1" applyProtection="1">
      <alignment/>
      <protection/>
    </xf>
    <xf numFmtId="0" fontId="24" fillId="0" borderId="14" xfId="67" applyFont="1" applyBorder="1" applyAlignment="1">
      <alignment horizontal="centerContinuous"/>
      <protection/>
    </xf>
    <xf numFmtId="0" fontId="3" fillId="0" borderId="0" xfId="67" applyNumberFormat="1" applyAlignment="1">
      <alignment horizontal="centerContinuous"/>
      <protection/>
    </xf>
    <xf numFmtId="0" fontId="24" fillId="0" borderId="0" xfId="67" applyFont="1" applyBorder="1" applyAlignment="1">
      <alignment horizontal="centerContinuous"/>
      <protection/>
    </xf>
    <xf numFmtId="0" fontId="23" fillId="0" borderId="0" xfId="67" applyFont="1" applyBorder="1" applyAlignment="1">
      <alignment horizontal="centerContinuous"/>
      <protection/>
    </xf>
    <xf numFmtId="0" fontId="3" fillId="0" borderId="0" xfId="67" applyAlignment="1">
      <alignment horizontal="centerContinuous"/>
      <protection/>
    </xf>
    <xf numFmtId="0" fontId="23" fillId="0" borderId="0" xfId="67" applyFont="1" applyAlignment="1">
      <alignment horizontal="centerContinuous"/>
      <protection/>
    </xf>
    <xf numFmtId="0" fontId="23" fillId="0" borderId="0" xfId="67" applyFont="1" applyAlignment="1">
      <alignment/>
      <protection/>
    </xf>
    <xf numFmtId="0" fontId="23" fillId="0" borderId="15" xfId="67" applyFont="1" applyBorder="1" applyAlignment="1">
      <alignment horizontal="centerContinuous"/>
      <protection/>
    </xf>
    <xf numFmtId="0" fontId="13" fillId="0" borderId="0" xfId="67" applyFont="1" applyBorder="1" applyAlignment="1">
      <alignment horizontal="center"/>
      <protection/>
    </xf>
    <xf numFmtId="0" fontId="107" fillId="0" borderId="0" xfId="67" applyFont="1" applyBorder="1" applyAlignment="1" quotePrefix="1">
      <alignment horizontal="left"/>
      <protection/>
    </xf>
    <xf numFmtId="176" fontId="48" fillId="0" borderId="0" xfId="67" applyNumberFormat="1" applyFont="1" applyBorder="1" applyAlignment="1" applyProtection="1">
      <alignment horizontal="left"/>
      <protection/>
    </xf>
    <xf numFmtId="0" fontId="3" fillId="0" borderId="0" xfId="67" applyBorder="1">
      <alignment/>
      <protection/>
    </xf>
    <xf numFmtId="0" fontId="10" fillId="0" borderId="0" xfId="67" applyFont="1" applyBorder="1" applyAlignment="1">
      <alignment horizontal="center"/>
      <protection/>
    </xf>
    <xf numFmtId="0" fontId="10" fillId="0" borderId="0" xfId="67" applyFont="1" applyBorder="1">
      <alignment/>
      <protection/>
    </xf>
    <xf numFmtId="0" fontId="21" fillId="0" borderId="0" xfId="67" applyFont="1">
      <alignment/>
      <protection/>
    </xf>
    <xf numFmtId="0" fontId="21" fillId="0" borderId="14" xfId="67" applyFont="1" applyBorder="1">
      <alignment/>
      <protection/>
    </xf>
    <xf numFmtId="0" fontId="21" fillId="0" borderId="0" xfId="67" applyFont="1" applyBorder="1">
      <alignment/>
      <protection/>
    </xf>
    <xf numFmtId="0" fontId="21" fillId="0" borderId="0" xfId="67" applyFont="1" applyBorder="1" applyAlignment="1">
      <alignment horizontal="right"/>
      <protection/>
    </xf>
    <xf numFmtId="7" fontId="21" fillId="0" borderId="0" xfId="67" applyNumberFormat="1" applyFont="1" applyBorder="1" applyAlignment="1">
      <alignment horizontal="center"/>
      <protection/>
    </xf>
    <xf numFmtId="0" fontId="21" fillId="0" borderId="0" xfId="67" applyFont="1" applyBorder="1" applyAlignment="1">
      <alignment horizontal="center"/>
      <protection/>
    </xf>
    <xf numFmtId="0" fontId="84" fillId="0" borderId="0" xfId="67" applyFont="1" applyBorder="1" applyAlignment="1" quotePrefix="1">
      <alignment horizontal="left"/>
      <protection/>
    </xf>
    <xf numFmtId="0" fontId="21" fillId="0" borderId="15" xfId="67" applyFont="1" applyFill="1" applyBorder="1">
      <alignment/>
      <protection/>
    </xf>
    <xf numFmtId="0" fontId="21" fillId="0" borderId="0" xfId="67" applyFont="1" applyBorder="1" applyAlignment="1" applyProtection="1">
      <alignment horizontal="left"/>
      <protection/>
    </xf>
    <xf numFmtId="182" fontId="21" fillId="0" borderId="0" xfId="67" applyNumberFormat="1" applyFont="1" applyBorder="1" applyAlignment="1">
      <alignment horizontal="center"/>
      <protection/>
    </xf>
    <xf numFmtId="176" fontId="21" fillId="0" borderId="0" xfId="67" applyNumberFormat="1" applyFont="1" applyBorder="1" applyAlignment="1" applyProtection="1">
      <alignment horizontal="left"/>
      <protection/>
    </xf>
    <xf numFmtId="0" fontId="21" fillId="0" borderId="0" xfId="67" applyFont="1" applyAlignment="1">
      <alignment horizontal="right"/>
      <protection/>
    </xf>
    <xf numFmtId="10" fontId="21" fillId="0" borderId="0" xfId="67" applyNumberFormat="1" applyFont="1" applyBorder="1" applyAlignment="1" applyProtection="1">
      <alignment horizontal="right"/>
      <protection/>
    </xf>
    <xf numFmtId="191" fontId="21" fillId="0" borderId="0" xfId="67" applyNumberFormat="1" applyFont="1" applyBorder="1">
      <alignment/>
      <protection/>
    </xf>
    <xf numFmtId="0" fontId="3" fillId="0" borderId="0" xfId="67" applyFont="1" applyBorder="1" applyAlignment="1" applyProtection="1">
      <alignment horizontal="center"/>
      <protection/>
    </xf>
    <xf numFmtId="182" fontId="3" fillId="0" borderId="0" xfId="67" applyNumberFormat="1" applyFont="1" applyBorder="1" applyAlignment="1">
      <alignment horizontal="centerContinuous"/>
      <protection/>
    </xf>
    <xf numFmtId="0" fontId="21" fillId="0" borderId="0" xfId="67" applyFont="1" applyBorder="1" applyAlignment="1" applyProtection="1">
      <alignment horizontal="center"/>
      <protection/>
    </xf>
    <xf numFmtId="0" fontId="22" fillId="0" borderId="0" xfId="67" applyFont="1" applyBorder="1">
      <alignment/>
      <protection/>
    </xf>
    <xf numFmtId="176" fontId="4" fillId="0" borderId="16" xfId="67" applyNumberFormat="1" applyFont="1" applyBorder="1" applyAlignment="1" applyProtection="1">
      <alignment horizontal="center"/>
      <protection/>
    </xf>
    <xf numFmtId="191" fontId="21" fillId="0" borderId="17" xfId="67" applyNumberFormat="1" applyFont="1" applyBorder="1" applyAlignment="1" applyProtection="1">
      <alignment horizontal="centerContinuous"/>
      <protection/>
    </xf>
    <xf numFmtId="0" fontId="13" fillId="0" borderId="0" xfId="67" applyFont="1" applyBorder="1" applyAlignment="1" applyProtection="1">
      <alignment horizontal="center"/>
      <protection/>
    </xf>
    <xf numFmtId="0" fontId="30" fillId="0" borderId="21" xfId="67" applyFont="1" applyBorder="1" applyAlignment="1">
      <alignment horizontal="center" vertical="center"/>
      <protection/>
    </xf>
    <xf numFmtId="0" fontId="30" fillId="0" borderId="21" xfId="64" applyFont="1" applyBorder="1" applyAlignment="1">
      <alignment horizontal="center" vertical="center"/>
      <protection/>
    </xf>
    <xf numFmtId="172" fontId="30" fillId="0" borderId="17" xfId="67" applyNumberFormat="1" applyFont="1" applyBorder="1" applyAlignment="1" applyProtection="1">
      <alignment horizontal="center" vertical="center" wrapText="1"/>
      <protection/>
    </xf>
    <xf numFmtId="0" fontId="30" fillId="0" borderId="22" xfId="67" applyFont="1" applyBorder="1" applyAlignment="1" applyProtection="1">
      <alignment horizontal="center" vertical="center" wrapText="1"/>
      <protection/>
    </xf>
    <xf numFmtId="176" fontId="30" fillId="0" borderId="21" xfId="67" applyNumberFormat="1" applyFont="1" applyBorder="1" applyAlignment="1" applyProtection="1">
      <alignment horizontal="center" vertical="center"/>
      <protection/>
    </xf>
    <xf numFmtId="176" fontId="60" fillId="37" borderId="21" xfId="67" applyNumberFormat="1" applyFont="1" applyFill="1" applyBorder="1" applyAlignment="1" applyProtection="1">
      <alignment horizontal="center" vertical="center"/>
      <protection/>
    </xf>
    <xf numFmtId="0" fontId="62" fillId="34" borderId="21" xfId="67" applyFont="1" applyFill="1" applyBorder="1" applyAlignment="1" applyProtection="1">
      <alignment horizontal="center" vertical="center"/>
      <protection/>
    </xf>
    <xf numFmtId="0" fontId="30" fillId="0" borderId="21" xfId="67" applyFont="1" applyBorder="1" applyAlignment="1" applyProtection="1">
      <alignment horizontal="center" vertical="center"/>
      <protection/>
    </xf>
    <xf numFmtId="0" fontId="30" fillId="0" borderId="16" xfId="67" applyFont="1" applyBorder="1" applyAlignment="1" applyProtection="1">
      <alignment horizontal="center" vertical="center"/>
      <protection/>
    </xf>
    <xf numFmtId="0" fontId="30" fillId="0" borderId="16" xfId="67" applyFont="1" applyBorder="1" applyAlignment="1" applyProtection="1">
      <alignment horizontal="center" vertical="center" wrapText="1"/>
      <protection/>
    </xf>
    <xf numFmtId="0" fontId="30" fillId="0" borderId="21" xfId="67" applyFont="1" applyBorder="1" applyAlignment="1" applyProtection="1">
      <alignment horizontal="center" vertical="center" wrapText="1"/>
      <protection/>
    </xf>
    <xf numFmtId="0" fontId="62" fillId="42" borderId="21" xfId="67" applyFont="1" applyFill="1" applyBorder="1" applyAlignment="1">
      <alignment horizontal="center" vertical="center" wrapText="1"/>
      <protection/>
    </xf>
    <xf numFmtId="0" fontId="61" fillId="51" borderId="21" xfId="67" applyFont="1" applyFill="1" applyBorder="1" applyAlignment="1">
      <alignment horizontal="center" vertical="center" wrapText="1"/>
      <protection/>
    </xf>
    <xf numFmtId="0" fontId="85" fillId="35" borderId="16" xfId="67" applyFont="1" applyFill="1" applyBorder="1" applyAlignment="1" applyProtection="1">
      <alignment horizontal="centerContinuous" vertical="center" wrapText="1"/>
      <protection/>
    </xf>
    <xf numFmtId="0" fontId="86" fillId="35" borderId="22" xfId="67" applyFont="1" applyFill="1" applyBorder="1" applyAlignment="1">
      <alignment horizontal="centerContinuous"/>
      <protection/>
    </xf>
    <xf numFmtId="0" fontId="85" fillId="35" borderId="17" xfId="67" applyFont="1" applyFill="1" applyBorder="1" applyAlignment="1">
      <alignment horizontal="centerContinuous" vertical="center"/>
      <protection/>
    </xf>
    <xf numFmtId="0" fontId="62" fillId="52" borderId="16" xfId="67" applyFont="1" applyFill="1" applyBorder="1" applyAlignment="1">
      <alignment horizontal="centerContinuous" vertical="center" wrapText="1"/>
      <protection/>
    </xf>
    <xf numFmtId="0" fontId="87" fillId="52" borderId="22" xfId="67" applyFont="1" applyFill="1" applyBorder="1" applyAlignment="1">
      <alignment horizontal="centerContinuous"/>
      <protection/>
    </xf>
    <xf numFmtId="0" fontId="62" fillId="52" borderId="17" xfId="67" applyFont="1" applyFill="1" applyBorder="1" applyAlignment="1">
      <alignment horizontal="centerContinuous" vertical="center"/>
      <protection/>
    </xf>
    <xf numFmtId="0" fontId="62" fillId="39" borderId="21" xfId="67" applyFont="1" applyFill="1" applyBorder="1" applyAlignment="1">
      <alignment horizontal="centerContinuous" vertical="center" wrapText="1"/>
      <protection/>
    </xf>
    <xf numFmtId="0" fontId="62" fillId="53" borderId="21" xfId="67" applyFont="1" applyFill="1" applyBorder="1" applyAlignment="1">
      <alignment horizontal="centerContinuous" vertical="center" wrapText="1"/>
      <protection/>
    </xf>
    <xf numFmtId="0" fontId="30" fillId="0" borderId="17" xfId="67" applyFont="1" applyBorder="1" applyAlignment="1">
      <alignment horizontal="center" vertical="center" wrapText="1"/>
      <protection/>
    </xf>
    <xf numFmtId="0" fontId="30" fillId="0" borderId="21" xfId="67" applyFont="1" applyFill="1" applyBorder="1" applyAlignment="1">
      <alignment horizontal="center" vertical="center" wrapText="1"/>
      <protection/>
    </xf>
    <xf numFmtId="0" fontId="13" fillId="0" borderId="15" xfId="67" applyFont="1" applyFill="1" applyBorder="1" applyAlignment="1">
      <alignment horizontal="center"/>
      <protection/>
    </xf>
    <xf numFmtId="0" fontId="13" fillId="0" borderId="28" xfId="67" applyFont="1" applyBorder="1" applyAlignment="1">
      <alignment horizontal="center"/>
      <protection/>
    </xf>
    <xf numFmtId="0" fontId="21" fillId="0" borderId="28" xfId="67" applyFont="1" applyBorder="1">
      <alignment/>
      <protection/>
    </xf>
    <xf numFmtId="172" fontId="21" fillId="0" borderId="29" xfId="67" applyNumberFormat="1" applyFont="1" applyBorder="1" applyProtection="1">
      <alignment/>
      <protection/>
    </xf>
    <xf numFmtId="172" fontId="21" fillId="0" borderId="28" xfId="67" applyNumberFormat="1" applyFont="1" applyBorder="1" applyAlignment="1" applyProtection="1">
      <alignment horizontal="center"/>
      <protection/>
    </xf>
    <xf numFmtId="172" fontId="21" fillId="0" borderId="23" xfId="67" applyNumberFormat="1" applyFont="1" applyBorder="1" applyAlignment="1" applyProtection="1">
      <alignment horizontal="center"/>
      <protection/>
    </xf>
    <xf numFmtId="172" fontId="114" fillId="37" borderId="23" xfId="67" applyNumberFormat="1" applyFont="1" applyFill="1" applyBorder="1" applyAlignment="1" applyProtection="1">
      <alignment horizontal="center"/>
      <protection/>
    </xf>
    <xf numFmtId="0" fontId="108" fillId="34" borderId="23" xfId="67" applyFont="1" applyFill="1" applyBorder="1" applyAlignment="1">
      <alignment horizontal="center"/>
      <protection/>
    </xf>
    <xf numFmtId="0" fontId="21" fillId="0" borderId="23" xfId="67" applyFont="1" applyBorder="1" applyAlignment="1">
      <alignment horizontal="center"/>
      <protection/>
    </xf>
    <xf numFmtId="0" fontId="21" fillId="0" borderId="74" xfId="67" applyFont="1" applyBorder="1" applyAlignment="1">
      <alignment horizontal="center"/>
      <protection/>
    </xf>
    <xf numFmtId="0" fontId="13" fillId="0" borderId="29" xfId="67" applyFont="1" applyBorder="1" applyAlignment="1">
      <alignment horizontal="center"/>
      <protection/>
    </xf>
    <xf numFmtId="0" fontId="13" fillId="0" borderId="23" xfId="67" applyFont="1" applyBorder="1" applyAlignment="1">
      <alignment horizontal="center"/>
      <protection/>
    </xf>
    <xf numFmtId="0" fontId="64" fillId="42" borderId="23" xfId="67" applyFont="1" applyFill="1" applyBorder="1" applyAlignment="1">
      <alignment horizontal="center"/>
      <protection/>
    </xf>
    <xf numFmtId="0" fontId="81" fillId="51" borderId="23" xfId="67" applyFont="1" applyFill="1" applyBorder="1" applyAlignment="1">
      <alignment horizontal="center"/>
      <protection/>
    </xf>
    <xf numFmtId="176" fontId="88" fillId="35" borderId="24" xfId="67" applyNumberFormat="1" applyFont="1" applyFill="1" applyBorder="1" applyAlignment="1" applyProtection="1" quotePrefix="1">
      <alignment horizontal="center"/>
      <protection/>
    </xf>
    <xf numFmtId="176" fontId="88" fillId="35" borderId="75" xfId="67" applyNumberFormat="1" applyFont="1" applyFill="1" applyBorder="1" applyAlignment="1" applyProtection="1" quotePrefix="1">
      <alignment horizontal="center"/>
      <protection/>
    </xf>
    <xf numFmtId="4" fontId="88" fillId="35" borderId="70" xfId="67" applyNumberFormat="1" applyFont="1" applyFill="1" applyBorder="1" applyAlignment="1" applyProtection="1">
      <alignment horizontal="center"/>
      <protection/>
    </xf>
    <xf numFmtId="176" fontId="64" fillId="52" borderId="24" xfId="67" applyNumberFormat="1" applyFont="1" applyFill="1" applyBorder="1" applyAlignment="1" applyProtection="1" quotePrefix="1">
      <alignment horizontal="center"/>
      <protection/>
    </xf>
    <xf numFmtId="176" fontId="64" fillId="52" borderId="75" xfId="67" applyNumberFormat="1" applyFont="1" applyFill="1" applyBorder="1" applyAlignment="1" applyProtection="1" quotePrefix="1">
      <alignment horizontal="center"/>
      <protection/>
    </xf>
    <xf numFmtId="4" fontId="64" fillId="52" borderId="70" xfId="67" applyNumberFormat="1" applyFont="1" applyFill="1" applyBorder="1" applyAlignment="1" applyProtection="1">
      <alignment horizontal="center"/>
      <protection/>
    </xf>
    <xf numFmtId="4" fontId="64" fillId="39" borderId="23" xfId="67" applyNumberFormat="1" applyFont="1" applyFill="1" applyBorder="1" applyAlignment="1" applyProtection="1">
      <alignment horizontal="center"/>
      <protection/>
    </xf>
    <xf numFmtId="4" fontId="64" fillId="53" borderId="23" xfId="67" applyNumberFormat="1" applyFont="1" applyFill="1" applyBorder="1" applyAlignment="1" applyProtection="1">
      <alignment horizontal="center"/>
      <protection/>
    </xf>
    <xf numFmtId="0" fontId="13" fillId="0" borderId="70" xfId="67" applyFont="1" applyBorder="1" applyAlignment="1">
      <alignment horizontal="left"/>
      <protection/>
    </xf>
    <xf numFmtId="0" fontId="48" fillId="0" borderId="70" xfId="67" applyFont="1" applyBorder="1" applyAlignment="1">
      <alignment horizontal="center"/>
      <protection/>
    </xf>
    <xf numFmtId="0" fontId="13" fillId="0" borderId="28" xfId="73" applyFont="1" applyBorder="1" applyAlignment="1">
      <alignment horizontal="center"/>
      <protection/>
    </xf>
    <xf numFmtId="172" fontId="13" fillId="0" borderId="29" xfId="73" applyNumberFormat="1" applyFont="1" applyBorder="1" applyAlignment="1" applyProtection="1">
      <alignment horizontal="center"/>
      <protection/>
    </xf>
    <xf numFmtId="173" fontId="13" fillId="0" borderId="28" xfId="73" applyNumberFormat="1" applyFont="1" applyBorder="1" applyAlignment="1" applyProtection="1">
      <alignment horizontal="center"/>
      <protection/>
    </xf>
    <xf numFmtId="172" fontId="13" fillId="0" borderId="28" xfId="73" applyNumberFormat="1" applyFont="1" applyBorder="1" applyAlignment="1" applyProtection="1">
      <alignment horizontal="center"/>
      <protection/>
    </xf>
    <xf numFmtId="0" fontId="114" fillId="37" borderId="28" xfId="67" applyFont="1" applyFill="1" applyBorder="1" applyAlignment="1" applyProtection="1">
      <alignment horizontal="center"/>
      <protection/>
    </xf>
    <xf numFmtId="176" fontId="108" fillId="34" borderId="28" xfId="67" applyNumberFormat="1" applyFont="1" applyFill="1" applyBorder="1" applyAlignment="1" applyProtection="1">
      <alignment horizontal="center"/>
      <protection/>
    </xf>
    <xf numFmtId="22" fontId="13" fillId="0" borderId="28" xfId="73" applyNumberFormat="1" applyFont="1" applyBorder="1" applyAlignment="1">
      <alignment horizontal="center"/>
      <protection/>
    </xf>
    <xf numFmtId="22" fontId="13" fillId="0" borderId="32" xfId="73" applyNumberFormat="1" applyFont="1" applyBorder="1" applyAlignment="1">
      <alignment horizontal="center"/>
      <protection/>
    </xf>
    <xf numFmtId="4" fontId="13" fillId="0" borderId="28" xfId="67" applyNumberFormat="1" applyFont="1" applyFill="1" applyBorder="1" applyAlignment="1" applyProtection="1" quotePrefix="1">
      <alignment horizontal="center"/>
      <protection/>
    </xf>
    <xf numFmtId="172" fontId="13" fillId="0" borderId="28" xfId="67" applyNumberFormat="1" applyFont="1" applyFill="1" applyBorder="1" applyAlignment="1" applyProtection="1" quotePrefix="1">
      <alignment horizontal="center"/>
      <protection/>
    </xf>
    <xf numFmtId="176" fontId="13" fillId="0" borderId="29" xfId="73" applyNumberFormat="1" applyFont="1" applyBorder="1" applyAlignment="1" applyProtection="1">
      <alignment horizontal="center"/>
      <protection/>
    </xf>
    <xf numFmtId="181" fontId="13" fillId="0" borderId="29" xfId="67" applyNumberFormat="1" applyFont="1" applyBorder="1" applyAlignment="1" applyProtection="1" quotePrefix="1">
      <alignment horizontal="center"/>
      <protection/>
    </xf>
    <xf numFmtId="176" fontId="13" fillId="0" borderId="28" xfId="67" applyNumberFormat="1" applyFont="1" applyBorder="1" applyAlignment="1" applyProtection="1">
      <alignment horizontal="center"/>
      <protection/>
    </xf>
    <xf numFmtId="2" fontId="64" fillId="42" borderId="28" xfId="67" applyNumberFormat="1" applyFont="1" applyFill="1" applyBorder="1" applyAlignment="1" applyProtection="1">
      <alignment horizontal="center"/>
      <protection/>
    </xf>
    <xf numFmtId="2" fontId="81" fillId="51" borderId="28" xfId="67" applyNumberFormat="1" applyFont="1" applyFill="1" applyBorder="1" applyAlignment="1" applyProtection="1">
      <alignment horizontal="center"/>
      <protection/>
    </xf>
    <xf numFmtId="176" fontId="88" fillId="35" borderId="30" xfId="67" applyNumberFormat="1" applyFont="1" applyFill="1" applyBorder="1" applyAlignment="1" applyProtection="1" quotePrefix="1">
      <alignment horizontal="center"/>
      <protection/>
    </xf>
    <xf numFmtId="176" fontId="88" fillId="35" borderId="31" xfId="67" applyNumberFormat="1" applyFont="1" applyFill="1" applyBorder="1" applyAlignment="1" applyProtection="1" quotePrefix="1">
      <alignment horizontal="center"/>
      <protection/>
    </xf>
    <xf numFmtId="4" fontId="88" fillId="35" borderId="29" xfId="67" applyNumberFormat="1" applyFont="1" applyFill="1" applyBorder="1" applyAlignment="1" applyProtection="1">
      <alignment horizontal="center"/>
      <protection/>
    </xf>
    <xf numFmtId="176" fontId="64" fillId="52" borderId="30" xfId="67" applyNumberFormat="1" applyFont="1" applyFill="1" applyBorder="1" applyAlignment="1" applyProtection="1" quotePrefix="1">
      <alignment horizontal="center"/>
      <protection/>
    </xf>
    <xf numFmtId="176" fontId="64" fillId="52" borderId="31" xfId="67" applyNumberFormat="1" applyFont="1" applyFill="1" applyBorder="1" applyAlignment="1" applyProtection="1" quotePrefix="1">
      <alignment horizontal="center"/>
      <protection/>
    </xf>
    <xf numFmtId="4" fontId="64" fillId="52" borderId="29" xfId="67" applyNumberFormat="1" applyFont="1" applyFill="1" applyBorder="1" applyAlignment="1" applyProtection="1">
      <alignment horizontal="center"/>
      <protection/>
    </xf>
    <xf numFmtId="4" fontId="64" fillId="39" borderId="28" xfId="67" applyNumberFormat="1" applyFont="1" applyFill="1" applyBorder="1" applyAlignment="1" applyProtection="1">
      <alignment horizontal="center"/>
      <protection/>
    </xf>
    <xf numFmtId="4" fontId="64" fillId="53" borderId="28" xfId="67" applyNumberFormat="1" applyFont="1" applyFill="1" applyBorder="1" applyAlignment="1" applyProtection="1">
      <alignment horizontal="center"/>
      <protection/>
    </xf>
    <xf numFmtId="4" fontId="13" fillId="0" borderId="29" xfId="67" applyNumberFormat="1" applyFont="1" applyBorder="1" applyAlignment="1" applyProtection="1">
      <alignment horizontal="center"/>
      <protection/>
    </xf>
    <xf numFmtId="4" fontId="48" fillId="0" borderId="29" xfId="67" applyNumberFormat="1" applyFont="1" applyFill="1" applyBorder="1" applyAlignment="1">
      <alignment horizontal="right"/>
      <protection/>
    </xf>
    <xf numFmtId="4" fontId="13" fillId="0" borderId="15" xfId="67" applyNumberFormat="1" applyFont="1" applyFill="1" applyBorder="1" applyAlignment="1">
      <alignment horizontal="center"/>
      <protection/>
    </xf>
    <xf numFmtId="0" fontId="13" fillId="0" borderId="36" xfId="67" applyFont="1" applyFill="1" applyBorder="1" applyAlignment="1">
      <alignment horizontal="center"/>
      <protection/>
    </xf>
    <xf numFmtId="0" fontId="21" fillId="0" borderId="36" xfId="67" applyFont="1" applyBorder="1" applyAlignment="1">
      <alignment horizontal="center"/>
      <protection/>
    </xf>
    <xf numFmtId="172" fontId="89" fillId="0" borderId="36" xfId="67" applyNumberFormat="1" applyFont="1" applyBorder="1" applyAlignment="1" applyProtection="1">
      <alignment horizontal="center"/>
      <protection/>
    </xf>
    <xf numFmtId="0" fontId="21" fillId="0" borderId="36" xfId="67" applyFont="1" applyBorder="1" applyAlignment="1" applyProtection="1">
      <alignment horizontal="center"/>
      <protection/>
    </xf>
    <xf numFmtId="173" fontId="21" fillId="0" borderId="36" xfId="67" applyNumberFormat="1" applyFont="1" applyBorder="1" applyAlignment="1" applyProtection="1">
      <alignment horizontal="center"/>
      <protection/>
    </xf>
    <xf numFmtId="173" fontId="114" fillId="37" borderId="36" xfId="67" applyNumberFormat="1" applyFont="1" applyFill="1" applyBorder="1" applyAlignment="1" applyProtection="1">
      <alignment horizontal="center"/>
      <protection/>
    </xf>
    <xf numFmtId="176" fontId="108" fillId="34" borderId="36" xfId="67" applyNumberFormat="1" applyFont="1" applyFill="1" applyBorder="1" applyAlignment="1" applyProtection="1">
      <alignment horizontal="center"/>
      <protection/>
    </xf>
    <xf numFmtId="176" fontId="21" fillId="0" borderId="36" xfId="67" applyNumberFormat="1" applyFont="1" applyBorder="1" applyAlignment="1" applyProtection="1">
      <alignment horizontal="center"/>
      <protection/>
    </xf>
    <xf numFmtId="176" fontId="13" fillId="0" borderId="36" xfId="67" applyNumberFormat="1" applyFont="1" applyBorder="1" applyAlignment="1" applyProtection="1">
      <alignment horizontal="center"/>
      <protection/>
    </xf>
    <xf numFmtId="181" fontId="13" fillId="0" borderId="36" xfId="67" applyNumberFormat="1" applyFont="1" applyBorder="1" applyAlignment="1" applyProtection="1" quotePrefix="1">
      <alignment horizontal="center"/>
      <protection/>
    </xf>
    <xf numFmtId="2" fontId="64" fillId="42" borderId="36" xfId="67" applyNumberFormat="1" applyFont="1" applyFill="1" applyBorder="1" applyAlignment="1" applyProtection="1">
      <alignment horizontal="center"/>
      <protection/>
    </xf>
    <xf numFmtId="2" fontId="81" fillId="51" borderId="36" xfId="67" applyNumberFormat="1" applyFont="1" applyFill="1" applyBorder="1" applyAlignment="1" applyProtection="1">
      <alignment horizontal="center"/>
      <protection/>
    </xf>
    <xf numFmtId="176" fontId="88" fillId="35" borderId="37" xfId="67" applyNumberFormat="1" applyFont="1" applyFill="1" applyBorder="1" applyAlignment="1" applyProtection="1" quotePrefix="1">
      <alignment horizontal="center"/>
      <protection/>
    </xf>
    <xf numFmtId="176" fontId="88" fillId="35" borderId="76" xfId="67" applyNumberFormat="1" applyFont="1" applyFill="1" applyBorder="1" applyAlignment="1" applyProtection="1" quotePrefix="1">
      <alignment horizontal="center"/>
      <protection/>
    </xf>
    <xf numFmtId="4" fontId="88" fillId="35" borderId="50" xfId="67" applyNumberFormat="1" applyFont="1" applyFill="1" applyBorder="1" applyAlignment="1" applyProtection="1">
      <alignment horizontal="center"/>
      <protection/>
    </xf>
    <xf numFmtId="176" fontId="64" fillId="52" borderId="37" xfId="67" applyNumberFormat="1" applyFont="1" applyFill="1" applyBorder="1" applyAlignment="1" applyProtection="1" quotePrefix="1">
      <alignment horizontal="center"/>
      <protection/>
    </xf>
    <xf numFmtId="176" fontId="64" fillId="52" borderId="76" xfId="67" applyNumberFormat="1" applyFont="1" applyFill="1" applyBorder="1" applyAlignment="1" applyProtection="1" quotePrefix="1">
      <alignment horizontal="center"/>
      <protection/>
    </xf>
    <xf numFmtId="4" fontId="64" fillId="52" borderId="50" xfId="67" applyNumberFormat="1" applyFont="1" applyFill="1" applyBorder="1" applyAlignment="1" applyProtection="1">
      <alignment horizontal="center"/>
      <protection/>
    </xf>
    <xf numFmtId="4" fontId="64" fillId="39" borderId="36" xfId="67" applyNumberFormat="1" applyFont="1" applyFill="1" applyBorder="1" applyAlignment="1" applyProtection="1">
      <alignment horizontal="center"/>
      <protection/>
    </xf>
    <xf numFmtId="4" fontId="64" fillId="53" borderId="36" xfId="67" applyNumberFormat="1" applyFont="1" applyFill="1" applyBorder="1" applyAlignment="1" applyProtection="1">
      <alignment horizontal="center"/>
      <protection/>
    </xf>
    <xf numFmtId="4" fontId="49" fillId="0" borderId="36" xfId="67" applyNumberFormat="1" applyFont="1" applyBorder="1" applyAlignment="1" applyProtection="1">
      <alignment horizontal="center"/>
      <protection/>
    </xf>
    <xf numFmtId="176" fontId="65" fillId="0" borderId="36" xfId="67" applyNumberFormat="1" applyFont="1" applyFill="1" applyBorder="1" applyAlignment="1">
      <alignment horizontal="center"/>
      <protection/>
    </xf>
    <xf numFmtId="172" fontId="89" fillId="0" borderId="0" xfId="67" applyNumberFormat="1" applyFont="1" applyBorder="1" applyAlignment="1" applyProtection="1">
      <alignment horizontal="center"/>
      <protection/>
    </xf>
    <xf numFmtId="173" fontId="21" fillId="0" borderId="0" xfId="67" applyNumberFormat="1" applyFont="1" applyBorder="1" applyAlignment="1" applyProtection="1">
      <alignment horizontal="center"/>
      <protection/>
    </xf>
    <xf numFmtId="176" fontId="21" fillId="0" borderId="0" xfId="67" applyNumberFormat="1" applyFont="1" applyBorder="1" applyAlignment="1" applyProtection="1">
      <alignment horizontal="center"/>
      <protection/>
    </xf>
    <xf numFmtId="181" fontId="21" fillId="0" borderId="0" xfId="67" applyNumberFormat="1" applyFont="1" applyBorder="1" applyAlignment="1" applyProtection="1" quotePrefix="1">
      <alignment horizontal="center"/>
      <protection/>
    </xf>
    <xf numFmtId="2" fontId="108" fillId="42" borderId="21" xfId="67" applyNumberFormat="1" applyFont="1" applyFill="1" applyBorder="1" applyAlignment="1" applyProtection="1">
      <alignment horizontal="center"/>
      <protection/>
    </xf>
    <xf numFmtId="2" fontId="77" fillId="51" borderId="21" xfId="67" applyNumberFormat="1" applyFont="1" applyFill="1" applyBorder="1" applyAlignment="1" applyProtection="1">
      <alignment horizontal="center"/>
      <protection/>
    </xf>
    <xf numFmtId="2" fontId="109" fillId="35" borderId="21" xfId="67" applyNumberFormat="1" applyFont="1" applyFill="1" applyBorder="1" applyAlignment="1" applyProtection="1">
      <alignment horizontal="center"/>
      <protection/>
    </xf>
    <xf numFmtId="2" fontId="108" fillId="52" borderId="21" xfId="67" applyNumberFormat="1" applyFont="1" applyFill="1" applyBorder="1" applyAlignment="1" applyProtection="1">
      <alignment horizontal="center"/>
      <protection/>
    </xf>
    <xf numFmtId="2" fontId="108" fillId="39" borderId="21" xfId="67" applyNumberFormat="1" applyFont="1" applyFill="1" applyBorder="1" applyAlignment="1" applyProtection="1">
      <alignment horizontal="center"/>
      <protection/>
    </xf>
    <xf numFmtId="2" fontId="108" fillId="53" borderId="21" xfId="67" applyNumberFormat="1" applyFont="1" applyFill="1" applyBorder="1" applyAlignment="1" applyProtection="1">
      <alignment horizontal="center"/>
      <protection/>
    </xf>
    <xf numFmtId="2" fontId="21" fillId="0" borderId="44" xfId="67" applyNumberFormat="1" applyFont="1" applyBorder="1" applyAlignment="1" applyProtection="1">
      <alignment horizontal="center"/>
      <protection/>
    </xf>
    <xf numFmtId="7" fontId="48" fillId="0" borderId="21" xfId="67" applyNumberFormat="1" applyFont="1" applyBorder="1" applyAlignment="1" applyProtection="1">
      <alignment horizontal="right"/>
      <protection/>
    </xf>
    <xf numFmtId="2" fontId="108" fillId="0" borderId="22" xfId="67" applyNumberFormat="1" applyFont="1" applyFill="1" applyBorder="1" applyAlignment="1" applyProtection="1">
      <alignment horizontal="center"/>
      <protection/>
    </xf>
    <xf numFmtId="2" fontId="77" fillId="0" borderId="22" xfId="67" applyNumberFormat="1" applyFont="1" applyFill="1" applyBorder="1" applyAlignment="1" applyProtection="1">
      <alignment horizontal="center"/>
      <protection/>
    </xf>
    <xf numFmtId="2" fontId="109" fillId="0" borderId="22" xfId="67" applyNumberFormat="1" applyFont="1" applyFill="1" applyBorder="1" applyAlignment="1" applyProtection="1">
      <alignment horizontal="center"/>
      <protection/>
    </xf>
    <xf numFmtId="2" fontId="21" fillId="0" borderId="0" xfId="67" applyNumberFormat="1" applyFont="1" applyBorder="1" applyAlignment="1" applyProtection="1">
      <alignment horizontal="center"/>
      <protection/>
    </xf>
    <xf numFmtId="7" fontId="21" fillId="0" borderId="0" xfId="67" applyNumberFormat="1" applyFont="1" applyBorder="1" applyAlignment="1" applyProtection="1">
      <alignment horizontal="center"/>
      <protection/>
    </xf>
    <xf numFmtId="0" fontId="13" fillId="0" borderId="14" xfId="67" applyFont="1" applyFill="1" applyBorder="1">
      <alignment/>
      <protection/>
    </xf>
    <xf numFmtId="0" fontId="30" fillId="0" borderId="21" xfId="67" applyFont="1" applyFill="1" applyBorder="1" applyAlignment="1">
      <alignment horizontal="center" vertical="center"/>
      <protection/>
    </xf>
    <xf numFmtId="0" fontId="30" fillId="0" borderId="21" xfId="67" applyFont="1" applyFill="1" applyBorder="1" applyAlignment="1" applyProtection="1">
      <alignment horizontal="center" vertical="center" wrapText="1"/>
      <protection/>
    </xf>
    <xf numFmtId="0" fontId="30" fillId="0" borderId="21" xfId="67" applyFont="1" applyFill="1" applyBorder="1" applyAlignment="1" applyProtection="1">
      <alignment horizontal="center" vertical="center"/>
      <protection/>
    </xf>
    <xf numFmtId="0" fontId="30" fillId="0" borderId="21" xfId="67" applyFont="1" applyFill="1" applyBorder="1" applyAlignment="1" applyProtection="1" quotePrefix="1">
      <alignment horizontal="center" vertical="center" wrapText="1"/>
      <protection/>
    </xf>
    <xf numFmtId="0" fontId="60" fillId="37" borderId="21" xfId="67" applyFont="1" applyFill="1" applyBorder="1" applyAlignment="1" applyProtection="1">
      <alignment horizontal="center" vertical="center"/>
      <protection/>
    </xf>
    <xf numFmtId="0" fontId="60" fillId="48" borderId="21" xfId="67" applyFont="1" applyFill="1" applyBorder="1" applyAlignment="1" applyProtection="1">
      <alignment horizontal="center" vertical="center"/>
      <protection/>
    </xf>
    <xf numFmtId="0" fontId="30" fillId="0" borderId="16" xfId="67" applyFont="1" applyFill="1" applyBorder="1" applyAlignment="1" applyProtection="1">
      <alignment horizontal="centerContinuous" vertical="center"/>
      <protection/>
    </xf>
    <xf numFmtId="0" fontId="30" fillId="0" borderId="22" xfId="67" applyFont="1" applyFill="1" applyBorder="1" applyAlignment="1" applyProtection="1">
      <alignment horizontal="centerContinuous" vertical="center"/>
      <protection/>
    </xf>
    <xf numFmtId="0" fontId="62" fillId="49" borderId="21" xfId="67" applyFont="1" applyFill="1" applyBorder="1" applyAlignment="1">
      <alignment horizontal="center" vertical="center" wrapText="1"/>
      <protection/>
    </xf>
    <xf numFmtId="0" fontId="62" fillId="50" borderId="16" xfId="67" applyFont="1" applyFill="1" applyBorder="1" applyAlignment="1" applyProtection="1">
      <alignment horizontal="centerContinuous" vertical="center" wrapText="1"/>
      <protection/>
    </xf>
    <xf numFmtId="0" fontId="62" fillId="50" borderId="17" xfId="67" applyFont="1" applyFill="1" applyBorder="1" applyAlignment="1">
      <alignment horizontal="centerContinuous" vertical="center"/>
      <protection/>
    </xf>
    <xf numFmtId="0" fontId="62" fillId="35" borderId="21" xfId="67" applyFont="1" applyFill="1" applyBorder="1" applyAlignment="1">
      <alignment horizontal="centerContinuous" vertical="center" wrapText="1"/>
      <protection/>
    </xf>
    <xf numFmtId="0" fontId="62" fillId="48" borderId="69" xfId="67" applyFont="1" applyFill="1" applyBorder="1" applyAlignment="1">
      <alignment vertical="center" wrapText="1"/>
      <protection/>
    </xf>
    <xf numFmtId="0" fontId="62" fillId="48" borderId="41" xfId="67" applyFont="1" applyFill="1" applyBorder="1" applyAlignment="1">
      <alignment vertical="center" wrapText="1"/>
      <protection/>
    </xf>
    <xf numFmtId="0" fontId="62" fillId="48" borderId="44" xfId="67" applyFont="1" applyFill="1" applyBorder="1" applyAlignment="1">
      <alignment vertical="center" wrapText="1"/>
      <protection/>
    </xf>
    <xf numFmtId="0" fontId="30" fillId="0" borderId="21" xfId="67" applyFont="1" applyBorder="1" applyAlignment="1">
      <alignment horizontal="center" vertical="center" wrapText="1"/>
      <protection/>
    </xf>
    <xf numFmtId="0" fontId="13" fillId="0" borderId="28" xfId="67" applyFont="1" applyFill="1" applyBorder="1" applyAlignment="1">
      <alignment horizontal="center"/>
      <protection/>
    </xf>
    <xf numFmtId="172" fontId="13" fillId="0" borderId="28" xfId="67" applyNumberFormat="1" applyFont="1" applyFill="1" applyBorder="1" applyAlignment="1" applyProtection="1">
      <alignment horizontal="center"/>
      <protection/>
    </xf>
    <xf numFmtId="0" fontId="110" fillId="37" borderId="28" xfId="67" applyFont="1" applyFill="1" applyBorder="1" applyAlignment="1">
      <alignment horizontal="center"/>
      <protection/>
    </xf>
    <xf numFmtId="0" fontId="110" fillId="48" borderId="28" xfId="67" applyFont="1" applyFill="1" applyBorder="1" applyAlignment="1">
      <alignment horizontal="center"/>
      <protection/>
    </xf>
    <xf numFmtId="0" fontId="13" fillId="0" borderId="29" xfId="67" applyFont="1" applyFill="1" applyBorder="1" applyAlignment="1">
      <alignment horizontal="center"/>
      <protection/>
    </xf>
    <xf numFmtId="0" fontId="13" fillId="0" borderId="70" xfId="67" applyFont="1" applyFill="1" applyBorder="1" applyAlignment="1">
      <alignment horizontal="center"/>
      <protection/>
    </xf>
    <xf numFmtId="0" fontId="63" fillId="37" borderId="23" xfId="67" applyFont="1" applyFill="1" applyBorder="1" applyAlignment="1">
      <alignment horizontal="center"/>
      <protection/>
    </xf>
    <xf numFmtId="0" fontId="29" fillId="49" borderId="23" xfId="67" applyFont="1" applyFill="1" applyBorder="1" applyAlignment="1">
      <alignment horizontal="center"/>
      <protection/>
    </xf>
    <xf numFmtId="0" fontId="29" fillId="50" borderId="24" xfId="67" applyFont="1" applyFill="1" applyBorder="1" applyAlignment="1">
      <alignment horizontal="center"/>
      <protection/>
    </xf>
    <xf numFmtId="0" fontId="29" fillId="50" borderId="26" xfId="67" applyFont="1" applyFill="1" applyBorder="1" applyAlignment="1">
      <alignment horizontal="left"/>
      <protection/>
    </xf>
    <xf numFmtId="0" fontId="29" fillId="35" borderId="23" xfId="67" applyFont="1" applyFill="1" applyBorder="1" applyAlignment="1">
      <alignment horizontal="left"/>
      <protection/>
    </xf>
    <xf numFmtId="0" fontId="29" fillId="48" borderId="58" xfId="67" applyFont="1" applyFill="1" applyBorder="1" applyAlignment="1">
      <alignment horizontal="left"/>
      <protection/>
    </xf>
    <xf numFmtId="0" fontId="29" fillId="48" borderId="0" xfId="67" applyFont="1" applyFill="1" applyBorder="1" applyAlignment="1">
      <alignment horizontal="left"/>
      <protection/>
    </xf>
    <xf numFmtId="0" fontId="29" fillId="48" borderId="57" xfId="67" applyFont="1" applyFill="1" applyBorder="1" applyAlignment="1">
      <alignment horizontal="left"/>
      <protection/>
    </xf>
    <xf numFmtId="0" fontId="48" fillId="0" borderId="29" xfId="67" applyFont="1" applyFill="1" applyBorder="1" applyAlignment="1">
      <alignment horizontal="center"/>
      <protection/>
    </xf>
    <xf numFmtId="0" fontId="13" fillId="0" borderId="27" xfId="73" applyFont="1" applyBorder="1" applyAlignment="1" applyProtection="1">
      <alignment horizontal="center"/>
      <protection locked="0"/>
    </xf>
    <xf numFmtId="0" fontId="13" fillId="0" borderId="32" xfId="73" applyFont="1" applyBorder="1" applyAlignment="1" applyProtection="1">
      <alignment horizontal="center"/>
      <protection locked="0"/>
    </xf>
    <xf numFmtId="172" fontId="13" fillId="0" borderId="27" xfId="73" applyNumberFormat="1" applyFont="1" applyBorder="1" applyAlignment="1" applyProtection="1">
      <alignment horizontal="center"/>
      <protection locked="0"/>
    </xf>
    <xf numFmtId="1" fontId="13" fillId="0" borderId="49" xfId="73" applyNumberFormat="1" applyFont="1" applyBorder="1" applyAlignment="1" applyProtection="1">
      <alignment horizontal="center"/>
      <protection locked="0"/>
    </xf>
    <xf numFmtId="176" fontId="110" fillId="37" borderId="28" xfId="67" applyNumberFormat="1" applyFont="1" applyFill="1" applyBorder="1" applyAlignment="1" applyProtection="1">
      <alignment horizontal="center"/>
      <protection/>
    </xf>
    <xf numFmtId="176" fontId="110" fillId="48" borderId="28" xfId="67" applyNumberFormat="1" applyFont="1" applyFill="1" applyBorder="1" applyAlignment="1" applyProtection="1">
      <alignment horizontal="center"/>
      <protection/>
    </xf>
    <xf numFmtId="4" fontId="13" fillId="0" borderId="28" xfId="67" applyNumberFormat="1" applyFont="1" applyFill="1" applyBorder="1" applyAlignment="1" applyProtection="1">
      <alignment horizontal="center"/>
      <protection/>
    </xf>
    <xf numFmtId="3" fontId="13" fillId="0" borderId="28" xfId="67" applyNumberFormat="1" applyFont="1" applyFill="1" applyBorder="1" applyAlignment="1" applyProtection="1">
      <alignment horizontal="center"/>
      <protection/>
    </xf>
    <xf numFmtId="176" fontId="13" fillId="0" borderId="28" xfId="67" applyNumberFormat="1" applyFont="1" applyFill="1" applyBorder="1" applyAlignment="1" applyProtection="1">
      <alignment horizontal="center"/>
      <protection/>
    </xf>
    <xf numFmtId="176" fontId="13" fillId="0" borderId="28" xfId="67" applyNumberFormat="1" applyFont="1" applyBorder="1" applyAlignment="1" applyProtection="1" quotePrefix="1">
      <alignment horizontal="center"/>
      <protection/>
    </xf>
    <xf numFmtId="176" fontId="13" fillId="0" borderId="47" xfId="67" applyNumberFormat="1" applyFont="1" applyBorder="1" applyAlignment="1" applyProtection="1">
      <alignment horizontal="center"/>
      <protection/>
    </xf>
    <xf numFmtId="172" fontId="63" fillId="37" borderId="28" xfId="67" applyNumberFormat="1" applyFont="1" applyFill="1" applyBorder="1" applyAlignment="1" applyProtection="1">
      <alignment horizontal="center"/>
      <protection/>
    </xf>
    <xf numFmtId="2" fontId="64" fillId="49" borderId="28" xfId="67" applyNumberFormat="1" applyFont="1" applyFill="1" applyBorder="1" applyAlignment="1">
      <alignment horizontal="center"/>
      <protection/>
    </xf>
    <xf numFmtId="176" fontId="64" fillId="50" borderId="48" xfId="67" applyNumberFormat="1" applyFont="1" applyFill="1" applyBorder="1" applyAlignment="1" applyProtection="1" quotePrefix="1">
      <alignment horizontal="center"/>
      <protection/>
    </xf>
    <xf numFmtId="176" fontId="64" fillId="50" borderId="49" xfId="67" applyNumberFormat="1" applyFont="1" applyFill="1" applyBorder="1" applyAlignment="1" applyProtection="1" quotePrefix="1">
      <alignment horizontal="center"/>
      <protection/>
    </xf>
    <xf numFmtId="176" fontId="64" fillId="35" borderId="28" xfId="67" applyNumberFormat="1" applyFont="1" applyFill="1" applyBorder="1" applyAlignment="1" applyProtection="1" quotePrefix="1">
      <alignment horizontal="center"/>
      <protection/>
    </xf>
    <xf numFmtId="176" fontId="64" fillId="48" borderId="58" xfId="67" applyNumberFormat="1" applyFont="1" applyFill="1" applyBorder="1" applyAlignment="1" applyProtection="1" quotePrefix="1">
      <alignment horizontal="center"/>
      <protection/>
    </xf>
    <xf numFmtId="176" fontId="64" fillId="48" borderId="0" xfId="67" applyNumberFormat="1" applyFont="1" applyFill="1" applyBorder="1" applyAlignment="1" applyProtection="1" quotePrefix="1">
      <alignment horizontal="center"/>
      <protection/>
    </xf>
    <xf numFmtId="176" fontId="64" fillId="48" borderId="57" xfId="67" applyNumberFormat="1" applyFont="1" applyFill="1" applyBorder="1" applyAlignment="1" applyProtection="1" quotePrefix="1">
      <alignment horizontal="center"/>
      <protection/>
    </xf>
    <xf numFmtId="176" fontId="13" fillId="0" borderId="29" xfId="67" applyNumberFormat="1" applyFont="1" applyFill="1" applyBorder="1" applyAlignment="1">
      <alignment horizontal="center"/>
      <protection/>
    </xf>
    <xf numFmtId="4" fontId="78" fillId="0" borderId="29" xfId="67" applyNumberFormat="1" applyFont="1" applyFill="1" applyBorder="1" applyAlignment="1">
      <alignment horizontal="right"/>
      <protection/>
    </xf>
    <xf numFmtId="0" fontId="13" fillId="0" borderId="27" xfId="67" applyFont="1" applyBorder="1" applyAlignment="1" applyProtection="1">
      <alignment horizontal="center"/>
      <protection/>
    </xf>
    <xf numFmtId="0" fontId="13" fillId="0" borderId="32" xfId="67" applyFont="1" applyBorder="1" applyAlignment="1" applyProtection="1">
      <alignment horizontal="center"/>
      <protection/>
    </xf>
    <xf numFmtId="172" fontId="13" fillId="0" borderId="27" xfId="67" applyNumberFormat="1" applyFont="1" applyBorder="1" applyAlignment="1" applyProtection="1">
      <alignment horizontal="center"/>
      <protection/>
    </xf>
    <xf numFmtId="1" fontId="13" fillId="0" borderId="49" xfId="67" applyNumberFormat="1" applyFont="1" applyBorder="1" applyAlignment="1" applyProtection="1" quotePrefix="1">
      <alignment horizontal="center"/>
      <protection/>
    </xf>
    <xf numFmtId="22" fontId="13" fillId="0" borderId="28" xfId="67" applyNumberFormat="1" applyFont="1" applyFill="1" applyBorder="1" applyAlignment="1" applyProtection="1">
      <alignment horizontal="center"/>
      <protection/>
    </xf>
    <xf numFmtId="0" fontId="13" fillId="0" borderId="34" xfId="67" applyFont="1" applyBorder="1" applyAlignment="1" applyProtection="1">
      <alignment horizontal="center"/>
      <protection/>
    </xf>
    <xf numFmtId="0" fontId="13" fillId="0" borderId="71" xfId="67" applyFont="1" applyBorder="1" applyAlignment="1" applyProtection="1">
      <alignment horizontal="center"/>
      <protection/>
    </xf>
    <xf numFmtId="172" fontId="13" fillId="0" borderId="34" xfId="67" applyNumberFormat="1" applyFont="1" applyBorder="1" applyAlignment="1" applyProtection="1">
      <alignment horizontal="center"/>
      <protection/>
    </xf>
    <xf numFmtId="1" fontId="13" fillId="0" borderId="52" xfId="67" applyNumberFormat="1" applyFont="1" applyBorder="1" applyAlignment="1" applyProtection="1" quotePrefix="1">
      <alignment horizontal="center"/>
      <protection/>
    </xf>
    <xf numFmtId="176" fontId="110" fillId="37" borderId="36" xfId="67" applyNumberFormat="1" applyFont="1" applyFill="1" applyBorder="1" applyAlignment="1" applyProtection="1">
      <alignment horizontal="center"/>
      <protection/>
    </xf>
    <xf numFmtId="176" fontId="110" fillId="48" borderId="36" xfId="67" applyNumberFormat="1" applyFont="1" applyFill="1" applyBorder="1" applyAlignment="1" applyProtection="1">
      <alignment horizontal="center"/>
      <protection/>
    </xf>
    <xf numFmtId="22" fontId="13" fillId="0" borderId="36" xfId="67" applyNumberFormat="1" applyFont="1" applyFill="1" applyBorder="1" applyAlignment="1">
      <alignment horizontal="center"/>
      <protection/>
    </xf>
    <xf numFmtId="22" fontId="13" fillId="0" borderId="36" xfId="67" applyNumberFormat="1" applyFont="1" applyFill="1" applyBorder="1" applyAlignment="1" applyProtection="1">
      <alignment horizontal="center"/>
      <protection/>
    </xf>
    <xf numFmtId="4" fontId="13" fillId="0" borderId="36" xfId="67" applyNumberFormat="1" applyFont="1" applyFill="1" applyBorder="1" applyAlignment="1" applyProtection="1">
      <alignment horizontal="center"/>
      <protection/>
    </xf>
    <xf numFmtId="3" fontId="13" fillId="0" borderId="36" xfId="67" applyNumberFormat="1" applyFont="1" applyFill="1" applyBorder="1" applyAlignment="1" applyProtection="1">
      <alignment horizontal="center"/>
      <protection/>
    </xf>
    <xf numFmtId="176" fontId="13" fillId="0" borderId="36" xfId="67" applyNumberFormat="1" applyFont="1" applyFill="1" applyBorder="1" applyAlignment="1" applyProtection="1">
      <alignment horizontal="center"/>
      <protection/>
    </xf>
    <xf numFmtId="172" fontId="63" fillId="37" borderId="36" xfId="67" applyNumberFormat="1" applyFont="1" applyFill="1" applyBorder="1" applyAlignment="1" applyProtection="1">
      <alignment horizontal="center"/>
      <protection/>
    </xf>
    <xf numFmtId="2" fontId="29" fillId="49" borderId="36" xfId="67" applyNumberFormat="1" applyFont="1" applyFill="1" applyBorder="1" applyAlignment="1">
      <alignment horizontal="center"/>
      <protection/>
    </xf>
    <xf numFmtId="176" fontId="29" fillId="50" borderId="51" xfId="67" applyNumberFormat="1" applyFont="1" applyFill="1" applyBorder="1" applyAlignment="1" applyProtection="1" quotePrefix="1">
      <alignment horizontal="center"/>
      <protection/>
    </xf>
    <xf numFmtId="176" fontId="29" fillId="50" borderId="52" xfId="67" applyNumberFormat="1" applyFont="1" applyFill="1" applyBorder="1" applyAlignment="1" applyProtection="1" quotePrefix="1">
      <alignment horizontal="center"/>
      <protection/>
    </xf>
    <xf numFmtId="176" fontId="29" fillId="35" borderId="36" xfId="67" applyNumberFormat="1" applyFont="1" applyFill="1" applyBorder="1" applyAlignment="1" applyProtection="1" quotePrefix="1">
      <alignment horizontal="center"/>
      <protection/>
    </xf>
    <xf numFmtId="176" fontId="29" fillId="48" borderId="72" xfId="67" applyNumberFormat="1" applyFont="1" applyFill="1" applyBorder="1" applyAlignment="1" applyProtection="1" quotePrefix="1">
      <alignment horizontal="center"/>
      <protection/>
    </xf>
    <xf numFmtId="176" fontId="29" fillId="48" borderId="62" xfId="67" applyNumberFormat="1" applyFont="1" applyFill="1" applyBorder="1" applyAlignment="1" applyProtection="1" quotePrefix="1">
      <alignment horizontal="center"/>
      <protection/>
    </xf>
    <xf numFmtId="176" fontId="29" fillId="48" borderId="50" xfId="67" applyNumberFormat="1" applyFont="1" applyFill="1" applyBorder="1" applyAlignment="1" applyProtection="1" quotePrefix="1">
      <alignment horizontal="center"/>
      <protection/>
    </xf>
    <xf numFmtId="176" fontId="13" fillId="0" borderId="50" xfId="67" applyNumberFormat="1" applyFont="1" applyFill="1" applyBorder="1" applyAlignment="1">
      <alignment horizontal="center"/>
      <protection/>
    </xf>
    <xf numFmtId="4" fontId="78" fillId="0" borderId="50" xfId="67" applyNumberFormat="1" applyFont="1" applyFill="1" applyBorder="1" applyAlignment="1">
      <alignment horizontal="right"/>
      <protection/>
    </xf>
    <xf numFmtId="0" fontId="13" fillId="0" borderId="0" xfId="67" applyFont="1" applyFill="1" applyBorder="1" applyAlignment="1">
      <alignment horizontal="center"/>
      <protection/>
    </xf>
    <xf numFmtId="172" fontId="13" fillId="0" borderId="0" xfId="67" applyNumberFormat="1" applyFont="1" applyBorder="1" applyAlignment="1" applyProtection="1">
      <alignment horizontal="center"/>
      <protection/>
    </xf>
    <xf numFmtId="1" fontId="13" fillId="0" borderId="0" xfId="67" applyNumberFormat="1" applyFont="1" applyBorder="1" applyAlignment="1" applyProtection="1" quotePrefix="1">
      <alignment horizontal="center"/>
      <protection/>
    </xf>
    <xf numFmtId="176" fontId="13" fillId="0" borderId="0" xfId="67" applyNumberFormat="1" applyFont="1" applyFill="1" applyBorder="1" applyAlignment="1" applyProtection="1">
      <alignment horizontal="center"/>
      <protection/>
    </xf>
    <xf numFmtId="22" fontId="13" fillId="0" borderId="0" xfId="67" applyNumberFormat="1" applyFont="1" applyFill="1" applyBorder="1" applyAlignment="1">
      <alignment horizontal="center"/>
      <protection/>
    </xf>
    <xf numFmtId="22" fontId="13" fillId="0" borderId="0" xfId="67" applyNumberFormat="1" applyFont="1" applyFill="1" applyBorder="1" applyAlignment="1" applyProtection="1">
      <alignment horizontal="center"/>
      <protection/>
    </xf>
    <xf numFmtId="4" fontId="13" fillId="0" borderId="0" xfId="67" applyNumberFormat="1" applyFont="1" applyFill="1" applyBorder="1" applyAlignment="1" applyProtection="1">
      <alignment horizontal="center"/>
      <protection/>
    </xf>
    <xf numFmtId="3" fontId="13" fillId="0" borderId="0" xfId="67" applyNumberFormat="1" applyFont="1" applyFill="1" applyBorder="1" applyAlignment="1" applyProtection="1">
      <alignment horizontal="center"/>
      <protection/>
    </xf>
    <xf numFmtId="176" fontId="13" fillId="0" borderId="0" xfId="67" applyNumberFormat="1" applyFont="1" applyBorder="1" applyAlignment="1" applyProtection="1" quotePrefix="1">
      <alignment horizontal="center"/>
      <protection/>
    </xf>
    <xf numFmtId="176" fontId="13" fillId="0" borderId="0" xfId="67" applyNumberFormat="1" applyFont="1" applyBorder="1" applyAlignment="1" applyProtection="1">
      <alignment horizontal="center"/>
      <protection/>
    </xf>
    <xf numFmtId="172" fontId="13" fillId="0" borderId="41" xfId="67" applyNumberFormat="1" applyFont="1" applyFill="1" applyBorder="1" applyAlignment="1" applyProtection="1">
      <alignment horizontal="center"/>
      <protection/>
    </xf>
    <xf numFmtId="2" fontId="59" fillId="0" borderId="41" xfId="67" applyNumberFormat="1" applyFont="1" applyFill="1" applyBorder="1" applyAlignment="1">
      <alignment horizontal="center"/>
      <protection/>
    </xf>
    <xf numFmtId="176" fontId="49" fillId="0" borderId="41" xfId="67" applyNumberFormat="1" applyFont="1" applyFill="1" applyBorder="1" applyAlignment="1" applyProtection="1" quotePrefix="1">
      <alignment horizontal="center"/>
      <protection/>
    </xf>
    <xf numFmtId="176" fontId="13" fillId="0" borderId="41" xfId="67" applyNumberFormat="1" applyFont="1" applyFill="1" applyBorder="1" applyAlignment="1">
      <alignment horizontal="center"/>
      <protection/>
    </xf>
    <xf numFmtId="8" fontId="78" fillId="0" borderId="21" xfId="54" applyNumberFormat="1" applyFont="1" applyFill="1" applyBorder="1" applyAlignment="1">
      <alignment horizontal="right"/>
    </xf>
    <xf numFmtId="0" fontId="30" fillId="0" borderId="16" xfId="67" applyFont="1" applyFill="1" applyBorder="1" applyAlignment="1" applyProtection="1" quotePrefix="1">
      <alignment horizontal="center" vertical="center" wrapText="1"/>
      <protection/>
    </xf>
    <xf numFmtId="0" fontId="69" fillId="43" borderId="21" xfId="67" applyFont="1" applyFill="1" applyBorder="1" applyAlignment="1">
      <alignment horizontal="center" vertical="center" wrapText="1"/>
      <protection/>
    </xf>
    <xf numFmtId="0" fontId="35" fillId="36" borderId="16" xfId="67" applyFont="1" applyFill="1" applyBorder="1" applyAlignment="1" applyProtection="1">
      <alignment horizontal="centerContinuous" vertical="center" wrapText="1"/>
      <protection/>
    </xf>
    <xf numFmtId="0" fontId="35" fillId="36" borderId="17" xfId="67" applyFont="1" applyFill="1" applyBorder="1" applyAlignment="1">
      <alignment horizontal="centerContinuous" vertical="center"/>
      <protection/>
    </xf>
    <xf numFmtId="0" fontId="62" fillId="35" borderId="21" xfId="67" applyFont="1" applyFill="1" applyBorder="1" applyAlignment="1">
      <alignment horizontal="center" vertical="center" wrapText="1"/>
      <protection/>
    </xf>
    <xf numFmtId="172" fontId="29" fillId="34" borderId="28" xfId="67" applyNumberFormat="1" applyFont="1" applyFill="1" applyBorder="1" applyAlignment="1" applyProtection="1">
      <alignment horizontal="center"/>
      <protection/>
    </xf>
    <xf numFmtId="0" fontId="73" fillId="43" borderId="23" xfId="67" applyFont="1" applyFill="1" applyBorder="1" applyAlignment="1" applyProtection="1">
      <alignment horizontal="center"/>
      <protection/>
    </xf>
    <xf numFmtId="176" fontId="51" fillId="36" borderId="24" xfId="67" applyNumberFormat="1" applyFont="1" applyFill="1" applyBorder="1" applyAlignment="1" applyProtection="1" quotePrefix="1">
      <alignment horizontal="center"/>
      <protection/>
    </xf>
    <xf numFmtId="176" fontId="51" fillId="36" borderId="26" xfId="67" applyNumberFormat="1" applyFont="1" applyFill="1" applyBorder="1" applyAlignment="1" applyProtection="1" quotePrefix="1">
      <alignment horizontal="center"/>
      <protection/>
    </xf>
    <xf numFmtId="176" fontId="64" fillId="35" borderId="23" xfId="67" applyNumberFormat="1" applyFont="1" applyFill="1" applyBorder="1" applyAlignment="1" applyProtection="1" quotePrefix="1">
      <alignment horizontal="center"/>
      <protection/>
    </xf>
    <xf numFmtId="0" fontId="13" fillId="0" borderId="33" xfId="73" applyFont="1" applyBorder="1" applyAlignment="1" applyProtection="1">
      <alignment horizontal="center"/>
      <protection locked="0"/>
    </xf>
    <xf numFmtId="172" fontId="13" fillId="0" borderId="28" xfId="73" applyNumberFormat="1" applyFont="1" applyBorder="1" applyAlignment="1" applyProtection="1" quotePrefix="1">
      <alignment horizontal="center"/>
      <protection locked="0"/>
    </xf>
    <xf numFmtId="22" fontId="13" fillId="0" borderId="28" xfId="73" applyNumberFormat="1" applyFont="1" applyBorder="1" applyAlignment="1" applyProtection="1">
      <alignment horizontal="center"/>
      <protection locked="0"/>
    </xf>
    <xf numFmtId="2" fontId="73" fillId="43" borderId="28" xfId="67" applyNumberFormat="1" applyFont="1" applyFill="1" applyBorder="1" applyAlignment="1" applyProtection="1">
      <alignment horizontal="center"/>
      <protection/>
    </xf>
    <xf numFmtId="176" fontId="51" fillId="36" borderId="30" xfId="67" applyNumberFormat="1" applyFont="1" applyFill="1" applyBorder="1" applyAlignment="1" applyProtection="1" quotePrefix="1">
      <alignment horizontal="center"/>
      <protection/>
    </xf>
    <xf numFmtId="176" fontId="51" fillId="36" borderId="56" xfId="67" applyNumberFormat="1" applyFont="1" applyFill="1" applyBorder="1" applyAlignment="1" applyProtection="1" quotePrefix="1">
      <alignment horizontal="center"/>
      <protection/>
    </xf>
    <xf numFmtId="4" fontId="78" fillId="0" borderId="28" xfId="67" applyNumberFormat="1" applyFont="1" applyFill="1" applyBorder="1" applyAlignment="1">
      <alignment horizontal="right"/>
      <protection/>
    </xf>
    <xf numFmtId="0" fontId="13" fillId="0" borderId="33" xfId="77" applyFont="1" applyBorder="1" applyAlignment="1" applyProtection="1">
      <alignment horizontal="center"/>
      <protection locked="0"/>
    </xf>
    <xf numFmtId="172" fontId="13" fillId="0" borderId="47" xfId="67" applyNumberFormat="1" applyFont="1" applyBorder="1" applyAlignment="1" applyProtection="1">
      <alignment horizontal="center"/>
      <protection/>
    </xf>
    <xf numFmtId="22" fontId="13" fillId="0" borderId="30" xfId="77" applyNumberFormat="1" applyFont="1" applyBorder="1" applyAlignment="1" applyProtection="1">
      <alignment horizontal="center"/>
      <protection locked="0"/>
    </xf>
    <xf numFmtId="22" fontId="13" fillId="0" borderId="28" xfId="77" applyNumberFormat="1" applyFont="1" applyBorder="1" applyAlignment="1" applyProtection="1">
      <alignment horizontal="center"/>
      <protection locked="0"/>
    </xf>
    <xf numFmtId="172" fontId="13" fillId="0" borderId="73" xfId="67" applyNumberFormat="1" applyFont="1" applyBorder="1" applyAlignment="1" applyProtection="1">
      <alignment horizontal="center"/>
      <protection/>
    </xf>
    <xf numFmtId="172" fontId="13" fillId="0" borderId="0" xfId="67" applyNumberFormat="1" applyFont="1" applyFill="1" applyBorder="1" applyAlignment="1" applyProtection="1">
      <alignment horizontal="center"/>
      <protection/>
    </xf>
    <xf numFmtId="2" fontId="59" fillId="0" borderId="0" xfId="67" applyNumberFormat="1" applyFont="1" applyFill="1" applyBorder="1" applyAlignment="1">
      <alignment horizontal="center"/>
      <protection/>
    </xf>
    <xf numFmtId="176" fontId="49" fillId="0" borderId="0" xfId="67" applyNumberFormat="1" applyFont="1" applyFill="1" applyBorder="1" applyAlignment="1" applyProtection="1" quotePrefix="1">
      <alignment horizontal="center"/>
      <protection/>
    </xf>
    <xf numFmtId="176" fontId="13" fillId="0" borderId="0" xfId="67" applyNumberFormat="1" applyFont="1" applyFill="1" applyBorder="1" applyAlignment="1">
      <alignment horizontal="center"/>
      <protection/>
    </xf>
    <xf numFmtId="8" fontId="78" fillId="0" borderId="22" xfId="54" applyNumberFormat="1" applyFont="1" applyFill="1" applyBorder="1" applyAlignment="1">
      <alignment horizontal="right"/>
    </xf>
    <xf numFmtId="176" fontId="29" fillId="48" borderId="0" xfId="67" applyNumberFormat="1" applyFont="1" applyFill="1" applyBorder="1" applyAlignment="1" applyProtection="1" quotePrefix="1">
      <alignment horizontal="center"/>
      <protection/>
    </xf>
    <xf numFmtId="0" fontId="60" fillId="37" borderId="17" xfId="67" applyFont="1" applyFill="1" applyBorder="1" applyAlignment="1" applyProtection="1">
      <alignment horizontal="center" vertical="center"/>
      <protection/>
    </xf>
    <xf numFmtId="0" fontId="61" fillId="39" borderId="21" xfId="67" applyFont="1" applyFill="1" applyBorder="1" applyAlignment="1">
      <alignment horizontal="center" vertical="center" wrapText="1"/>
      <protection/>
    </xf>
    <xf numFmtId="0" fontId="34" fillId="45" borderId="16" xfId="67" applyFont="1" applyFill="1" applyBorder="1" applyAlignment="1" applyProtection="1">
      <alignment horizontal="centerContinuous" vertical="center" wrapText="1"/>
      <protection/>
    </xf>
    <xf numFmtId="0" fontId="34" fillId="45" borderId="17" xfId="67" applyFont="1" applyFill="1" applyBorder="1" applyAlignment="1">
      <alignment horizontal="centerContinuous" vertical="center"/>
      <protection/>
    </xf>
    <xf numFmtId="0" fontId="69" fillId="43" borderId="16" xfId="67" applyFont="1" applyFill="1" applyBorder="1" applyAlignment="1" applyProtection="1">
      <alignment horizontal="centerContinuous" vertical="center" wrapText="1"/>
      <protection/>
    </xf>
    <xf numFmtId="0" fontId="69" fillId="43" borderId="17" xfId="67" applyFont="1" applyFill="1" applyBorder="1" applyAlignment="1">
      <alignment horizontal="centerContinuous" vertical="center"/>
      <protection/>
    </xf>
    <xf numFmtId="0" fontId="37" fillId="36" borderId="21" xfId="67" applyFont="1" applyFill="1" applyBorder="1" applyAlignment="1">
      <alignment horizontal="center" vertical="center" wrapText="1"/>
      <protection/>
    </xf>
    <xf numFmtId="0" fontId="68" fillId="36" borderId="21" xfId="67" applyFont="1" applyFill="1" applyBorder="1" applyAlignment="1">
      <alignment horizontal="center" vertical="center" wrapText="1"/>
      <protection/>
    </xf>
    <xf numFmtId="0" fontId="61" fillId="0" borderId="21" xfId="67" applyFont="1" applyFill="1" applyBorder="1" applyAlignment="1">
      <alignment horizontal="center" vertical="center" wrapText="1"/>
      <protection/>
    </xf>
    <xf numFmtId="4" fontId="21" fillId="0" borderId="15" xfId="67" applyNumberFormat="1" applyFont="1" applyFill="1" applyBorder="1" applyAlignment="1">
      <alignment horizontal="center"/>
      <protection/>
    </xf>
    <xf numFmtId="0" fontId="13" fillId="0" borderId="43" xfId="67" applyFont="1" applyFill="1" applyBorder="1" applyAlignment="1">
      <alignment horizontal="center"/>
      <protection/>
    </xf>
    <xf numFmtId="0" fontId="13" fillId="0" borderId="57" xfId="67" applyFont="1" applyBorder="1" applyAlignment="1">
      <alignment horizontal="center"/>
      <protection/>
    </xf>
    <xf numFmtId="0" fontId="63" fillId="37" borderId="35" xfId="67" applyFont="1" applyFill="1" applyBorder="1" applyAlignment="1">
      <alignment horizontal="center"/>
      <protection/>
    </xf>
    <xf numFmtId="0" fontId="13" fillId="0" borderId="58" xfId="67" applyFont="1" applyBorder="1" applyAlignment="1">
      <alignment horizontal="center"/>
      <protection/>
    </xf>
    <xf numFmtId="0" fontId="13" fillId="0" borderId="35" xfId="67" applyFont="1" applyBorder="1" applyAlignment="1">
      <alignment horizontal="center"/>
      <protection/>
    </xf>
    <xf numFmtId="0" fontId="13" fillId="0" borderId="28" xfId="67" applyFont="1" applyBorder="1">
      <alignment/>
      <protection/>
    </xf>
    <xf numFmtId="0" fontId="63" fillId="37" borderId="0" xfId="67" applyFont="1" applyFill="1" applyBorder="1" applyAlignment="1">
      <alignment horizontal="center"/>
      <protection/>
    </xf>
    <xf numFmtId="0" fontId="81" fillId="39" borderId="43" xfId="67" applyFont="1" applyFill="1" applyBorder="1" applyAlignment="1">
      <alignment horizontal="center"/>
      <protection/>
    </xf>
    <xf numFmtId="0" fontId="50" fillId="45" borderId="45" xfId="67" applyFont="1" applyFill="1" applyBorder="1" applyAlignment="1">
      <alignment horizontal="center"/>
      <protection/>
    </xf>
    <xf numFmtId="0" fontId="50" fillId="45" borderId="46" xfId="67" applyFont="1" applyFill="1" applyBorder="1" applyAlignment="1">
      <alignment horizontal="center"/>
      <protection/>
    </xf>
    <xf numFmtId="0" fontId="73" fillId="43" borderId="45" xfId="67" applyFont="1" applyFill="1" applyBorder="1" applyAlignment="1">
      <alignment horizontal="center"/>
      <protection/>
    </xf>
    <xf numFmtId="0" fontId="73" fillId="43" borderId="46" xfId="67" applyFont="1" applyFill="1" applyBorder="1" applyAlignment="1">
      <alignment horizontal="center"/>
      <protection/>
    </xf>
    <xf numFmtId="0" fontId="53" fillId="36" borderId="43" xfId="67" applyFont="1" applyFill="1" applyBorder="1" applyAlignment="1">
      <alignment horizontal="center"/>
      <protection/>
    </xf>
    <xf numFmtId="0" fontId="13" fillId="0" borderId="43" xfId="67" applyFont="1" applyBorder="1" applyAlignment="1">
      <alignment horizontal="center"/>
      <protection/>
    </xf>
    <xf numFmtId="7" fontId="78" fillId="0" borderId="43" xfId="67" applyNumberFormat="1" applyFont="1" applyFill="1" applyBorder="1" applyAlignment="1">
      <alignment horizontal="center"/>
      <protection/>
    </xf>
    <xf numFmtId="182" fontId="63" fillId="37" borderId="27" xfId="67" applyNumberFormat="1" applyFont="1" applyFill="1" applyBorder="1" applyAlignment="1" applyProtection="1">
      <alignment horizontal="center"/>
      <protection/>
    </xf>
    <xf numFmtId="2" fontId="13" fillId="0" borderId="27" xfId="67" applyNumberFormat="1" applyFont="1" applyFill="1" applyBorder="1" applyAlignment="1" applyProtection="1" quotePrefix="1">
      <alignment horizontal="center"/>
      <protection/>
    </xf>
    <xf numFmtId="172" fontId="13" fillId="0" borderId="27" xfId="67" applyNumberFormat="1" applyFont="1" applyFill="1" applyBorder="1" applyAlignment="1" applyProtection="1" quotePrefix="1">
      <alignment horizontal="center"/>
      <protection/>
    </xf>
    <xf numFmtId="172" fontId="63" fillId="37" borderId="59" xfId="67" applyNumberFormat="1" applyFont="1" applyFill="1" applyBorder="1" applyAlignment="1" applyProtection="1">
      <alignment horizontal="center"/>
      <protection/>
    </xf>
    <xf numFmtId="2" fontId="81" fillId="39" borderId="49" xfId="67" applyNumberFormat="1" applyFont="1" applyFill="1" applyBorder="1" applyAlignment="1" applyProtection="1">
      <alignment horizontal="center"/>
      <protection/>
    </xf>
    <xf numFmtId="176" fontId="50" fillId="45" borderId="48" xfId="67" applyNumberFormat="1" applyFont="1" applyFill="1" applyBorder="1" applyAlignment="1" applyProtection="1" quotePrefix="1">
      <alignment horizontal="center"/>
      <protection/>
    </xf>
    <xf numFmtId="176" fontId="50" fillId="45" borderId="49" xfId="67" applyNumberFormat="1" applyFont="1" applyFill="1" applyBorder="1" applyAlignment="1" applyProtection="1" quotePrefix="1">
      <alignment horizontal="center"/>
      <protection/>
    </xf>
    <xf numFmtId="176" fontId="73" fillId="43" borderId="48" xfId="67" applyNumberFormat="1" applyFont="1" applyFill="1" applyBorder="1" applyAlignment="1" applyProtection="1" quotePrefix="1">
      <alignment horizontal="center"/>
      <protection/>
    </xf>
    <xf numFmtId="176" fontId="73" fillId="43" borderId="49" xfId="67" applyNumberFormat="1" applyFont="1" applyFill="1" applyBorder="1" applyAlignment="1" applyProtection="1" quotePrefix="1">
      <alignment horizontal="center"/>
      <protection/>
    </xf>
    <xf numFmtId="176" fontId="53" fillId="36" borderId="27" xfId="67" applyNumberFormat="1" applyFont="1" applyFill="1" applyBorder="1" applyAlignment="1" applyProtection="1" quotePrefix="1">
      <alignment horizontal="center"/>
      <protection/>
    </xf>
    <xf numFmtId="2" fontId="72" fillId="36" borderId="27" xfId="67" applyNumberFormat="1" applyFont="1" applyFill="1" applyBorder="1" applyAlignment="1" applyProtection="1">
      <alignment horizontal="center"/>
      <protection/>
    </xf>
    <xf numFmtId="176" fontId="13" fillId="0" borderId="27" xfId="67" applyNumberFormat="1" applyFont="1" applyBorder="1" applyAlignment="1" applyProtection="1">
      <alignment horizontal="center"/>
      <protection/>
    </xf>
    <xf numFmtId="4" fontId="78" fillId="0" borderId="27" xfId="67" applyNumberFormat="1" applyFont="1" applyFill="1" applyBorder="1" applyAlignment="1">
      <alignment horizontal="right"/>
      <protection/>
    </xf>
    <xf numFmtId="182" fontId="63" fillId="37" borderId="28" xfId="67" applyNumberFormat="1" applyFont="1" applyFill="1" applyBorder="1" applyAlignment="1" applyProtection="1">
      <alignment horizontal="center"/>
      <protection/>
    </xf>
    <xf numFmtId="2" fontId="13" fillId="0" borderId="28" xfId="67" applyNumberFormat="1" applyFont="1" applyFill="1" applyBorder="1" applyAlignment="1" applyProtection="1" quotePrefix="1">
      <alignment horizontal="center"/>
      <protection/>
    </xf>
    <xf numFmtId="176" fontId="13" fillId="0" borderId="29" xfId="67" applyNumberFormat="1" applyFont="1" applyBorder="1" applyAlignment="1" applyProtection="1">
      <alignment horizontal="center"/>
      <protection locked="0"/>
    </xf>
    <xf numFmtId="2" fontId="81" fillId="39" borderId="28" xfId="67" applyNumberFormat="1" applyFont="1" applyFill="1" applyBorder="1" applyAlignment="1" applyProtection="1">
      <alignment horizontal="center"/>
      <protection/>
    </xf>
    <xf numFmtId="2" fontId="72" fillId="36" borderId="28" xfId="67" applyNumberFormat="1" applyFont="1" applyFill="1" applyBorder="1" applyAlignment="1" applyProtection="1">
      <alignment horizontal="center"/>
      <protection/>
    </xf>
    <xf numFmtId="0" fontId="75" fillId="0" borderId="60" xfId="67" applyFont="1" applyBorder="1" applyAlignment="1" applyProtection="1">
      <alignment horizontal="center"/>
      <protection locked="0"/>
    </xf>
    <xf numFmtId="0" fontId="75" fillId="0" borderId="33" xfId="67" applyFont="1" applyBorder="1" applyAlignment="1" applyProtection="1">
      <alignment horizontal="center"/>
      <protection locked="0"/>
    </xf>
    <xf numFmtId="22" fontId="13" fillId="0" borderId="30" xfId="67" applyNumberFormat="1" applyFont="1" applyBorder="1" applyAlignment="1" applyProtection="1">
      <alignment horizontal="center"/>
      <protection locked="0"/>
    </xf>
    <xf numFmtId="22" fontId="13" fillId="0" borderId="33" xfId="67" applyNumberFormat="1" applyFont="1" applyBorder="1" applyAlignment="1" applyProtection="1">
      <alignment horizontal="center"/>
      <protection locked="0"/>
    </xf>
    <xf numFmtId="0" fontId="13" fillId="0" borderId="34" xfId="67" applyFont="1" applyFill="1" applyBorder="1" applyAlignment="1">
      <alignment horizontal="center"/>
      <protection/>
    </xf>
    <xf numFmtId="0" fontId="75" fillId="0" borderId="62" xfId="67" applyFont="1" applyBorder="1" applyAlignment="1" applyProtection="1">
      <alignment horizontal="center"/>
      <protection locked="0"/>
    </xf>
    <xf numFmtId="0" fontId="75" fillId="0" borderId="72" xfId="67" applyFont="1" applyBorder="1" applyAlignment="1" applyProtection="1">
      <alignment horizontal="center"/>
      <protection locked="0"/>
    </xf>
    <xf numFmtId="22" fontId="13" fillId="0" borderId="37" xfId="67" applyNumberFormat="1" applyFont="1" applyBorder="1" applyAlignment="1" applyProtection="1">
      <alignment horizontal="center"/>
      <protection locked="0"/>
    </xf>
    <xf numFmtId="22" fontId="13" fillId="0" borderId="72" xfId="67" applyNumberFormat="1" applyFont="1" applyBorder="1" applyAlignment="1" applyProtection="1">
      <alignment horizontal="center"/>
      <protection locked="0"/>
    </xf>
    <xf numFmtId="2" fontId="13" fillId="0" borderId="36" xfId="67" applyNumberFormat="1" applyFont="1" applyFill="1" applyBorder="1" applyAlignment="1" applyProtection="1" quotePrefix="1">
      <alignment horizontal="center"/>
      <protection/>
    </xf>
    <xf numFmtId="172" fontId="13" fillId="0" borderId="36" xfId="67" applyNumberFormat="1" applyFont="1" applyFill="1" applyBorder="1" applyAlignment="1" applyProtection="1" quotePrefix="1">
      <alignment horizontal="center"/>
      <protection/>
    </xf>
    <xf numFmtId="176" fontId="13" fillId="0" borderId="50" xfId="67" applyNumberFormat="1" applyFont="1" applyBorder="1" applyAlignment="1" applyProtection="1">
      <alignment horizontal="center"/>
      <protection locked="0"/>
    </xf>
    <xf numFmtId="181" fontId="13" fillId="0" borderId="50" xfId="67" applyNumberFormat="1" applyFont="1" applyBorder="1" applyAlignment="1" applyProtection="1" quotePrefix="1">
      <alignment horizontal="center"/>
      <protection/>
    </xf>
    <xf numFmtId="172" fontId="63" fillId="37" borderId="62" xfId="67" applyNumberFormat="1" applyFont="1" applyFill="1" applyBorder="1" applyAlignment="1" applyProtection="1">
      <alignment horizontal="center"/>
      <protection/>
    </xf>
    <xf numFmtId="2" fontId="81" fillId="39" borderId="36" xfId="67" applyNumberFormat="1" applyFont="1" applyFill="1" applyBorder="1" applyAlignment="1" applyProtection="1">
      <alignment horizontal="center"/>
      <protection/>
    </xf>
    <xf numFmtId="176" fontId="50" fillId="45" borderId="51" xfId="67" applyNumberFormat="1" applyFont="1" applyFill="1" applyBorder="1" applyAlignment="1" applyProtection="1" quotePrefix="1">
      <alignment horizontal="center"/>
      <protection/>
    </xf>
    <xf numFmtId="176" fontId="50" fillId="45" borderId="52" xfId="67" applyNumberFormat="1" applyFont="1" applyFill="1" applyBorder="1" applyAlignment="1" applyProtection="1" quotePrefix="1">
      <alignment horizontal="center"/>
      <protection/>
    </xf>
    <xf numFmtId="176" fontId="73" fillId="43" borderId="51" xfId="67" applyNumberFormat="1" applyFont="1" applyFill="1" applyBorder="1" applyAlignment="1" applyProtection="1" quotePrefix="1">
      <alignment horizontal="center"/>
      <protection/>
    </xf>
    <xf numFmtId="176" fontId="73" fillId="43" borderId="52" xfId="67" applyNumberFormat="1" applyFont="1" applyFill="1" applyBorder="1" applyAlignment="1" applyProtection="1" quotePrefix="1">
      <alignment horizontal="center"/>
      <protection/>
    </xf>
    <xf numFmtId="176" fontId="53" fillId="36" borderId="34" xfId="67" applyNumberFormat="1" applyFont="1" applyFill="1" applyBorder="1" applyAlignment="1" applyProtection="1" quotePrefix="1">
      <alignment horizontal="center"/>
      <protection/>
    </xf>
    <xf numFmtId="2" fontId="72" fillId="36" borderId="36" xfId="67" applyNumberFormat="1" applyFont="1" applyFill="1" applyBorder="1" applyAlignment="1" applyProtection="1">
      <alignment horizontal="center"/>
      <protection/>
    </xf>
    <xf numFmtId="4" fontId="78" fillId="0" borderId="36" xfId="67" applyNumberFormat="1" applyFont="1" applyFill="1" applyBorder="1" applyAlignment="1">
      <alignment horizontal="right"/>
      <protection/>
    </xf>
    <xf numFmtId="8" fontId="78" fillId="0" borderId="0" xfId="54" applyNumberFormat="1" applyFont="1" applyFill="1" applyBorder="1" applyAlignment="1">
      <alignment horizontal="right"/>
    </xf>
    <xf numFmtId="176" fontId="13" fillId="0" borderId="0" xfId="67" applyNumberFormat="1" applyFont="1" applyBorder="1" applyAlignment="1" applyProtection="1" quotePrefix="1">
      <alignment horizontal="centerContinuous"/>
      <protection/>
    </xf>
    <xf numFmtId="176" fontId="13" fillId="0" borderId="0" xfId="67" applyNumberFormat="1" applyFont="1" applyBorder="1" applyAlignment="1" applyProtection="1">
      <alignment horizontal="centerContinuous"/>
      <protection/>
    </xf>
    <xf numFmtId="4" fontId="78" fillId="0" borderId="0" xfId="67" applyNumberFormat="1" applyFont="1" applyFill="1" applyBorder="1" applyAlignment="1">
      <alignment horizontal="right"/>
      <protection/>
    </xf>
    <xf numFmtId="2" fontId="90" fillId="0" borderId="0" xfId="67" applyNumberFormat="1" applyFont="1" applyBorder="1" applyAlignment="1" applyProtection="1">
      <alignment horizontal="left"/>
      <protection/>
    </xf>
    <xf numFmtId="176" fontId="90" fillId="0" borderId="0" xfId="67" applyNumberFormat="1" applyFont="1" applyBorder="1" applyAlignment="1" applyProtection="1">
      <alignment horizontal="center"/>
      <protection/>
    </xf>
    <xf numFmtId="0" fontId="90" fillId="0" borderId="0" xfId="67" applyFont="1" applyBorder="1" applyAlignment="1" applyProtection="1">
      <alignment horizontal="center"/>
      <protection/>
    </xf>
    <xf numFmtId="173" fontId="90" fillId="0" borderId="0" xfId="67" applyNumberFormat="1" applyFont="1" applyBorder="1" applyAlignment="1" applyProtection="1">
      <alignment horizontal="center"/>
      <protection/>
    </xf>
    <xf numFmtId="0" fontId="111" fillId="0" borderId="0" xfId="67" applyFont="1">
      <alignment/>
      <protection/>
    </xf>
    <xf numFmtId="181" fontId="90" fillId="0" borderId="0" xfId="67" applyNumberFormat="1" applyFont="1" applyBorder="1" applyAlignment="1" applyProtection="1" quotePrefix="1">
      <alignment horizontal="center"/>
      <protection/>
    </xf>
    <xf numFmtId="0" fontId="90" fillId="0" borderId="0" xfId="67" applyFont="1">
      <alignment/>
      <protection/>
    </xf>
    <xf numFmtId="2" fontId="90" fillId="0" borderId="0" xfId="67" applyNumberFormat="1" applyFont="1" applyBorder="1" applyAlignment="1" applyProtection="1">
      <alignment horizontal="center"/>
      <protection/>
    </xf>
    <xf numFmtId="176" fontId="90" fillId="0" borderId="0" xfId="67" applyNumberFormat="1" applyFont="1" applyBorder="1" applyAlignment="1" applyProtection="1" quotePrefix="1">
      <alignment horizontal="center"/>
      <protection/>
    </xf>
    <xf numFmtId="0" fontId="4" fillId="0" borderId="0" xfId="67" applyFont="1" applyBorder="1" applyAlignment="1">
      <alignment horizontal="center"/>
      <protection/>
    </xf>
    <xf numFmtId="2" fontId="91" fillId="0" borderId="0" xfId="67" applyNumberFormat="1" applyFont="1" applyBorder="1" applyAlignment="1" applyProtection="1">
      <alignment horizontal="left"/>
      <protection/>
    </xf>
    <xf numFmtId="0" fontId="21" fillId="0" borderId="0" xfId="67" applyFont="1" applyAlignment="1">
      <alignment horizontal="center"/>
      <protection/>
    </xf>
    <xf numFmtId="181" fontId="4" fillId="0" borderId="0" xfId="67" applyNumberFormat="1" applyFont="1" applyBorder="1" applyAlignment="1" applyProtection="1">
      <alignment horizontal="left"/>
      <protection/>
    </xf>
    <xf numFmtId="176" fontId="4" fillId="0" borderId="0" xfId="67" applyNumberFormat="1" applyFont="1" applyBorder="1" applyAlignment="1" applyProtection="1">
      <alignment horizontal="left"/>
      <protection/>
    </xf>
    <xf numFmtId="4" fontId="89" fillId="0" borderId="0" xfId="67" applyNumberFormat="1" applyFont="1" applyBorder="1" applyAlignment="1" applyProtection="1">
      <alignment horizontal="center"/>
      <protection/>
    </xf>
    <xf numFmtId="7" fontId="4" fillId="0" borderId="0" xfId="67" applyNumberFormat="1" applyFont="1" applyBorder="1" applyAlignment="1">
      <alignment horizontal="centerContinuous"/>
      <protection/>
    </xf>
    <xf numFmtId="1" fontId="21" fillId="0" borderId="0" xfId="67" applyNumberFormat="1" applyFont="1" applyBorder="1" applyAlignment="1" applyProtection="1">
      <alignment horizontal="center"/>
      <protection/>
    </xf>
    <xf numFmtId="191" fontId="21" fillId="0" borderId="0" xfId="67" applyNumberFormat="1" applyFont="1" applyBorder="1" applyAlignment="1" applyProtection="1">
      <alignment horizontal="centerContinuous"/>
      <protection/>
    </xf>
    <xf numFmtId="191" fontId="90" fillId="0" borderId="0" xfId="67" applyNumberFormat="1" applyFont="1" applyBorder="1" applyAlignment="1" applyProtection="1">
      <alignment horizontal="centerContinuous"/>
      <protection/>
    </xf>
    <xf numFmtId="176" fontId="90" fillId="0" borderId="0" xfId="66" applyNumberFormat="1" applyFont="1" applyBorder="1" applyAlignment="1" applyProtection="1" quotePrefix="1">
      <alignment horizontal="left"/>
      <protection/>
    </xf>
    <xf numFmtId="176" fontId="21" fillId="0" borderId="0" xfId="67" applyNumberFormat="1" applyFont="1" applyBorder="1">
      <alignment/>
      <protection/>
    </xf>
    <xf numFmtId="7" fontId="21" fillId="0" borderId="0" xfId="67" applyNumberFormat="1" applyFont="1" applyBorder="1" applyAlignment="1">
      <alignment horizontal="centerContinuous"/>
      <protection/>
    </xf>
    <xf numFmtId="0" fontId="21" fillId="0" borderId="0" xfId="67" applyFont="1" applyAlignment="1">
      <alignment horizontal="centerContinuous"/>
      <protection/>
    </xf>
    <xf numFmtId="176" fontId="21" fillId="0" borderId="0" xfId="67" applyNumberFormat="1" applyFont="1" applyBorder="1" applyAlignment="1" applyProtection="1">
      <alignment horizontal="centerContinuous"/>
      <protection/>
    </xf>
    <xf numFmtId="176" fontId="90" fillId="0" borderId="0" xfId="67" applyNumberFormat="1" applyFont="1" applyBorder="1" applyAlignment="1" applyProtection="1" quotePrefix="1">
      <alignment horizontal="right"/>
      <protection/>
    </xf>
    <xf numFmtId="176" fontId="89" fillId="0" borderId="0" xfId="67" applyNumberFormat="1" applyFont="1" applyBorder="1" applyAlignment="1" applyProtection="1" quotePrefix="1">
      <alignment horizontal="center"/>
      <protection/>
    </xf>
    <xf numFmtId="2" fontId="92" fillId="0" borderId="0" xfId="67" applyNumberFormat="1" applyFont="1" applyBorder="1" applyAlignment="1" applyProtection="1">
      <alignment horizontal="center"/>
      <protection/>
    </xf>
    <xf numFmtId="4" fontId="90" fillId="0" borderId="0" xfId="67" applyNumberFormat="1" applyFont="1" applyBorder="1" applyAlignment="1" applyProtection="1">
      <alignment horizontal="center"/>
      <protection/>
    </xf>
    <xf numFmtId="7" fontId="90" fillId="0" borderId="0" xfId="67" applyNumberFormat="1" applyFont="1" applyFill="1" applyBorder="1" applyAlignment="1">
      <alignment horizontal="center"/>
      <protection/>
    </xf>
    <xf numFmtId="176" fontId="90" fillId="0" borderId="0" xfId="67" applyNumberFormat="1" applyFont="1" applyBorder="1" applyAlignment="1" applyProtection="1" quotePrefix="1">
      <alignment horizontal="left"/>
      <protection/>
    </xf>
    <xf numFmtId="1" fontId="21" fillId="0" borderId="0" xfId="67" applyNumberFormat="1" applyFont="1" applyBorder="1" applyAlignment="1" applyProtection="1">
      <alignment horizontal="left"/>
      <protection/>
    </xf>
    <xf numFmtId="1" fontId="21" fillId="0" borderId="0" xfId="67" applyNumberFormat="1" applyFont="1" applyBorder="1" applyAlignment="1" applyProtection="1">
      <alignment horizontal="centerContinuous"/>
      <protection/>
    </xf>
    <xf numFmtId="7" fontId="90" fillId="0" borderId="60" xfId="67" applyNumberFormat="1" applyFont="1" applyFill="1" applyBorder="1" applyAlignment="1">
      <alignment horizontal="center"/>
      <protection/>
    </xf>
    <xf numFmtId="7" fontId="21" fillId="0" borderId="0" xfId="67" applyNumberFormat="1" applyFont="1" applyBorder="1" applyAlignment="1">
      <alignment horizontal="right"/>
      <protection/>
    </xf>
    <xf numFmtId="176" fontId="22" fillId="0" borderId="0" xfId="67" applyNumberFormat="1" applyFont="1" applyBorder="1" applyAlignment="1" applyProtection="1">
      <alignment horizontal="left"/>
      <protection/>
    </xf>
    <xf numFmtId="10" fontId="21" fillId="0" borderId="0" xfId="67" applyNumberFormat="1" applyFont="1" applyBorder="1" applyAlignment="1" applyProtection="1">
      <alignment horizontal="center"/>
      <protection/>
    </xf>
    <xf numFmtId="7" fontId="21" fillId="0" borderId="0" xfId="67" applyNumberFormat="1" applyFont="1" applyAlignment="1">
      <alignment horizontal="right"/>
      <protection/>
    </xf>
    <xf numFmtId="0" fontId="21" fillId="0" borderId="0" xfId="67" applyFont="1" quotePrefix="1">
      <alignment/>
      <protection/>
    </xf>
    <xf numFmtId="176" fontId="21" fillId="0" borderId="0" xfId="67" applyNumberFormat="1" applyFont="1" applyBorder="1" applyAlignment="1" applyProtection="1" quotePrefix="1">
      <alignment horizontal="center"/>
      <protection/>
    </xf>
    <xf numFmtId="7" fontId="21" fillId="0" borderId="0" xfId="67" applyNumberFormat="1" applyFont="1" applyBorder="1" applyAlignment="1" applyProtection="1">
      <alignment horizontal="left"/>
      <protection/>
    </xf>
    <xf numFmtId="0" fontId="111" fillId="0" borderId="0" xfId="67" applyFont="1" quotePrefix="1">
      <alignment/>
      <protection/>
    </xf>
    <xf numFmtId="0" fontId="112" fillId="0" borderId="0" xfId="67" applyFont="1" applyAlignment="1">
      <alignment vertical="center"/>
      <protection/>
    </xf>
    <xf numFmtId="0" fontId="23" fillId="0" borderId="14" xfId="67" applyFont="1" applyBorder="1" applyAlignment="1">
      <alignment vertical="center"/>
      <protection/>
    </xf>
    <xf numFmtId="0" fontId="23" fillId="0" borderId="0" xfId="67" applyFont="1" applyBorder="1" applyAlignment="1">
      <alignment horizontal="center" vertical="center"/>
      <protection/>
    </xf>
    <xf numFmtId="176" fontId="23" fillId="0" borderId="0" xfId="67" applyNumberFormat="1" applyFont="1" applyBorder="1" applyAlignment="1" applyProtection="1">
      <alignment horizontal="left" vertical="center"/>
      <protection/>
    </xf>
    <xf numFmtId="0" fontId="112" fillId="0" borderId="0" xfId="67" applyFont="1" applyAlignment="1" quotePrefix="1">
      <alignment vertical="center"/>
      <protection/>
    </xf>
    <xf numFmtId="0" fontId="23" fillId="0" borderId="0" xfId="67" applyFont="1" applyBorder="1" applyAlignment="1" applyProtection="1">
      <alignment horizontal="center" vertical="center"/>
      <protection/>
    </xf>
    <xf numFmtId="173" fontId="23" fillId="0" borderId="0" xfId="67" applyNumberFormat="1" applyFont="1" applyBorder="1" applyAlignment="1" applyProtection="1">
      <alignment horizontal="center" vertical="center"/>
      <protection/>
    </xf>
    <xf numFmtId="4" fontId="10" fillId="0" borderId="16" xfId="67" applyNumberFormat="1" applyFont="1" applyBorder="1" applyAlignment="1" applyProtection="1">
      <alignment horizontal="center" vertical="center"/>
      <protection/>
    </xf>
    <xf numFmtId="7" fontId="113" fillId="0" borderId="17" xfId="67" applyNumberFormat="1" applyFont="1" applyFill="1" applyBorder="1" applyAlignment="1">
      <alignment horizontal="center" vertical="center"/>
      <protection/>
    </xf>
    <xf numFmtId="176" fontId="23" fillId="0" borderId="0" xfId="67" applyNumberFormat="1" applyFont="1" applyBorder="1" applyAlignment="1" applyProtection="1">
      <alignment horizontal="center" vertical="center"/>
      <protection/>
    </xf>
    <xf numFmtId="176" fontId="10" fillId="0" borderId="0" xfId="67" applyNumberFormat="1" applyFont="1" applyBorder="1" applyAlignment="1" applyProtection="1">
      <alignment horizontal="left" vertical="center"/>
      <protection/>
    </xf>
    <xf numFmtId="181" fontId="23" fillId="0" borderId="0" xfId="67" applyNumberFormat="1" applyFont="1" applyBorder="1" applyAlignment="1" applyProtection="1" quotePrefix="1">
      <alignment horizontal="center" vertical="center"/>
      <protection/>
    </xf>
    <xf numFmtId="2" fontId="93" fillId="0" borderId="0" xfId="67" applyNumberFormat="1" applyFont="1" applyBorder="1" applyAlignment="1" applyProtection="1">
      <alignment horizontal="center" vertical="center"/>
      <protection/>
    </xf>
    <xf numFmtId="176" fontId="94" fillId="0" borderId="0" xfId="67" applyNumberFormat="1" applyFont="1" applyBorder="1" applyAlignment="1" applyProtection="1" quotePrefix="1">
      <alignment horizontal="center" vertical="center"/>
      <protection/>
    </xf>
    <xf numFmtId="4" fontId="23" fillId="0" borderId="15" xfId="67" applyNumberFormat="1" applyFont="1" applyFill="1" applyBorder="1" applyAlignment="1">
      <alignment horizontal="center" vertical="center"/>
      <protection/>
    </xf>
    <xf numFmtId="0" fontId="21" fillId="0" borderId="18" xfId="67" applyFont="1" applyBorder="1">
      <alignment/>
      <protection/>
    </xf>
    <xf numFmtId="0" fontId="21" fillId="0" borderId="19" xfId="67" applyFont="1" applyBorder="1">
      <alignment/>
      <protection/>
    </xf>
    <xf numFmtId="0" fontId="3" fillId="0" borderId="19" xfId="67" applyBorder="1">
      <alignment/>
      <protection/>
    </xf>
    <xf numFmtId="0" fontId="21" fillId="0" borderId="20" xfId="67" applyFont="1" applyFill="1" applyBorder="1">
      <alignment/>
      <protection/>
    </xf>
    <xf numFmtId="0" fontId="13" fillId="0" borderId="0" xfId="67" applyFont="1" applyBorder="1" applyAlignment="1">
      <alignment horizontal="left"/>
      <protection/>
    </xf>
    <xf numFmtId="0" fontId="13" fillId="0" borderId="0" xfId="69" applyFont="1" applyFill="1">
      <alignment/>
      <protection/>
    </xf>
    <xf numFmtId="0" fontId="13" fillId="0" borderId="0" xfId="69" applyFont="1">
      <alignment/>
      <protection/>
    </xf>
    <xf numFmtId="0" fontId="3" fillId="0" borderId="0" xfId="69">
      <alignment/>
      <protection/>
    </xf>
    <xf numFmtId="0" fontId="11" fillId="0" borderId="0" xfId="69" applyFont="1" applyAlignment="1">
      <alignment horizontal="right" vertical="top"/>
      <protection/>
    </xf>
    <xf numFmtId="0" fontId="82" fillId="0" borderId="0" xfId="69" applyFont="1" applyFill="1">
      <alignment/>
      <protection/>
    </xf>
    <xf numFmtId="0" fontId="83" fillId="0" borderId="0" xfId="69" applyFont="1" applyAlignment="1">
      <alignment horizontal="centerContinuous"/>
      <protection/>
    </xf>
    <xf numFmtId="0" fontId="82" fillId="0" borderId="0" xfId="69" applyFont="1" applyAlignment="1">
      <alignment horizontal="centerContinuous"/>
      <protection/>
    </xf>
    <xf numFmtId="0" fontId="82" fillId="0" borderId="0" xfId="69" applyFont="1">
      <alignment/>
      <protection/>
    </xf>
    <xf numFmtId="0" fontId="6" fillId="0" borderId="0" xfId="69" applyFont="1" applyFill="1" applyBorder="1" applyAlignment="1" applyProtection="1">
      <alignment horizontal="center"/>
      <protection/>
    </xf>
    <xf numFmtId="0" fontId="6" fillId="0" borderId="0" xfId="69" applyFont="1" applyFill="1" applyBorder="1" applyAlignment="1" applyProtection="1">
      <alignment horizontal="left"/>
      <protection/>
    </xf>
    <xf numFmtId="0" fontId="14" fillId="0" borderId="0" xfId="69" applyFont="1">
      <alignment/>
      <protection/>
    </xf>
    <xf numFmtId="0" fontId="13" fillId="0" borderId="11" xfId="69" applyFont="1" applyBorder="1">
      <alignment/>
      <protection/>
    </xf>
    <xf numFmtId="0" fontId="13" fillId="0" borderId="12" xfId="69" applyFont="1" applyBorder="1">
      <alignment/>
      <protection/>
    </xf>
    <xf numFmtId="0" fontId="13" fillId="0" borderId="12" xfId="69" applyFont="1" applyBorder="1" applyAlignment="1" applyProtection="1">
      <alignment horizontal="left"/>
      <protection/>
    </xf>
    <xf numFmtId="0" fontId="3" fillId="0" borderId="12" xfId="69" applyBorder="1">
      <alignment/>
      <protection/>
    </xf>
    <xf numFmtId="0" fontId="13" fillId="0" borderId="13" xfId="69" applyFont="1" applyFill="1" applyBorder="1">
      <alignment/>
      <protection/>
    </xf>
    <xf numFmtId="0" fontId="13" fillId="0" borderId="14" xfId="69" applyFont="1" applyBorder="1">
      <alignment/>
      <protection/>
    </xf>
    <xf numFmtId="0" fontId="13" fillId="0" borderId="0" xfId="69" applyFont="1" applyBorder="1">
      <alignment/>
      <protection/>
    </xf>
    <xf numFmtId="0" fontId="20" fillId="0" borderId="0" xfId="69" applyFont="1" applyBorder="1" applyAlignment="1">
      <alignment horizontal="left"/>
      <protection/>
    </xf>
    <xf numFmtId="0" fontId="19" fillId="0" borderId="0" xfId="69" applyFont="1" applyBorder="1">
      <alignment/>
      <protection/>
    </xf>
    <xf numFmtId="0" fontId="13" fillId="0" borderId="15" xfId="69" applyFont="1" applyFill="1" applyBorder="1">
      <alignment/>
      <protection/>
    </xf>
    <xf numFmtId="0" fontId="23" fillId="0" borderId="0" xfId="69" applyFont="1">
      <alignment/>
      <protection/>
    </xf>
    <xf numFmtId="0" fontId="23" fillId="0" borderId="14" xfId="69" applyFont="1" applyBorder="1">
      <alignment/>
      <protection/>
    </xf>
    <xf numFmtId="0" fontId="23" fillId="0" borderId="0" xfId="69" applyFont="1" applyBorder="1">
      <alignment/>
      <protection/>
    </xf>
    <xf numFmtId="0" fontId="17" fillId="0" borderId="0" xfId="69" applyFont="1" applyBorder="1">
      <alignment/>
      <protection/>
    </xf>
    <xf numFmtId="0" fontId="23" fillId="0" borderId="15" xfId="69" applyFont="1" applyFill="1" applyBorder="1">
      <alignment/>
      <protection/>
    </xf>
    <xf numFmtId="0" fontId="13" fillId="0" borderId="0" xfId="69" applyFont="1" applyBorder="1" applyProtection="1">
      <alignment/>
      <protection/>
    </xf>
    <xf numFmtId="0" fontId="24" fillId="0" borderId="14" xfId="69" applyFont="1" applyBorder="1" applyAlignment="1">
      <alignment horizontal="centerContinuous"/>
      <protection/>
    </xf>
    <xf numFmtId="0" fontId="3" fillId="0" borderId="0" xfId="69" applyNumberFormat="1" applyAlignment="1">
      <alignment horizontal="centerContinuous"/>
      <protection/>
    </xf>
    <xf numFmtId="0" fontId="24" fillId="0" borderId="0" xfId="69" applyFont="1" applyBorder="1" applyAlignment="1">
      <alignment horizontal="centerContinuous"/>
      <protection/>
    </xf>
    <xf numFmtId="0" fontId="23" fillId="0" borderId="0" xfId="69" applyFont="1" applyBorder="1" applyAlignment="1">
      <alignment horizontal="centerContinuous"/>
      <protection/>
    </xf>
    <xf numFmtId="0" fontId="3" fillId="0" borderId="0" xfId="69" applyAlignment="1">
      <alignment horizontal="centerContinuous"/>
      <protection/>
    </xf>
    <xf numFmtId="0" fontId="23" fillId="0" borderId="0" xfId="69" applyFont="1" applyAlignment="1">
      <alignment horizontal="centerContinuous"/>
      <protection/>
    </xf>
    <xf numFmtId="0" fontId="23" fillId="0" borderId="0" xfId="69" applyFont="1" applyAlignment="1">
      <alignment/>
      <protection/>
    </xf>
    <xf numFmtId="0" fontId="23" fillId="0" borderId="15" xfId="69" applyFont="1" applyBorder="1" applyAlignment="1">
      <alignment horizontal="centerContinuous"/>
      <protection/>
    </xf>
    <xf numFmtId="0" fontId="13" fillId="0" borderId="0" xfId="69" applyFont="1" applyBorder="1" applyAlignment="1">
      <alignment horizontal="center"/>
      <protection/>
    </xf>
    <xf numFmtId="0" fontId="107" fillId="0" borderId="0" xfId="69" applyFont="1" applyBorder="1" applyAlignment="1" quotePrefix="1">
      <alignment horizontal="left"/>
      <protection/>
    </xf>
    <xf numFmtId="176" fontId="48" fillId="0" borderId="0" xfId="69" applyNumberFormat="1" applyFont="1" applyBorder="1" applyAlignment="1" applyProtection="1">
      <alignment horizontal="left"/>
      <protection/>
    </xf>
    <xf numFmtId="0" fontId="3" fillId="0" borderId="0" xfId="69" applyBorder="1">
      <alignment/>
      <protection/>
    </xf>
    <xf numFmtId="0" fontId="10" fillId="0" borderId="0" xfId="69" applyFont="1" applyBorder="1" applyAlignment="1">
      <alignment horizontal="center"/>
      <protection/>
    </xf>
    <xf numFmtId="0" fontId="10" fillId="0" borderId="0" xfId="69" applyFont="1" applyBorder="1">
      <alignment/>
      <protection/>
    </xf>
    <xf numFmtId="0" fontId="21" fillId="0" borderId="0" xfId="69" applyFont="1">
      <alignment/>
      <protection/>
    </xf>
    <xf numFmtId="0" fontId="21" fillId="0" borderId="14" xfId="69" applyFont="1" applyBorder="1">
      <alignment/>
      <protection/>
    </xf>
    <xf numFmtId="0" fontId="21" fillId="0" borderId="0" xfId="69" applyFont="1" applyBorder="1">
      <alignment/>
      <protection/>
    </xf>
    <xf numFmtId="0" fontId="21" fillId="0" borderId="0" xfId="69" applyFont="1" applyBorder="1" applyAlignment="1">
      <alignment horizontal="right"/>
      <protection/>
    </xf>
    <xf numFmtId="7" fontId="21" fillId="0" borderId="0" xfId="69" applyNumberFormat="1" applyFont="1" applyBorder="1" applyAlignment="1">
      <alignment horizontal="center"/>
      <protection/>
    </xf>
    <xf numFmtId="0" fontId="21" fillId="0" borderId="0" xfId="69" applyFont="1" applyBorder="1" applyAlignment="1">
      <alignment horizontal="center"/>
      <protection/>
    </xf>
    <xf numFmtId="0" fontId="84" fillId="0" borderId="0" xfId="69" applyFont="1" applyBorder="1" applyAlignment="1" quotePrefix="1">
      <alignment horizontal="left"/>
      <protection/>
    </xf>
    <xf numFmtId="0" fontId="21" fillId="0" borderId="15" xfId="69" applyFont="1" applyFill="1" applyBorder="1">
      <alignment/>
      <protection/>
    </xf>
    <xf numFmtId="0" fontId="21" fillId="0" borderId="0" xfId="69" applyFont="1" applyBorder="1" applyAlignment="1" applyProtection="1">
      <alignment horizontal="left"/>
      <protection/>
    </xf>
    <xf numFmtId="182" fontId="21" fillId="0" borderId="0" xfId="69" applyNumberFormat="1" applyFont="1" applyBorder="1" applyAlignment="1">
      <alignment horizontal="center"/>
      <protection/>
    </xf>
    <xf numFmtId="176" fontId="21" fillId="0" borderId="0" xfId="69" applyNumberFormat="1" applyFont="1" applyBorder="1" applyAlignment="1" applyProtection="1">
      <alignment horizontal="left"/>
      <protection/>
    </xf>
    <xf numFmtId="0" fontId="21" fillId="0" borderId="0" xfId="69" applyFont="1" applyAlignment="1">
      <alignment horizontal="right"/>
      <protection/>
    </xf>
    <xf numFmtId="10" fontId="21" fillId="0" borderId="0" xfId="69" applyNumberFormat="1" applyFont="1" applyBorder="1" applyAlignment="1" applyProtection="1">
      <alignment horizontal="right"/>
      <protection/>
    </xf>
    <xf numFmtId="0" fontId="3" fillId="0" borderId="0" xfId="69" applyFont="1" applyBorder="1" applyAlignment="1" applyProtection="1">
      <alignment horizontal="center"/>
      <protection/>
    </xf>
    <xf numFmtId="182" fontId="3" fillId="0" borderId="0" xfId="69" applyNumberFormat="1" applyFont="1" applyBorder="1" applyAlignment="1">
      <alignment horizontal="centerContinuous"/>
      <protection/>
    </xf>
    <xf numFmtId="191" fontId="21" fillId="0" borderId="0" xfId="69" applyNumberFormat="1" applyFont="1" applyBorder="1">
      <alignment/>
      <protection/>
    </xf>
    <xf numFmtId="0" fontId="21" fillId="0" borderId="0" xfId="69" applyFont="1" applyBorder="1" applyAlignment="1" applyProtection="1">
      <alignment horizontal="center"/>
      <protection/>
    </xf>
    <xf numFmtId="0" fontId="22" fillId="0" borderId="0" xfId="69" applyFont="1" applyBorder="1">
      <alignment/>
      <protection/>
    </xf>
    <xf numFmtId="176" fontId="4" fillId="0" borderId="16" xfId="69" applyNumberFormat="1" applyFont="1" applyBorder="1" applyAlignment="1" applyProtection="1">
      <alignment horizontal="center"/>
      <protection/>
    </xf>
    <xf numFmtId="191" fontId="21" fillId="0" borderId="17" xfId="69" applyNumberFormat="1" applyFont="1" applyBorder="1" applyAlignment="1" applyProtection="1">
      <alignment horizontal="centerContinuous"/>
      <protection/>
    </xf>
    <xf numFmtId="0" fontId="13" fillId="0" borderId="0" xfId="69" applyFont="1" applyBorder="1" applyAlignment="1" applyProtection="1">
      <alignment horizontal="center"/>
      <protection/>
    </xf>
    <xf numFmtId="0" fontId="30" fillId="0" borderId="21" xfId="69" applyFont="1" applyBorder="1" applyAlignment="1">
      <alignment horizontal="center" vertical="center"/>
      <protection/>
    </xf>
    <xf numFmtId="0" fontId="30" fillId="0" borderId="21" xfId="63" applyFont="1" applyBorder="1" applyAlignment="1">
      <alignment horizontal="center" vertical="center"/>
      <protection/>
    </xf>
    <xf numFmtId="172" fontId="30" fillId="0" borderId="17" xfId="69" applyNumberFormat="1" applyFont="1" applyBorder="1" applyAlignment="1" applyProtection="1">
      <alignment horizontal="center" vertical="center" wrapText="1"/>
      <protection/>
    </xf>
    <xf numFmtId="0" fontId="30" fillId="0" borderId="22" xfId="69" applyFont="1" applyBorder="1" applyAlignment="1" applyProtection="1">
      <alignment horizontal="center" vertical="center" wrapText="1"/>
      <protection/>
    </xf>
    <xf numFmtId="176" fontId="30" fillId="0" borderId="21" xfId="69" applyNumberFormat="1" applyFont="1" applyBorder="1" applyAlignment="1" applyProtection="1">
      <alignment horizontal="center" vertical="center"/>
      <protection/>
    </xf>
    <xf numFmtId="176" fontId="60" fillId="37" borderId="21" xfId="69" applyNumberFormat="1" applyFont="1" applyFill="1" applyBorder="1" applyAlignment="1" applyProtection="1">
      <alignment horizontal="center" vertical="center"/>
      <protection/>
    </xf>
    <xf numFmtId="0" fontId="62" fillId="34" borderId="21" xfId="69" applyFont="1" applyFill="1" applyBorder="1" applyAlignment="1" applyProtection="1">
      <alignment horizontal="center" vertical="center"/>
      <protection/>
    </xf>
    <xf numFmtId="0" fontId="30" fillId="0" borderId="21" xfId="69" applyFont="1" applyBorder="1" applyAlignment="1" applyProtection="1">
      <alignment horizontal="center" vertical="center"/>
      <protection/>
    </xf>
    <xf numFmtId="0" fontId="30" fillId="0" borderId="16" xfId="69" applyFont="1" applyBorder="1" applyAlignment="1" applyProtection="1">
      <alignment horizontal="center" vertical="center"/>
      <protection/>
    </xf>
    <xf numFmtId="0" fontId="30" fillId="0" borderId="16" xfId="69" applyFont="1" applyBorder="1" applyAlignment="1" applyProtection="1">
      <alignment horizontal="center" vertical="center" wrapText="1"/>
      <protection/>
    </xf>
    <xf numFmtId="0" fontId="30" fillId="0" borderId="21" xfId="69" applyFont="1" applyBorder="1" applyAlignment="1" applyProtection="1">
      <alignment horizontal="center" vertical="center" wrapText="1"/>
      <protection/>
    </xf>
    <xf numFmtId="0" fontId="62" fillId="42" borderId="21" xfId="69" applyFont="1" applyFill="1" applyBorder="1" applyAlignment="1">
      <alignment horizontal="center" vertical="center" wrapText="1"/>
      <protection/>
    </xf>
    <xf numFmtId="0" fontId="61" fillId="51" borderId="21" xfId="69" applyFont="1" applyFill="1" applyBorder="1" applyAlignment="1">
      <alignment horizontal="center" vertical="center" wrapText="1"/>
      <protection/>
    </xf>
    <xf numFmtId="0" fontId="85" fillId="35" borderId="16" xfId="69" applyFont="1" applyFill="1" applyBorder="1" applyAlignment="1" applyProtection="1">
      <alignment horizontal="centerContinuous" vertical="center" wrapText="1"/>
      <protection/>
    </xf>
    <xf numFmtId="0" fontId="86" fillId="35" borderId="22" xfId="69" applyFont="1" applyFill="1" applyBorder="1" applyAlignment="1">
      <alignment horizontal="centerContinuous"/>
      <protection/>
    </xf>
    <xf numFmtId="0" fontId="85" fillId="35" borderId="17" xfId="69" applyFont="1" applyFill="1" applyBorder="1" applyAlignment="1">
      <alignment horizontal="centerContinuous" vertical="center"/>
      <protection/>
    </xf>
    <xf numFmtId="0" fontId="62" fillId="52" borderId="16" xfId="69" applyFont="1" applyFill="1" applyBorder="1" applyAlignment="1">
      <alignment horizontal="centerContinuous" vertical="center" wrapText="1"/>
      <protection/>
    </xf>
    <xf numFmtId="0" fontId="87" fillId="52" borderId="22" xfId="69" applyFont="1" applyFill="1" applyBorder="1" applyAlignment="1">
      <alignment horizontal="centerContinuous"/>
      <protection/>
    </xf>
    <xf numFmtId="0" fontId="62" fillId="52" borderId="17" xfId="69" applyFont="1" applyFill="1" applyBorder="1" applyAlignment="1">
      <alignment horizontal="centerContinuous" vertical="center"/>
      <protection/>
    </xf>
    <xf numFmtId="0" fontId="62" fillId="39" borderId="21" xfId="69" applyFont="1" applyFill="1" applyBorder="1" applyAlignment="1">
      <alignment horizontal="centerContinuous" vertical="center" wrapText="1"/>
      <protection/>
    </xf>
    <xf numFmtId="0" fontId="62" fillId="53" borderId="21" xfId="69" applyFont="1" applyFill="1" applyBorder="1" applyAlignment="1">
      <alignment horizontal="centerContinuous" vertical="center" wrapText="1"/>
      <protection/>
    </xf>
    <xf numFmtId="0" fontId="30" fillId="0" borderId="17" xfId="69" applyFont="1" applyBorder="1" applyAlignment="1">
      <alignment horizontal="center" vertical="center" wrapText="1"/>
      <protection/>
    </xf>
    <xf numFmtId="0" fontId="30" fillId="0" borderId="21" xfId="69" applyFont="1" applyFill="1" applyBorder="1" applyAlignment="1">
      <alignment horizontal="center" vertical="center" wrapText="1"/>
      <protection/>
    </xf>
    <xf numFmtId="0" fontId="13" fillId="0" borderId="15" xfId="69" applyFont="1" applyFill="1" applyBorder="1" applyAlignment="1">
      <alignment horizontal="center"/>
      <protection/>
    </xf>
    <xf numFmtId="0" fontId="13" fillId="0" borderId="28" xfId="69" applyFont="1" applyBorder="1" applyAlignment="1">
      <alignment horizontal="center"/>
      <protection/>
    </xf>
    <xf numFmtId="0" fontId="21" fillId="0" borderId="28" xfId="69" applyFont="1" applyBorder="1">
      <alignment/>
      <protection/>
    </xf>
    <xf numFmtId="172" fontId="21" fillId="0" borderId="29" xfId="69" applyNumberFormat="1" applyFont="1" applyBorder="1" applyProtection="1">
      <alignment/>
      <protection/>
    </xf>
    <xf numFmtId="172" fontId="21" fillId="0" borderId="28" xfId="69" applyNumberFormat="1" applyFont="1" applyBorder="1" applyAlignment="1" applyProtection="1">
      <alignment horizontal="center"/>
      <protection/>
    </xf>
    <xf numFmtId="172" fontId="21" fillId="0" borderId="23" xfId="69" applyNumberFormat="1" applyFont="1" applyBorder="1" applyAlignment="1" applyProtection="1">
      <alignment horizontal="center"/>
      <protection/>
    </xf>
    <xf numFmtId="172" fontId="114" fillId="37" borderId="23" xfId="69" applyNumberFormat="1" applyFont="1" applyFill="1" applyBorder="1" applyAlignment="1" applyProtection="1">
      <alignment horizontal="center"/>
      <protection/>
    </xf>
    <xf numFmtId="182" fontId="108" fillId="34" borderId="23" xfId="69" applyNumberFormat="1" applyFont="1" applyFill="1" applyBorder="1" applyAlignment="1">
      <alignment horizontal="center"/>
      <protection/>
    </xf>
    <xf numFmtId="0" fontId="21" fillId="0" borderId="23" xfId="69" applyFont="1" applyBorder="1" applyAlignment="1">
      <alignment horizontal="center"/>
      <protection/>
    </xf>
    <xf numFmtId="0" fontId="21" fillId="0" borderId="74" xfId="69" applyFont="1" applyBorder="1" applyAlignment="1">
      <alignment horizontal="center"/>
      <protection/>
    </xf>
    <xf numFmtId="0" fontId="13" fillId="0" borderId="29" xfId="69" applyFont="1" applyBorder="1" applyAlignment="1">
      <alignment horizontal="center"/>
      <protection/>
    </xf>
    <xf numFmtId="0" fontId="13" fillId="0" borderId="23" xfId="69" applyFont="1" applyBorder="1" applyAlignment="1">
      <alignment horizontal="center"/>
      <protection/>
    </xf>
    <xf numFmtId="0" fontId="64" fillId="42" borderId="23" xfId="69" applyFont="1" applyFill="1" applyBorder="1" applyAlignment="1">
      <alignment horizontal="center"/>
      <protection/>
    </xf>
    <xf numFmtId="0" fontId="81" fillId="51" borderId="23" xfId="69" applyFont="1" applyFill="1" applyBorder="1" applyAlignment="1">
      <alignment horizontal="center"/>
      <protection/>
    </xf>
    <xf numFmtId="176" fontId="88" fillId="35" borderId="24" xfId="69" applyNumberFormat="1" applyFont="1" applyFill="1" applyBorder="1" applyAlignment="1" applyProtection="1" quotePrefix="1">
      <alignment horizontal="center"/>
      <protection/>
    </xf>
    <xf numFmtId="176" fontId="88" fillId="35" borderId="75" xfId="69" applyNumberFormat="1" applyFont="1" applyFill="1" applyBorder="1" applyAlignment="1" applyProtection="1" quotePrefix="1">
      <alignment horizontal="center"/>
      <protection/>
    </xf>
    <xf numFmtId="4" fontId="88" fillId="35" borderId="70" xfId="69" applyNumberFormat="1" applyFont="1" applyFill="1" applyBorder="1" applyAlignment="1" applyProtection="1">
      <alignment horizontal="center"/>
      <protection/>
    </xf>
    <xf numFmtId="176" fontId="64" fillId="52" borderId="24" xfId="69" applyNumberFormat="1" applyFont="1" applyFill="1" applyBorder="1" applyAlignment="1" applyProtection="1" quotePrefix="1">
      <alignment horizontal="center"/>
      <protection/>
    </xf>
    <xf numFmtId="176" fontId="64" fillId="52" borderId="75" xfId="69" applyNumberFormat="1" applyFont="1" applyFill="1" applyBorder="1" applyAlignment="1" applyProtection="1" quotePrefix="1">
      <alignment horizontal="center"/>
      <protection/>
    </xf>
    <xf numFmtId="4" fontId="64" fillId="52" borderId="70" xfId="69" applyNumberFormat="1" applyFont="1" applyFill="1" applyBorder="1" applyAlignment="1" applyProtection="1">
      <alignment horizontal="center"/>
      <protection/>
    </xf>
    <xf numFmtId="4" fontId="64" fillId="39" borderId="23" xfId="69" applyNumberFormat="1" applyFont="1" applyFill="1" applyBorder="1" applyAlignment="1" applyProtection="1">
      <alignment horizontal="center"/>
      <protection/>
    </xf>
    <xf numFmtId="4" fontId="64" fillId="53" borderId="23" xfId="69" applyNumberFormat="1" applyFont="1" applyFill="1" applyBorder="1" applyAlignment="1" applyProtection="1">
      <alignment horizontal="center"/>
      <protection/>
    </xf>
    <xf numFmtId="0" fontId="13" fillId="0" borderId="70" xfId="69" applyFont="1" applyBorder="1" applyAlignment="1">
      <alignment horizontal="left"/>
      <protection/>
    </xf>
    <xf numFmtId="0" fontId="48" fillId="0" borderId="70" xfId="69" applyFont="1" applyBorder="1" applyAlignment="1">
      <alignment horizontal="center"/>
      <protection/>
    </xf>
    <xf numFmtId="0" fontId="13" fillId="0" borderId="28" xfId="60" applyFont="1" applyBorder="1" applyAlignment="1" applyProtection="1">
      <alignment horizontal="center"/>
      <protection locked="0"/>
    </xf>
    <xf numFmtId="0" fontId="114" fillId="37" borderId="28" xfId="69" applyFont="1" applyFill="1" applyBorder="1" applyAlignment="1" applyProtection="1">
      <alignment horizontal="center"/>
      <protection/>
    </xf>
    <xf numFmtId="182" fontId="108" fillId="34" borderId="28" xfId="69" applyNumberFormat="1" applyFont="1" applyFill="1" applyBorder="1" applyAlignment="1" applyProtection="1">
      <alignment horizontal="center"/>
      <protection/>
    </xf>
    <xf numFmtId="4" fontId="13" fillId="0" borderId="28" xfId="69" applyNumberFormat="1" applyFont="1" applyFill="1" applyBorder="1" applyAlignment="1" applyProtection="1" quotePrefix="1">
      <alignment horizontal="center"/>
      <protection/>
    </xf>
    <xf numFmtId="172" fontId="13" fillId="0" borderId="28" xfId="69" applyNumberFormat="1" applyFont="1" applyFill="1" applyBorder="1" applyAlignment="1" applyProtection="1" quotePrefix="1">
      <alignment horizontal="center"/>
      <protection/>
    </xf>
    <xf numFmtId="176" fontId="13" fillId="0" borderId="29" xfId="69" applyNumberFormat="1" applyFont="1" applyBorder="1" applyAlignment="1" applyProtection="1">
      <alignment horizontal="center"/>
      <protection/>
    </xf>
    <xf numFmtId="181" fontId="13" fillId="0" borderId="29" xfId="69" applyNumberFormat="1" applyFont="1" applyBorder="1" applyAlignment="1" applyProtection="1" quotePrefix="1">
      <alignment horizontal="center"/>
      <protection/>
    </xf>
    <xf numFmtId="176" fontId="13" fillId="0" borderId="28" xfId="69" applyNumberFormat="1" applyFont="1" applyBorder="1" applyAlignment="1" applyProtection="1">
      <alignment horizontal="center"/>
      <protection/>
    </xf>
    <xf numFmtId="2" fontId="64" fillId="42" borderId="28" xfId="69" applyNumberFormat="1" applyFont="1" applyFill="1" applyBorder="1" applyAlignment="1" applyProtection="1">
      <alignment horizontal="center"/>
      <protection/>
    </xf>
    <xf numFmtId="2" fontId="81" fillId="51" borderId="28" xfId="69" applyNumberFormat="1" applyFont="1" applyFill="1" applyBorder="1" applyAlignment="1" applyProtection="1">
      <alignment horizontal="center"/>
      <protection/>
    </xf>
    <xf numFmtId="176" fontId="88" fillId="35" borderId="30" xfId="69" applyNumberFormat="1" applyFont="1" applyFill="1" applyBorder="1" applyAlignment="1" applyProtection="1" quotePrefix="1">
      <alignment horizontal="center"/>
      <protection/>
    </xf>
    <xf numFmtId="176" fontId="88" fillId="35" borderId="31" xfId="69" applyNumberFormat="1" applyFont="1" applyFill="1" applyBorder="1" applyAlignment="1" applyProtection="1" quotePrefix="1">
      <alignment horizontal="center"/>
      <protection/>
    </xf>
    <xf numFmtId="4" fontId="88" fillId="35" borderId="29" xfId="69" applyNumberFormat="1" applyFont="1" applyFill="1" applyBorder="1" applyAlignment="1" applyProtection="1">
      <alignment horizontal="center"/>
      <protection/>
    </xf>
    <xf numFmtId="176" fontId="64" fillId="52" borderId="30" xfId="69" applyNumberFormat="1" applyFont="1" applyFill="1" applyBorder="1" applyAlignment="1" applyProtection="1" quotePrefix="1">
      <alignment horizontal="center"/>
      <protection/>
    </xf>
    <xf numFmtId="176" fontId="64" fillId="52" borderId="31" xfId="69" applyNumberFormat="1" applyFont="1" applyFill="1" applyBorder="1" applyAlignment="1" applyProtection="1" quotePrefix="1">
      <alignment horizontal="center"/>
      <protection/>
    </xf>
    <xf numFmtId="4" fontId="64" fillId="52" borderId="29" xfId="69" applyNumberFormat="1" applyFont="1" applyFill="1" applyBorder="1" applyAlignment="1" applyProtection="1">
      <alignment horizontal="center"/>
      <protection/>
    </xf>
    <xf numFmtId="4" fontId="64" fillId="39" borderId="28" xfId="69" applyNumberFormat="1" applyFont="1" applyFill="1" applyBorder="1" applyAlignment="1" applyProtection="1">
      <alignment horizontal="center"/>
      <protection/>
    </xf>
    <xf numFmtId="4" fontId="64" fillId="53" borderId="28" xfId="69" applyNumberFormat="1" applyFont="1" applyFill="1" applyBorder="1" applyAlignment="1" applyProtection="1">
      <alignment horizontal="center"/>
      <protection/>
    </xf>
    <xf numFmtId="4" fontId="13" fillId="0" borderId="29" xfId="69" applyNumberFormat="1" applyFont="1" applyBorder="1" applyAlignment="1" applyProtection="1">
      <alignment horizontal="center"/>
      <protection/>
    </xf>
    <xf numFmtId="4" fontId="48" fillId="0" borderId="29" xfId="69" applyNumberFormat="1" applyFont="1" applyFill="1" applyBorder="1" applyAlignment="1">
      <alignment horizontal="right"/>
      <protection/>
    </xf>
    <xf numFmtId="0" fontId="13" fillId="0" borderId="36" xfId="69" applyFont="1" applyFill="1" applyBorder="1" applyAlignment="1">
      <alignment horizontal="center"/>
      <protection/>
    </xf>
    <xf numFmtId="0" fontId="21" fillId="0" borderId="36" xfId="69" applyFont="1" applyBorder="1" applyAlignment="1">
      <alignment horizontal="center"/>
      <protection/>
    </xf>
    <xf numFmtId="172" fontId="89" fillId="0" borderId="36" xfId="69" applyNumberFormat="1" applyFont="1" applyBorder="1" applyAlignment="1" applyProtection="1">
      <alignment horizontal="center"/>
      <protection/>
    </xf>
    <xf numFmtId="0" fontId="21" fillId="0" borderId="36" xfId="69" applyFont="1" applyBorder="1" applyAlignment="1" applyProtection="1">
      <alignment horizontal="center"/>
      <protection/>
    </xf>
    <xf numFmtId="173" fontId="21" fillId="0" borderId="36" xfId="69" applyNumberFormat="1" applyFont="1" applyBorder="1" applyAlignment="1" applyProtection="1">
      <alignment horizontal="center"/>
      <protection/>
    </xf>
    <xf numFmtId="173" fontId="114" fillId="37" borderId="36" xfId="69" applyNumberFormat="1" applyFont="1" applyFill="1" applyBorder="1" applyAlignment="1" applyProtection="1">
      <alignment horizontal="center"/>
      <protection/>
    </xf>
    <xf numFmtId="182" fontId="108" fillId="34" borderId="36" xfId="69" applyNumberFormat="1" applyFont="1" applyFill="1" applyBorder="1" applyAlignment="1" applyProtection="1">
      <alignment horizontal="center"/>
      <protection/>
    </xf>
    <xf numFmtId="176" fontId="21" fillId="0" borderId="36" xfId="69" applyNumberFormat="1" applyFont="1" applyBorder="1" applyAlignment="1" applyProtection="1">
      <alignment horizontal="center"/>
      <protection/>
    </xf>
    <xf numFmtId="176" fontId="13" fillId="0" borderId="36" xfId="69" applyNumberFormat="1" applyFont="1" applyBorder="1" applyAlignment="1" applyProtection="1">
      <alignment horizontal="center"/>
      <protection/>
    </xf>
    <xf numFmtId="181" fontId="13" fillId="0" borderId="36" xfId="69" applyNumberFormat="1" applyFont="1" applyBorder="1" applyAlignment="1" applyProtection="1" quotePrefix="1">
      <alignment horizontal="center"/>
      <protection/>
    </xf>
    <xf numFmtId="2" fontId="64" fillId="42" borderId="36" xfId="69" applyNumberFormat="1" applyFont="1" applyFill="1" applyBorder="1" applyAlignment="1" applyProtection="1">
      <alignment horizontal="center"/>
      <protection/>
    </xf>
    <xf numFmtId="2" fontId="81" fillId="51" borderId="36" xfId="69" applyNumberFormat="1" applyFont="1" applyFill="1" applyBorder="1" applyAlignment="1" applyProtection="1">
      <alignment horizontal="center"/>
      <protection/>
    </xf>
    <xf numFmtId="176" fontId="88" fillId="35" borderId="37" xfId="69" applyNumberFormat="1" applyFont="1" applyFill="1" applyBorder="1" applyAlignment="1" applyProtection="1" quotePrefix="1">
      <alignment horizontal="center"/>
      <protection/>
    </xf>
    <xf numFmtId="176" fontId="88" fillId="35" borderId="76" xfId="69" applyNumberFormat="1" applyFont="1" applyFill="1" applyBorder="1" applyAlignment="1" applyProtection="1" quotePrefix="1">
      <alignment horizontal="center"/>
      <protection/>
    </xf>
    <xf numFmtId="4" fontId="88" fillId="35" borderId="50" xfId="69" applyNumberFormat="1" applyFont="1" applyFill="1" applyBorder="1" applyAlignment="1" applyProtection="1">
      <alignment horizontal="center"/>
      <protection/>
    </xf>
    <xf numFmtId="176" fontId="64" fillId="52" borderId="37" xfId="69" applyNumberFormat="1" applyFont="1" applyFill="1" applyBorder="1" applyAlignment="1" applyProtection="1" quotePrefix="1">
      <alignment horizontal="center"/>
      <protection/>
    </xf>
    <xf numFmtId="176" fontId="64" fillId="52" borderId="76" xfId="69" applyNumberFormat="1" applyFont="1" applyFill="1" applyBorder="1" applyAlignment="1" applyProtection="1" quotePrefix="1">
      <alignment horizontal="center"/>
      <protection/>
    </xf>
    <xf numFmtId="4" fontId="64" fillId="52" borderId="50" xfId="69" applyNumberFormat="1" applyFont="1" applyFill="1" applyBorder="1" applyAlignment="1" applyProtection="1">
      <alignment horizontal="center"/>
      <protection/>
    </xf>
    <xf numFmtId="4" fontId="64" fillId="39" borderId="36" xfId="69" applyNumberFormat="1" applyFont="1" applyFill="1" applyBorder="1" applyAlignment="1" applyProtection="1">
      <alignment horizontal="center"/>
      <protection/>
    </xf>
    <xf numFmtId="4" fontId="64" fillId="53" borderId="36" xfId="69" applyNumberFormat="1" applyFont="1" applyFill="1" applyBorder="1" applyAlignment="1" applyProtection="1">
      <alignment horizontal="center"/>
      <protection/>
    </xf>
    <xf numFmtId="4" fontId="49" fillId="0" borderId="36" xfId="69" applyNumberFormat="1" applyFont="1" applyBorder="1" applyAlignment="1" applyProtection="1">
      <alignment horizontal="center"/>
      <protection/>
    </xf>
    <xf numFmtId="176" fontId="65" fillId="0" borderId="36" xfId="69" applyNumberFormat="1" applyFont="1" applyFill="1" applyBorder="1" applyAlignment="1">
      <alignment horizontal="center"/>
      <protection/>
    </xf>
    <xf numFmtId="4" fontId="13" fillId="0" borderId="15" xfId="69" applyNumberFormat="1" applyFont="1" applyFill="1" applyBorder="1" applyAlignment="1">
      <alignment horizontal="center"/>
      <protection/>
    </xf>
    <xf numFmtId="172" fontId="89" fillId="0" borderId="0" xfId="69" applyNumberFormat="1" applyFont="1" applyBorder="1" applyAlignment="1" applyProtection="1">
      <alignment horizontal="center"/>
      <protection/>
    </xf>
    <xf numFmtId="173" fontId="21" fillId="0" borderId="0" xfId="69" applyNumberFormat="1" applyFont="1" applyBorder="1" applyAlignment="1" applyProtection="1">
      <alignment horizontal="center"/>
      <protection/>
    </xf>
    <xf numFmtId="176" fontId="21" fillId="0" borderId="0" xfId="69" applyNumberFormat="1" applyFont="1" applyBorder="1" applyAlignment="1" applyProtection="1">
      <alignment horizontal="center"/>
      <protection/>
    </xf>
    <xf numFmtId="181" fontId="21" fillId="0" borderId="0" xfId="69" applyNumberFormat="1" applyFont="1" applyBorder="1" applyAlignment="1" applyProtection="1" quotePrefix="1">
      <alignment horizontal="center"/>
      <protection/>
    </xf>
    <xf numFmtId="2" fontId="108" fillId="42" borderId="21" xfId="69" applyNumberFormat="1" applyFont="1" applyFill="1" applyBorder="1" applyAlignment="1" applyProtection="1">
      <alignment horizontal="center"/>
      <protection/>
    </xf>
    <xf numFmtId="2" fontId="77" fillId="51" borderId="21" xfId="69" applyNumberFormat="1" applyFont="1" applyFill="1" applyBorder="1" applyAlignment="1" applyProtection="1">
      <alignment horizontal="center"/>
      <protection/>
    </xf>
    <xf numFmtId="2" fontId="109" fillId="35" borderId="21" xfId="69" applyNumberFormat="1" applyFont="1" applyFill="1" applyBorder="1" applyAlignment="1" applyProtection="1">
      <alignment horizontal="center"/>
      <protection/>
    </xf>
    <xf numFmtId="2" fontId="108" fillId="52" borderId="21" xfId="69" applyNumberFormat="1" applyFont="1" applyFill="1" applyBorder="1" applyAlignment="1" applyProtection="1">
      <alignment horizontal="center"/>
      <protection/>
    </xf>
    <xf numFmtId="2" fontId="108" fillId="39" borderId="21" xfId="69" applyNumberFormat="1" applyFont="1" applyFill="1" applyBorder="1" applyAlignment="1" applyProtection="1">
      <alignment horizontal="center"/>
      <protection/>
    </xf>
    <xf numFmtId="2" fontId="108" fillId="53" borderId="21" xfId="69" applyNumberFormat="1" applyFont="1" applyFill="1" applyBorder="1" applyAlignment="1" applyProtection="1">
      <alignment horizontal="center"/>
      <protection/>
    </xf>
    <xf numFmtId="2" fontId="21" fillId="0" borderId="44" xfId="69" applyNumberFormat="1" applyFont="1" applyBorder="1" applyAlignment="1" applyProtection="1">
      <alignment horizontal="center"/>
      <protection/>
    </xf>
    <xf numFmtId="7" fontId="48" fillId="0" borderId="21" xfId="69" applyNumberFormat="1" applyFont="1" applyBorder="1" applyAlignment="1" applyProtection="1">
      <alignment horizontal="right"/>
      <protection/>
    </xf>
    <xf numFmtId="2" fontId="108" fillId="0" borderId="22" xfId="69" applyNumberFormat="1" applyFont="1" applyFill="1" applyBorder="1" applyAlignment="1" applyProtection="1">
      <alignment horizontal="center"/>
      <protection/>
    </xf>
    <xf numFmtId="2" fontId="77" fillId="0" borderId="22" xfId="69" applyNumberFormat="1" applyFont="1" applyFill="1" applyBorder="1" applyAlignment="1" applyProtection="1">
      <alignment horizontal="center"/>
      <protection/>
    </xf>
    <xf numFmtId="2" fontId="109" fillId="0" borderId="22" xfId="69" applyNumberFormat="1" applyFont="1" applyFill="1" applyBorder="1" applyAlignment="1" applyProtection="1">
      <alignment horizontal="center"/>
      <protection/>
    </xf>
    <xf numFmtId="2" fontId="21" fillId="0" borderId="0" xfId="69" applyNumberFormat="1" applyFont="1" applyBorder="1" applyAlignment="1" applyProtection="1">
      <alignment horizontal="center"/>
      <protection/>
    </xf>
    <xf numFmtId="7" fontId="21" fillId="0" borderId="0" xfId="69" applyNumberFormat="1" applyFont="1" applyBorder="1" applyAlignment="1" applyProtection="1">
      <alignment horizontal="center"/>
      <protection/>
    </xf>
    <xf numFmtId="0" fontId="13" fillId="0" borderId="14" xfId="69" applyFont="1" applyFill="1" applyBorder="1">
      <alignment/>
      <protection/>
    </xf>
    <xf numFmtId="0" fontId="30" fillId="0" borderId="21" xfId="69" applyFont="1" applyFill="1" applyBorder="1" applyAlignment="1">
      <alignment horizontal="center" vertical="center"/>
      <protection/>
    </xf>
    <xf numFmtId="0" fontId="30" fillId="0" borderId="21" xfId="69" applyFont="1" applyFill="1" applyBorder="1" applyAlignment="1" applyProtection="1">
      <alignment horizontal="center" vertical="center" wrapText="1"/>
      <protection/>
    </xf>
    <xf numFmtId="0" fontId="30" fillId="0" borderId="21" xfId="69" applyFont="1" applyFill="1" applyBorder="1" applyAlignment="1" applyProtection="1">
      <alignment horizontal="center" vertical="center"/>
      <protection/>
    </xf>
    <xf numFmtId="0" fontId="30" fillId="0" borderId="21" xfId="69" applyFont="1" applyFill="1" applyBorder="1" applyAlignment="1" applyProtection="1" quotePrefix="1">
      <alignment horizontal="center" vertical="center" wrapText="1"/>
      <protection/>
    </xf>
    <xf numFmtId="0" fontId="60" fillId="37" borderId="21" xfId="69" applyFont="1" applyFill="1" applyBorder="1" applyAlignment="1" applyProtection="1">
      <alignment horizontal="center" vertical="center"/>
      <protection/>
    </xf>
    <xf numFmtId="0" fontId="60" fillId="48" borderId="21" xfId="69" applyFont="1" applyFill="1" applyBorder="1" applyAlignment="1" applyProtection="1">
      <alignment horizontal="center" vertical="center"/>
      <protection/>
    </xf>
    <xf numFmtId="0" fontId="30" fillId="0" borderId="16" xfId="69" applyFont="1" applyFill="1" applyBorder="1" applyAlignment="1" applyProtection="1">
      <alignment horizontal="centerContinuous" vertical="center"/>
      <protection/>
    </xf>
    <xf numFmtId="0" fontId="30" fillId="0" borderId="22" xfId="69" applyFont="1" applyFill="1" applyBorder="1" applyAlignment="1" applyProtection="1">
      <alignment horizontal="centerContinuous" vertical="center"/>
      <protection/>
    </xf>
    <xf numFmtId="0" fontId="62" fillId="49" borderId="21" xfId="69" applyFont="1" applyFill="1" applyBorder="1" applyAlignment="1">
      <alignment horizontal="center" vertical="center" wrapText="1"/>
      <protection/>
    </xf>
    <xf numFmtId="0" fontId="62" fillId="50" borderId="16" xfId="69" applyFont="1" applyFill="1" applyBorder="1" applyAlignment="1" applyProtection="1">
      <alignment horizontal="centerContinuous" vertical="center" wrapText="1"/>
      <protection/>
    </xf>
    <xf numFmtId="0" fontId="62" fillId="50" borderId="17" xfId="69" applyFont="1" applyFill="1" applyBorder="1" applyAlignment="1">
      <alignment horizontal="centerContinuous" vertical="center"/>
      <protection/>
    </xf>
    <xf numFmtId="0" fontId="62" fillId="35" borderId="21" xfId="69" applyFont="1" applyFill="1" applyBorder="1" applyAlignment="1">
      <alignment horizontal="centerContinuous" vertical="center" wrapText="1"/>
      <protection/>
    </xf>
    <xf numFmtId="0" fontId="62" fillId="48" borderId="69" xfId="69" applyFont="1" applyFill="1" applyBorder="1" applyAlignment="1">
      <alignment vertical="center" wrapText="1"/>
      <protection/>
    </xf>
    <xf numFmtId="0" fontId="62" fillId="48" borderId="41" xfId="69" applyFont="1" applyFill="1" applyBorder="1" applyAlignment="1">
      <alignment vertical="center" wrapText="1"/>
      <protection/>
    </xf>
    <xf numFmtId="0" fontId="62" fillId="48" borderId="44" xfId="69" applyFont="1" applyFill="1" applyBorder="1" applyAlignment="1">
      <alignment vertical="center" wrapText="1"/>
      <protection/>
    </xf>
    <xf numFmtId="0" fontId="30" fillId="0" borderId="21" xfId="69" applyFont="1" applyBorder="1" applyAlignment="1">
      <alignment horizontal="center" vertical="center" wrapText="1"/>
      <protection/>
    </xf>
    <xf numFmtId="0" fontId="13" fillId="0" borderId="28" xfId="69" applyFont="1" applyFill="1" applyBorder="1" applyAlignment="1">
      <alignment horizontal="center"/>
      <protection/>
    </xf>
    <xf numFmtId="172" fontId="13" fillId="0" borderId="28" xfId="69" applyNumberFormat="1" applyFont="1" applyFill="1" applyBorder="1" applyAlignment="1" applyProtection="1">
      <alignment horizontal="center"/>
      <protection/>
    </xf>
    <xf numFmtId="0" fontId="110" fillId="37" borderId="28" xfId="69" applyFont="1" applyFill="1" applyBorder="1" applyAlignment="1">
      <alignment horizontal="center"/>
      <protection/>
    </xf>
    <xf numFmtId="0" fontId="110" fillId="48" borderId="28" xfId="69" applyFont="1" applyFill="1" applyBorder="1" applyAlignment="1">
      <alignment horizontal="center"/>
      <protection/>
    </xf>
    <xf numFmtId="0" fontId="13" fillId="0" borderId="29" xfId="69" applyFont="1" applyFill="1" applyBorder="1" applyAlignment="1">
      <alignment horizontal="center"/>
      <protection/>
    </xf>
    <xf numFmtId="0" fontId="63" fillId="37" borderId="23" xfId="69" applyFont="1" applyFill="1" applyBorder="1" applyAlignment="1">
      <alignment horizontal="center"/>
      <protection/>
    </xf>
    <xf numFmtId="0" fontId="29" fillId="49" borderId="23" xfId="69" applyFont="1" applyFill="1" applyBorder="1" applyAlignment="1">
      <alignment horizontal="center"/>
      <protection/>
    </xf>
    <xf numFmtId="0" fontId="29" fillId="50" borderId="24" xfId="69" applyFont="1" applyFill="1" applyBorder="1" applyAlignment="1">
      <alignment horizontal="center"/>
      <protection/>
    </xf>
    <xf numFmtId="0" fontId="29" fillId="50" borderId="26" xfId="69" applyFont="1" applyFill="1" applyBorder="1" applyAlignment="1">
      <alignment horizontal="left"/>
      <protection/>
    </xf>
    <xf numFmtId="0" fontId="29" fillId="35" borderId="23" xfId="69" applyFont="1" applyFill="1" applyBorder="1" applyAlignment="1">
      <alignment horizontal="left"/>
      <protection/>
    </xf>
    <xf numFmtId="0" fontId="29" fillId="48" borderId="58" xfId="69" applyFont="1" applyFill="1" applyBorder="1" applyAlignment="1">
      <alignment horizontal="left"/>
      <protection/>
    </xf>
    <xf numFmtId="0" fontId="29" fillId="48" borderId="0" xfId="69" applyFont="1" applyFill="1" applyBorder="1" applyAlignment="1">
      <alignment horizontal="left"/>
      <protection/>
    </xf>
    <xf numFmtId="0" fontId="29" fillId="48" borderId="57" xfId="69" applyFont="1" applyFill="1" applyBorder="1" applyAlignment="1">
      <alignment horizontal="left"/>
      <protection/>
    </xf>
    <xf numFmtId="0" fontId="48" fillId="0" borderId="29" xfId="69" applyFont="1" applyFill="1" applyBorder="1" applyAlignment="1">
      <alignment horizontal="center"/>
      <protection/>
    </xf>
    <xf numFmtId="176" fontId="110" fillId="37" borderId="28" xfId="69" applyNumberFormat="1" applyFont="1" applyFill="1" applyBorder="1" applyAlignment="1" applyProtection="1">
      <alignment horizontal="center"/>
      <protection/>
    </xf>
    <xf numFmtId="176" fontId="110" fillId="48" borderId="28" xfId="69" applyNumberFormat="1" applyFont="1" applyFill="1" applyBorder="1" applyAlignment="1" applyProtection="1">
      <alignment horizontal="center"/>
      <protection/>
    </xf>
    <xf numFmtId="4" fontId="13" fillId="0" borderId="28" xfId="69" applyNumberFormat="1" applyFont="1" applyFill="1" applyBorder="1" applyAlignment="1" applyProtection="1">
      <alignment horizontal="center"/>
      <protection/>
    </xf>
    <xf numFmtId="3" fontId="13" fillId="0" borderId="28" xfId="69" applyNumberFormat="1" applyFont="1" applyFill="1" applyBorder="1" applyAlignment="1" applyProtection="1">
      <alignment horizontal="center"/>
      <protection/>
    </xf>
    <xf numFmtId="176" fontId="13" fillId="0" borderId="28" xfId="69" applyNumberFormat="1" applyFont="1" applyFill="1" applyBorder="1" applyAlignment="1" applyProtection="1">
      <alignment horizontal="center"/>
      <protection/>
    </xf>
    <xf numFmtId="176" fontId="13" fillId="0" borderId="28" xfId="69" applyNumberFormat="1" applyFont="1" applyBorder="1" applyAlignment="1" applyProtection="1" quotePrefix="1">
      <alignment horizontal="center"/>
      <protection/>
    </xf>
    <xf numFmtId="172" fontId="63" fillId="37" borderId="28" xfId="69" applyNumberFormat="1" applyFont="1" applyFill="1" applyBorder="1" applyAlignment="1" applyProtection="1">
      <alignment horizontal="center"/>
      <protection/>
    </xf>
    <xf numFmtId="2" fontId="64" fillId="49" borderId="28" xfId="69" applyNumberFormat="1" applyFont="1" applyFill="1" applyBorder="1" applyAlignment="1">
      <alignment horizontal="center"/>
      <protection/>
    </xf>
    <xf numFmtId="176" fontId="64" fillId="50" borderId="48" xfId="69" applyNumberFormat="1" applyFont="1" applyFill="1" applyBorder="1" applyAlignment="1" applyProtection="1" quotePrefix="1">
      <alignment horizontal="center"/>
      <protection/>
    </xf>
    <xf numFmtId="176" fontId="64" fillId="50" borderId="49" xfId="69" applyNumberFormat="1" applyFont="1" applyFill="1" applyBorder="1" applyAlignment="1" applyProtection="1" quotePrefix="1">
      <alignment horizontal="center"/>
      <protection/>
    </xf>
    <xf numFmtId="176" fontId="64" fillId="35" borderId="28" xfId="69" applyNumberFormat="1" applyFont="1" applyFill="1" applyBorder="1" applyAlignment="1" applyProtection="1" quotePrefix="1">
      <alignment horizontal="center"/>
      <protection/>
    </xf>
    <xf numFmtId="176" fontId="64" fillId="48" borderId="58" xfId="69" applyNumberFormat="1" applyFont="1" applyFill="1" applyBorder="1" applyAlignment="1" applyProtection="1" quotePrefix="1">
      <alignment horizontal="center"/>
      <protection/>
    </xf>
    <xf numFmtId="176" fontId="64" fillId="48" borderId="0" xfId="69" applyNumberFormat="1" applyFont="1" applyFill="1" applyBorder="1" applyAlignment="1" applyProtection="1" quotePrefix="1">
      <alignment horizontal="center"/>
      <protection/>
    </xf>
    <xf numFmtId="176" fontId="64" fillId="48" borderId="57" xfId="69" applyNumberFormat="1" applyFont="1" applyFill="1" applyBorder="1" applyAlignment="1" applyProtection="1" quotePrefix="1">
      <alignment horizontal="center"/>
      <protection/>
    </xf>
    <xf numFmtId="176" fontId="13" fillId="0" borderId="29" xfId="69" applyNumberFormat="1" applyFont="1" applyFill="1" applyBorder="1" applyAlignment="1">
      <alignment horizontal="center"/>
      <protection/>
    </xf>
    <xf numFmtId="4" fontId="78" fillId="0" borderId="29" xfId="69" applyNumberFormat="1" applyFont="1" applyFill="1" applyBorder="1" applyAlignment="1">
      <alignment horizontal="right"/>
      <protection/>
    </xf>
    <xf numFmtId="0" fontId="13" fillId="0" borderId="34" xfId="69" applyFont="1" applyBorder="1" applyAlignment="1" applyProtection="1">
      <alignment horizontal="center"/>
      <protection/>
    </xf>
    <xf numFmtId="0" fontId="13" fillId="0" borderId="71" xfId="69" applyFont="1" applyBorder="1" applyAlignment="1" applyProtection="1">
      <alignment horizontal="center"/>
      <protection/>
    </xf>
    <xf numFmtId="172" fontId="13" fillId="0" borderId="34" xfId="69" applyNumberFormat="1" applyFont="1" applyBorder="1" applyAlignment="1" applyProtection="1">
      <alignment horizontal="center"/>
      <protection/>
    </xf>
    <xf numFmtId="1" fontId="13" fillId="0" borderId="52" xfId="69" applyNumberFormat="1" applyFont="1" applyBorder="1" applyAlignment="1" applyProtection="1" quotePrefix="1">
      <alignment horizontal="center"/>
      <protection/>
    </xf>
    <xf numFmtId="176" fontId="110" fillId="37" borderId="36" xfId="69" applyNumberFormat="1" applyFont="1" applyFill="1" applyBorder="1" applyAlignment="1" applyProtection="1">
      <alignment horizontal="center"/>
      <protection/>
    </xf>
    <xf numFmtId="176" fontId="110" fillId="48" borderId="36" xfId="69" applyNumberFormat="1" applyFont="1" applyFill="1" applyBorder="1" applyAlignment="1" applyProtection="1">
      <alignment horizontal="center"/>
      <protection/>
    </xf>
    <xf numFmtId="22" fontId="13" fillId="0" borderId="36" xfId="69" applyNumberFormat="1" applyFont="1" applyFill="1" applyBorder="1" applyAlignment="1">
      <alignment horizontal="center"/>
      <protection/>
    </xf>
    <xf numFmtId="22" fontId="13" fillId="0" borderId="36" xfId="69" applyNumberFormat="1" applyFont="1" applyFill="1" applyBorder="1" applyAlignment="1" applyProtection="1">
      <alignment horizontal="center"/>
      <protection/>
    </xf>
    <xf numFmtId="4" fontId="13" fillId="0" borderId="36" xfId="69" applyNumberFormat="1" applyFont="1" applyFill="1" applyBorder="1" applyAlignment="1" applyProtection="1">
      <alignment horizontal="center"/>
      <protection/>
    </xf>
    <xf numFmtId="3" fontId="13" fillId="0" borderId="36" xfId="69" applyNumberFormat="1" applyFont="1" applyFill="1" applyBorder="1" applyAlignment="1" applyProtection="1">
      <alignment horizontal="center"/>
      <protection/>
    </xf>
    <xf numFmtId="176" fontId="13" fillId="0" borderId="36" xfId="69" applyNumberFormat="1" applyFont="1" applyFill="1" applyBorder="1" applyAlignment="1" applyProtection="1">
      <alignment horizontal="center"/>
      <protection/>
    </xf>
    <xf numFmtId="172" fontId="63" fillId="37" borderId="36" xfId="69" applyNumberFormat="1" applyFont="1" applyFill="1" applyBorder="1" applyAlignment="1" applyProtection="1">
      <alignment horizontal="center"/>
      <protection/>
    </xf>
    <xf numFmtId="2" fontId="29" fillId="49" borderId="36" xfId="69" applyNumberFormat="1" applyFont="1" applyFill="1" applyBorder="1" applyAlignment="1">
      <alignment horizontal="center"/>
      <protection/>
    </xf>
    <xf numFmtId="176" fontId="29" fillId="50" borderId="51" xfId="69" applyNumberFormat="1" applyFont="1" applyFill="1" applyBorder="1" applyAlignment="1" applyProtection="1" quotePrefix="1">
      <alignment horizontal="center"/>
      <protection/>
    </xf>
    <xf numFmtId="176" fontId="29" fillId="50" borderId="52" xfId="69" applyNumberFormat="1" applyFont="1" applyFill="1" applyBorder="1" applyAlignment="1" applyProtection="1" quotePrefix="1">
      <alignment horizontal="center"/>
      <protection/>
    </xf>
    <xf numFmtId="176" fontId="29" fillId="35" borderId="36" xfId="69" applyNumberFormat="1" applyFont="1" applyFill="1" applyBorder="1" applyAlignment="1" applyProtection="1" quotePrefix="1">
      <alignment horizontal="center"/>
      <protection/>
    </xf>
    <xf numFmtId="176" fontId="29" fillId="48" borderId="72" xfId="69" applyNumberFormat="1" applyFont="1" applyFill="1" applyBorder="1" applyAlignment="1" applyProtection="1" quotePrefix="1">
      <alignment horizontal="center"/>
      <protection/>
    </xf>
    <xf numFmtId="176" fontId="29" fillId="48" borderId="62" xfId="69" applyNumberFormat="1" applyFont="1" applyFill="1" applyBorder="1" applyAlignment="1" applyProtection="1" quotePrefix="1">
      <alignment horizontal="center"/>
      <protection/>
    </xf>
    <xf numFmtId="176" fontId="29" fillId="48" borderId="50" xfId="69" applyNumberFormat="1" applyFont="1" applyFill="1" applyBorder="1" applyAlignment="1" applyProtection="1" quotePrefix="1">
      <alignment horizontal="center"/>
      <protection/>
    </xf>
    <xf numFmtId="176" fontId="13" fillId="0" borderId="50" xfId="69" applyNumberFormat="1" applyFont="1" applyFill="1" applyBorder="1" applyAlignment="1">
      <alignment horizontal="center"/>
      <protection/>
    </xf>
    <xf numFmtId="4" fontId="78" fillId="0" borderId="50" xfId="69" applyNumberFormat="1" applyFont="1" applyFill="1" applyBorder="1" applyAlignment="1">
      <alignment horizontal="right"/>
      <protection/>
    </xf>
    <xf numFmtId="0" fontId="13" fillId="0" borderId="0" xfId="69" applyFont="1" applyFill="1" applyBorder="1" applyAlignment="1">
      <alignment horizontal="center"/>
      <protection/>
    </xf>
    <xf numFmtId="172" fontId="13" fillId="0" borderId="0" xfId="69" applyNumberFormat="1" applyFont="1" applyBorder="1" applyAlignment="1" applyProtection="1">
      <alignment horizontal="center"/>
      <protection/>
    </xf>
    <xf numFmtId="1" fontId="13" fillId="0" borderId="0" xfId="69" applyNumberFormat="1" applyFont="1" applyBorder="1" applyAlignment="1" applyProtection="1" quotePrefix="1">
      <alignment horizontal="center"/>
      <protection/>
    </xf>
    <xf numFmtId="176" fontId="13" fillId="0" borderId="0" xfId="69" applyNumberFormat="1" applyFont="1" applyFill="1" applyBorder="1" applyAlignment="1" applyProtection="1">
      <alignment horizontal="center"/>
      <protection/>
    </xf>
    <xf numFmtId="22" fontId="13" fillId="0" borderId="0" xfId="69" applyNumberFormat="1" applyFont="1" applyFill="1" applyBorder="1" applyAlignment="1">
      <alignment horizontal="center"/>
      <protection/>
    </xf>
    <xf numFmtId="22" fontId="13" fillId="0" borderId="0" xfId="69" applyNumberFormat="1" applyFont="1" applyFill="1" applyBorder="1" applyAlignment="1" applyProtection="1">
      <alignment horizontal="center"/>
      <protection/>
    </xf>
    <xf numFmtId="4" fontId="13" fillId="0" borderId="0" xfId="69" applyNumberFormat="1" applyFont="1" applyFill="1" applyBorder="1" applyAlignment="1" applyProtection="1">
      <alignment horizontal="center"/>
      <protection/>
    </xf>
    <xf numFmtId="3" fontId="13" fillId="0" borderId="0" xfId="69" applyNumberFormat="1" applyFont="1" applyFill="1" applyBorder="1" applyAlignment="1" applyProtection="1">
      <alignment horizontal="center"/>
      <protection/>
    </xf>
    <xf numFmtId="176" fontId="13" fillId="0" borderId="0" xfId="69" applyNumberFormat="1" applyFont="1" applyBorder="1" applyAlignment="1" applyProtection="1" quotePrefix="1">
      <alignment horizontal="center"/>
      <protection/>
    </xf>
    <xf numFmtId="176" fontId="13" fillId="0" borderId="0" xfId="69" applyNumberFormat="1" applyFont="1" applyBorder="1" applyAlignment="1" applyProtection="1">
      <alignment horizontal="center"/>
      <protection/>
    </xf>
    <xf numFmtId="172" fontId="13" fillId="0" borderId="41" xfId="69" applyNumberFormat="1" applyFont="1" applyFill="1" applyBorder="1" applyAlignment="1" applyProtection="1">
      <alignment horizontal="center"/>
      <protection/>
    </xf>
    <xf numFmtId="2" fontId="59" fillId="0" borderId="41" xfId="69" applyNumberFormat="1" applyFont="1" applyFill="1" applyBorder="1" applyAlignment="1">
      <alignment horizontal="center"/>
      <protection/>
    </xf>
    <xf numFmtId="176" fontId="49" fillId="0" borderId="41" xfId="69" applyNumberFormat="1" applyFont="1" applyFill="1" applyBorder="1" applyAlignment="1" applyProtection="1" quotePrefix="1">
      <alignment horizontal="center"/>
      <protection/>
    </xf>
    <xf numFmtId="176" fontId="13" fillId="0" borderId="41" xfId="69" applyNumberFormat="1" applyFont="1" applyFill="1" applyBorder="1" applyAlignment="1">
      <alignment horizontal="center"/>
      <protection/>
    </xf>
    <xf numFmtId="8" fontId="78" fillId="0" borderId="21" xfId="56" applyNumberFormat="1" applyFont="1" applyFill="1" applyBorder="1" applyAlignment="1">
      <alignment horizontal="right"/>
    </xf>
    <xf numFmtId="0" fontId="69" fillId="43" borderId="21" xfId="69" applyFont="1" applyFill="1" applyBorder="1" applyAlignment="1">
      <alignment horizontal="center" vertical="center" wrapText="1"/>
      <protection/>
    </xf>
    <xf numFmtId="0" fontId="35" fillId="36" borderId="16" xfId="69" applyFont="1" applyFill="1" applyBorder="1" applyAlignment="1" applyProtection="1">
      <alignment horizontal="centerContinuous" vertical="center" wrapText="1"/>
      <protection/>
    </xf>
    <xf numFmtId="0" fontId="35" fillId="36" borderId="17" xfId="69" applyFont="1" applyFill="1" applyBorder="1" applyAlignment="1">
      <alignment horizontal="centerContinuous" vertical="center"/>
      <protection/>
    </xf>
    <xf numFmtId="0" fontId="62" fillId="35" borderId="21" xfId="69" applyFont="1" applyFill="1" applyBorder="1" applyAlignment="1">
      <alignment horizontal="center" vertical="center" wrapText="1"/>
      <protection/>
    </xf>
    <xf numFmtId="172" fontId="29" fillId="34" borderId="28" xfId="69" applyNumberFormat="1" applyFont="1" applyFill="1" applyBorder="1" applyAlignment="1" applyProtection="1">
      <alignment horizontal="center"/>
      <protection/>
    </xf>
    <xf numFmtId="0" fontId="73" fillId="43" borderId="23" xfId="69" applyFont="1" applyFill="1" applyBorder="1" applyAlignment="1" applyProtection="1">
      <alignment horizontal="center"/>
      <protection/>
    </xf>
    <xf numFmtId="176" fontId="51" fillId="36" borderId="24" xfId="69" applyNumberFormat="1" applyFont="1" applyFill="1" applyBorder="1" applyAlignment="1" applyProtection="1" quotePrefix="1">
      <alignment horizontal="center"/>
      <protection/>
    </xf>
    <xf numFmtId="176" fontId="51" fillId="36" borderId="26" xfId="69" applyNumberFormat="1" applyFont="1" applyFill="1" applyBorder="1" applyAlignment="1" applyProtection="1" quotePrefix="1">
      <alignment horizontal="center"/>
      <protection/>
    </xf>
    <xf numFmtId="176" fontId="64" fillId="35" borderId="23" xfId="69" applyNumberFormat="1" applyFont="1" applyFill="1" applyBorder="1" applyAlignment="1" applyProtection="1" quotePrefix="1">
      <alignment horizontal="center"/>
      <protection/>
    </xf>
    <xf numFmtId="176" fontId="110" fillId="48" borderId="35" xfId="69" applyNumberFormat="1" applyFont="1" applyFill="1" applyBorder="1" applyAlignment="1" applyProtection="1">
      <alignment horizontal="center"/>
      <protection/>
    </xf>
    <xf numFmtId="176" fontId="13" fillId="0" borderId="29" xfId="75" applyNumberFormat="1" applyFont="1" applyBorder="1" applyAlignment="1" applyProtection="1">
      <alignment horizontal="center"/>
      <protection locked="0"/>
    </xf>
    <xf numFmtId="2" fontId="73" fillId="43" borderId="28" xfId="69" applyNumberFormat="1" applyFont="1" applyFill="1" applyBorder="1" applyAlignment="1" applyProtection="1">
      <alignment horizontal="center"/>
      <protection/>
    </xf>
    <xf numFmtId="176" fontId="51" fillId="36" borderId="30" xfId="69" applyNumberFormat="1" applyFont="1" applyFill="1" applyBorder="1" applyAlignment="1" applyProtection="1" quotePrefix="1">
      <alignment horizontal="center"/>
      <protection/>
    </xf>
    <xf numFmtId="176" fontId="51" fillId="36" borderId="56" xfId="69" applyNumberFormat="1" applyFont="1" applyFill="1" applyBorder="1" applyAlignment="1" applyProtection="1" quotePrefix="1">
      <alignment horizontal="center"/>
      <protection/>
    </xf>
    <xf numFmtId="4" fontId="78" fillId="0" borderId="28" xfId="69" applyNumberFormat="1" applyFont="1" applyFill="1" applyBorder="1" applyAlignment="1">
      <alignment horizontal="right"/>
      <protection/>
    </xf>
    <xf numFmtId="0" fontId="13" fillId="0" borderId="34" xfId="60" applyFont="1" applyBorder="1" applyAlignment="1" applyProtection="1">
      <alignment horizontal="center"/>
      <protection locked="0"/>
    </xf>
    <xf numFmtId="172" fontId="13" fillId="0" borderId="0" xfId="69" applyNumberFormat="1" applyFont="1" applyFill="1" applyBorder="1" applyAlignment="1" applyProtection="1">
      <alignment horizontal="center"/>
      <protection/>
    </xf>
    <xf numFmtId="2" fontId="59" fillId="0" borderId="0" xfId="69" applyNumberFormat="1" applyFont="1" applyFill="1" applyBorder="1" applyAlignment="1">
      <alignment horizontal="center"/>
      <protection/>
    </xf>
    <xf numFmtId="176" fontId="49" fillId="0" borderId="0" xfId="69" applyNumberFormat="1" applyFont="1" applyFill="1" applyBorder="1" applyAlignment="1" applyProtection="1" quotePrefix="1">
      <alignment horizontal="center"/>
      <protection/>
    </xf>
    <xf numFmtId="176" fontId="13" fillId="0" borderId="0" xfId="69" applyNumberFormat="1" applyFont="1" applyFill="1" applyBorder="1" applyAlignment="1">
      <alignment horizontal="center"/>
      <protection/>
    </xf>
    <xf numFmtId="8" fontId="78" fillId="0" borderId="22" xfId="56" applyNumberFormat="1" applyFont="1" applyFill="1" applyBorder="1" applyAlignment="1">
      <alignment horizontal="right"/>
    </xf>
    <xf numFmtId="8" fontId="78" fillId="0" borderId="0" xfId="56" applyNumberFormat="1" applyFont="1" applyFill="1" applyBorder="1" applyAlignment="1">
      <alignment horizontal="right"/>
    </xf>
    <xf numFmtId="4" fontId="21" fillId="0" borderId="15" xfId="69" applyNumberFormat="1" applyFont="1" applyFill="1" applyBorder="1" applyAlignment="1">
      <alignment horizontal="center"/>
      <protection/>
    </xf>
    <xf numFmtId="176" fontId="13" fillId="0" borderId="0" xfId="69" applyNumberFormat="1" applyFont="1" applyBorder="1" applyAlignment="1" applyProtection="1" quotePrefix="1">
      <alignment horizontal="centerContinuous"/>
      <protection/>
    </xf>
    <xf numFmtId="176" fontId="13" fillId="0" borderId="0" xfId="69" applyNumberFormat="1" applyFont="1" applyBorder="1" applyAlignment="1" applyProtection="1">
      <alignment horizontal="centerContinuous"/>
      <protection/>
    </xf>
    <xf numFmtId="4" fontId="78" fillId="0" borderId="0" xfId="69" applyNumberFormat="1" applyFont="1" applyFill="1" applyBorder="1" applyAlignment="1">
      <alignment horizontal="right"/>
      <protection/>
    </xf>
    <xf numFmtId="2" fontId="90" fillId="0" borderId="0" xfId="69" applyNumberFormat="1" applyFont="1" applyBorder="1" applyAlignment="1" applyProtection="1">
      <alignment horizontal="left"/>
      <protection/>
    </xf>
    <xf numFmtId="176" fontId="90" fillId="0" borderId="0" xfId="69" applyNumberFormat="1" applyFont="1" applyBorder="1" applyAlignment="1" applyProtection="1">
      <alignment horizontal="center"/>
      <protection/>
    </xf>
    <xf numFmtId="0" fontId="90" fillId="0" borderId="0" xfId="69" applyFont="1" applyBorder="1" applyAlignment="1" applyProtection="1">
      <alignment horizontal="center"/>
      <protection/>
    </xf>
    <xf numFmtId="173" fontId="90" fillId="0" borderId="0" xfId="69" applyNumberFormat="1" applyFont="1" applyBorder="1" applyAlignment="1" applyProtection="1">
      <alignment horizontal="center"/>
      <protection/>
    </xf>
    <xf numFmtId="0" fontId="111" fillId="0" borderId="0" xfId="69" applyFont="1">
      <alignment/>
      <protection/>
    </xf>
    <xf numFmtId="181" fontId="90" fillId="0" borderId="0" xfId="69" applyNumberFormat="1" applyFont="1" applyBorder="1" applyAlignment="1" applyProtection="1" quotePrefix="1">
      <alignment horizontal="center"/>
      <protection/>
    </xf>
    <xf numFmtId="0" fontId="90" fillId="0" borderId="0" xfId="69" applyFont="1">
      <alignment/>
      <protection/>
    </xf>
    <xf numFmtId="2" fontId="90" fillId="0" borderId="0" xfId="69" applyNumberFormat="1" applyFont="1" applyBorder="1" applyAlignment="1" applyProtection="1">
      <alignment horizontal="center"/>
      <protection/>
    </xf>
    <xf numFmtId="176" fontId="90" fillId="0" borderId="0" xfId="69" applyNumberFormat="1" applyFont="1" applyBorder="1" applyAlignment="1" applyProtection="1" quotePrefix="1">
      <alignment horizontal="center"/>
      <protection/>
    </xf>
    <xf numFmtId="0" fontId="4" fillId="0" borderId="0" xfId="69" applyFont="1" applyBorder="1" applyAlignment="1">
      <alignment horizontal="center"/>
      <protection/>
    </xf>
    <xf numFmtId="2" fontId="91" fillId="0" borderId="0" xfId="69" applyNumberFormat="1" applyFont="1" applyBorder="1" applyAlignment="1" applyProtection="1">
      <alignment horizontal="left"/>
      <protection/>
    </xf>
    <xf numFmtId="0" fontId="21" fillId="0" borderId="0" xfId="69" applyFont="1" applyAlignment="1">
      <alignment horizontal="center"/>
      <protection/>
    </xf>
    <xf numFmtId="181" fontId="4" fillId="0" borderId="0" xfId="69" applyNumberFormat="1" applyFont="1" applyBorder="1" applyAlignment="1" applyProtection="1">
      <alignment horizontal="left"/>
      <protection/>
    </xf>
    <xf numFmtId="176" fontId="4" fillId="0" borderId="0" xfId="69" applyNumberFormat="1" applyFont="1" applyBorder="1" applyAlignment="1" applyProtection="1">
      <alignment horizontal="left"/>
      <protection/>
    </xf>
    <xf numFmtId="4" fontId="89" fillId="0" borderId="0" xfId="69" applyNumberFormat="1" applyFont="1" applyBorder="1" applyAlignment="1" applyProtection="1">
      <alignment horizontal="center"/>
      <protection/>
    </xf>
    <xf numFmtId="7" fontId="4" fillId="0" borderId="0" xfId="69" applyNumberFormat="1" applyFont="1" applyBorder="1" applyAlignment="1">
      <alignment horizontal="centerContinuous"/>
      <protection/>
    </xf>
    <xf numFmtId="1" fontId="21" fillId="0" borderId="0" xfId="69" applyNumberFormat="1" applyFont="1" applyBorder="1" applyAlignment="1" applyProtection="1">
      <alignment horizontal="center"/>
      <protection/>
    </xf>
    <xf numFmtId="191" fontId="21" fillId="0" borderId="0" xfId="69" applyNumberFormat="1" applyFont="1" applyBorder="1" applyAlignment="1" applyProtection="1">
      <alignment horizontal="centerContinuous"/>
      <protection/>
    </xf>
    <xf numFmtId="191" fontId="90" fillId="0" borderId="0" xfId="69" applyNumberFormat="1" applyFont="1" applyBorder="1" applyAlignment="1" applyProtection="1">
      <alignment horizontal="centerContinuous"/>
      <protection/>
    </xf>
    <xf numFmtId="176" fontId="90" fillId="0" borderId="0" xfId="75" applyNumberFormat="1" applyFont="1" applyBorder="1" applyAlignment="1" applyProtection="1" quotePrefix="1">
      <alignment horizontal="left"/>
      <protection/>
    </xf>
    <xf numFmtId="176" fontId="21" fillId="0" borderId="0" xfId="69" applyNumberFormat="1" applyFont="1" applyBorder="1">
      <alignment/>
      <protection/>
    </xf>
    <xf numFmtId="7" fontId="21" fillId="0" borderId="0" xfId="69" applyNumberFormat="1" applyFont="1" applyBorder="1" applyAlignment="1">
      <alignment horizontal="centerContinuous"/>
      <protection/>
    </xf>
    <xf numFmtId="176" fontId="89" fillId="0" borderId="0" xfId="69" applyNumberFormat="1" applyFont="1" applyBorder="1" applyAlignment="1" applyProtection="1" quotePrefix="1">
      <alignment horizontal="center"/>
      <protection/>
    </xf>
    <xf numFmtId="2" fontId="92" fillId="0" borderId="0" xfId="69" applyNumberFormat="1" applyFont="1" applyBorder="1" applyAlignment="1" applyProtection="1">
      <alignment horizontal="center"/>
      <protection/>
    </xf>
    <xf numFmtId="4" fontId="90" fillId="0" borderId="0" xfId="69" applyNumberFormat="1" applyFont="1" applyBorder="1" applyAlignment="1" applyProtection="1">
      <alignment horizontal="center"/>
      <protection/>
    </xf>
    <xf numFmtId="7" fontId="90" fillId="0" borderId="0" xfId="69" applyNumberFormat="1" applyFont="1" applyFill="1" applyBorder="1" applyAlignment="1">
      <alignment horizontal="center"/>
      <protection/>
    </xf>
    <xf numFmtId="176" fontId="90" fillId="0" borderId="0" xfId="69" applyNumberFormat="1" applyFont="1" applyBorder="1" applyAlignment="1" applyProtection="1" quotePrefix="1">
      <alignment horizontal="left"/>
      <protection/>
    </xf>
    <xf numFmtId="176" fontId="21" fillId="0" borderId="0" xfId="69" applyNumberFormat="1" applyFont="1" applyBorder="1" applyAlignment="1" applyProtection="1">
      <alignment horizontal="centerContinuous"/>
      <protection/>
    </xf>
    <xf numFmtId="1" fontId="21" fillId="0" borderId="0" xfId="69" applyNumberFormat="1" applyFont="1" applyBorder="1" applyAlignment="1" applyProtection="1">
      <alignment horizontal="centerContinuous"/>
      <protection/>
    </xf>
    <xf numFmtId="7" fontId="21" fillId="0" borderId="0" xfId="69" applyNumberFormat="1" applyFont="1" applyBorder="1" applyAlignment="1">
      <alignment horizontal="right"/>
      <protection/>
    </xf>
    <xf numFmtId="0" fontId="66" fillId="0" borderId="16" xfId="69" applyFont="1" applyBorder="1" applyAlignment="1">
      <alignment horizontal="center"/>
      <protection/>
    </xf>
    <xf numFmtId="7" fontId="4" fillId="0" borderId="17" xfId="69" applyNumberFormat="1" applyFont="1" applyBorder="1" applyAlignment="1">
      <alignment horizontal="center"/>
      <protection/>
    </xf>
    <xf numFmtId="176" fontId="22" fillId="0" borderId="0" xfId="69" applyNumberFormat="1" applyFont="1" applyBorder="1" applyAlignment="1" applyProtection="1">
      <alignment horizontal="left"/>
      <protection/>
    </xf>
    <xf numFmtId="10" fontId="21" fillId="0" borderId="0" xfId="69" applyNumberFormat="1" applyFont="1" applyBorder="1" applyAlignment="1" applyProtection="1">
      <alignment horizontal="center"/>
      <protection/>
    </xf>
    <xf numFmtId="7" fontId="21" fillId="0" borderId="0" xfId="69" applyNumberFormat="1" applyFont="1" applyAlignment="1">
      <alignment horizontal="right"/>
      <protection/>
    </xf>
    <xf numFmtId="0" fontId="21" fillId="0" borderId="0" xfId="69" applyFont="1" quotePrefix="1">
      <alignment/>
      <protection/>
    </xf>
    <xf numFmtId="176" fontId="21" fillId="0" borderId="0" xfId="69" applyNumberFormat="1" applyFont="1" applyBorder="1" applyAlignment="1" applyProtection="1" quotePrefix="1">
      <alignment horizontal="center"/>
      <protection/>
    </xf>
    <xf numFmtId="7" fontId="21" fillId="0" borderId="0" xfId="69" applyNumberFormat="1" applyFont="1" applyBorder="1" applyAlignment="1" applyProtection="1">
      <alignment horizontal="left"/>
      <protection/>
    </xf>
    <xf numFmtId="0" fontId="111" fillId="0" borderId="0" xfId="69" applyFont="1" quotePrefix="1">
      <alignment/>
      <protection/>
    </xf>
    <xf numFmtId="0" fontId="112" fillId="0" borderId="0" xfId="69" applyFont="1" applyAlignment="1">
      <alignment vertical="center"/>
      <protection/>
    </xf>
    <xf numFmtId="0" fontId="23" fillId="0" borderId="14" xfId="69" applyFont="1" applyBorder="1" applyAlignment="1">
      <alignment vertical="center"/>
      <protection/>
    </xf>
    <xf numFmtId="0" fontId="23" fillId="0" borderId="0" xfId="69" applyFont="1" applyBorder="1" applyAlignment="1">
      <alignment horizontal="center" vertical="center"/>
      <protection/>
    </xf>
    <xf numFmtId="176" fontId="23" fillId="0" borderId="0" xfId="69" applyNumberFormat="1" applyFont="1" applyBorder="1" applyAlignment="1" applyProtection="1">
      <alignment horizontal="left" vertical="center"/>
      <protection/>
    </xf>
    <xf numFmtId="0" fontId="112" fillId="0" borderId="0" xfId="69" applyFont="1" applyAlignment="1" quotePrefix="1">
      <alignment vertical="center"/>
      <protection/>
    </xf>
    <xf numFmtId="0" fontId="23" fillId="0" borderId="0" xfId="69" applyFont="1" applyBorder="1" applyAlignment="1" applyProtection="1">
      <alignment horizontal="center" vertical="center"/>
      <protection/>
    </xf>
    <xf numFmtId="173" fontId="23" fillId="0" borderId="0" xfId="69" applyNumberFormat="1" applyFont="1" applyBorder="1" applyAlignment="1" applyProtection="1">
      <alignment horizontal="center" vertical="center"/>
      <protection/>
    </xf>
    <xf numFmtId="4" fontId="10" fillId="0" borderId="16" xfId="69" applyNumberFormat="1" applyFont="1" applyBorder="1" applyAlignment="1" applyProtection="1">
      <alignment horizontal="center" vertical="center"/>
      <protection/>
    </xf>
    <xf numFmtId="7" fontId="113" fillId="0" borderId="17" xfId="69" applyNumberFormat="1" applyFont="1" applyFill="1" applyBorder="1" applyAlignment="1">
      <alignment horizontal="center" vertical="center"/>
      <protection/>
    </xf>
    <xf numFmtId="176" fontId="23" fillId="0" borderId="0" xfId="69" applyNumberFormat="1" applyFont="1" applyBorder="1" applyAlignment="1" applyProtection="1">
      <alignment horizontal="center" vertical="center"/>
      <protection/>
    </xf>
    <xf numFmtId="176" fontId="10" fillId="0" borderId="0" xfId="69" applyNumberFormat="1" applyFont="1" applyBorder="1" applyAlignment="1" applyProtection="1">
      <alignment horizontal="left" vertical="center"/>
      <protection/>
    </xf>
    <xf numFmtId="181" fontId="23" fillId="0" borderId="0" xfId="69" applyNumberFormat="1" applyFont="1" applyBorder="1" applyAlignment="1" applyProtection="1" quotePrefix="1">
      <alignment horizontal="center" vertical="center"/>
      <protection/>
    </xf>
    <xf numFmtId="2" fontId="93" fillId="0" borderId="0" xfId="69" applyNumberFormat="1" applyFont="1" applyBorder="1" applyAlignment="1" applyProtection="1">
      <alignment horizontal="center" vertical="center"/>
      <protection/>
    </xf>
    <xf numFmtId="176" fontId="94" fillId="0" borderId="0" xfId="69" applyNumberFormat="1" applyFont="1" applyBorder="1" applyAlignment="1" applyProtection="1" quotePrefix="1">
      <alignment horizontal="center" vertical="center"/>
      <protection/>
    </xf>
    <xf numFmtId="4" fontId="23" fillId="0" borderId="15" xfId="69" applyNumberFormat="1" applyFont="1" applyFill="1" applyBorder="1" applyAlignment="1">
      <alignment horizontal="center" vertical="center"/>
      <protection/>
    </xf>
    <xf numFmtId="0" fontId="21" fillId="0" borderId="18" xfId="69" applyFont="1" applyBorder="1">
      <alignment/>
      <protection/>
    </xf>
    <xf numFmtId="0" fontId="21" fillId="0" borderId="19" xfId="69" applyFont="1" applyBorder="1">
      <alignment/>
      <protection/>
    </xf>
    <xf numFmtId="0" fontId="3" fillId="0" borderId="19" xfId="69" applyBorder="1">
      <alignment/>
      <protection/>
    </xf>
    <xf numFmtId="0" fontId="21" fillId="0" borderId="20" xfId="69" applyFont="1" applyFill="1" applyBorder="1">
      <alignment/>
      <protection/>
    </xf>
    <xf numFmtId="0" fontId="13" fillId="0" borderId="0" xfId="69" applyFont="1" applyBorder="1" applyAlignment="1">
      <alignment horizontal="left"/>
      <protection/>
    </xf>
    <xf numFmtId="0" fontId="82" fillId="0" borderId="0" xfId="68" applyFont="1" applyFill="1">
      <alignment/>
      <protection/>
    </xf>
    <xf numFmtId="0" fontId="83" fillId="0" borderId="0" xfId="68" applyFont="1" applyAlignment="1">
      <alignment horizontal="centerContinuous"/>
      <protection/>
    </xf>
    <xf numFmtId="0" fontId="82" fillId="0" borderId="0" xfId="68" applyFont="1" applyAlignment="1">
      <alignment horizontal="centerContinuous"/>
      <protection/>
    </xf>
    <xf numFmtId="0" fontId="82" fillId="0" borderId="0" xfId="68" applyFont="1">
      <alignment/>
      <protection/>
    </xf>
    <xf numFmtId="0" fontId="6" fillId="0" borderId="0" xfId="68" applyFont="1" applyFill="1" applyBorder="1" applyAlignment="1" applyProtection="1">
      <alignment horizontal="center"/>
      <protection/>
    </xf>
    <xf numFmtId="0" fontId="19" fillId="0" borderId="0" xfId="68" applyFont="1" applyBorder="1">
      <alignment/>
      <protection/>
    </xf>
    <xf numFmtId="0" fontId="23" fillId="0" borderId="14" xfId="68" applyFont="1" applyBorder="1">
      <alignment/>
      <protection/>
    </xf>
    <xf numFmtId="0" fontId="23" fillId="0" borderId="0" xfId="68" applyFont="1" applyBorder="1">
      <alignment/>
      <protection/>
    </xf>
    <xf numFmtId="0" fontId="17" fillId="0" borderId="0" xfId="68" applyFont="1" applyBorder="1">
      <alignment/>
      <protection/>
    </xf>
    <xf numFmtId="0" fontId="23" fillId="0" borderId="15" xfId="68" applyFont="1" applyFill="1" applyBorder="1">
      <alignment/>
      <protection/>
    </xf>
    <xf numFmtId="0" fontId="13" fillId="0" borderId="0" xfId="68" applyFont="1" applyBorder="1" applyProtection="1">
      <alignment/>
      <protection/>
    </xf>
    <xf numFmtId="0" fontId="3" fillId="0" borderId="0" xfId="68" applyNumberFormat="1" applyAlignment="1">
      <alignment horizontal="centerContinuous"/>
      <protection/>
    </xf>
    <xf numFmtId="0" fontId="23" fillId="0" borderId="0" xfId="68" applyFont="1" applyBorder="1" applyAlignment="1">
      <alignment horizontal="centerContinuous"/>
      <protection/>
    </xf>
    <xf numFmtId="0" fontId="3" fillId="0" borderId="0" xfId="68" applyAlignment="1">
      <alignment horizontal="centerContinuous"/>
      <protection/>
    </xf>
    <xf numFmtId="0" fontId="23" fillId="0" borderId="0" xfId="68" applyFont="1" applyAlignment="1">
      <alignment horizontal="centerContinuous"/>
      <protection/>
    </xf>
    <xf numFmtId="0" fontId="23" fillId="0" borderId="15" xfId="68" applyFont="1" applyBorder="1" applyAlignment="1">
      <alignment horizontal="centerContinuous"/>
      <protection/>
    </xf>
    <xf numFmtId="0" fontId="107" fillId="0" borderId="0" xfId="68" applyFont="1" applyBorder="1" applyAlignment="1" quotePrefix="1">
      <alignment horizontal="left"/>
      <protection/>
    </xf>
    <xf numFmtId="176" fontId="48" fillId="0" borderId="0" xfId="68" applyNumberFormat="1" applyFont="1" applyBorder="1" applyAlignment="1" applyProtection="1">
      <alignment horizontal="left"/>
      <protection/>
    </xf>
    <xf numFmtId="0" fontId="10" fillId="0" borderId="0" xfId="68" applyFont="1" applyBorder="1" applyAlignment="1">
      <alignment horizontal="center"/>
      <protection/>
    </xf>
    <xf numFmtId="0" fontId="10" fillId="0" borderId="0" xfId="68" applyFont="1" applyBorder="1">
      <alignment/>
      <protection/>
    </xf>
    <xf numFmtId="0" fontId="21" fillId="0" borderId="0" xfId="68" applyFont="1">
      <alignment/>
      <protection/>
    </xf>
    <xf numFmtId="0" fontId="21" fillId="0" borderId="14" xfId="68" applyFont="1" applyBorder="1">
      <alignment/>
      <protection/>
    </xf>
    <xf numFmtId="0" fontId="21" fillId="0" borderId="0" xfId="68" applyFont="1" applyBorder="1">
      <alignment/>
      <protection/>
    </xf>
    <xf numFmtId="0" fontId="21" fillId="0" borderId="0" xfId="68" applyFont="1" applyBorder="1" applyAlignment="1">
      <alignment horizontal="right"/>
      <protection/>
    </xf>
    <xf numFmtId="0" fontId="21" fillId="0" borderId="0" xfId="68" applyFont="1" applyAlignment="1">
      <alignment horizontal="right"/>
      <protection/>
    </xf>
    <xf numFmtId="191" fontId="21" fillId="0" borderId="0" xfId="68" applyNumberFormat="1" applyFont="1" applyBorder="1" applyAlignment="1" applyProtection="1">
      <alignment horizontal="centerContinuous"/>
      <protection/>
    </xf>
    <xf numFmtId="176" fontId="90" fillId="0" borderId="0" xfId="68" applyNumberFormat="1" applyFont="1" applyBorder="1" applyAlignment="1" applyProtection="1" quotePrefix="1">
      <alignment horizontal="left"/>
      <protection/>
    </xf>
    <xf numFmtId="0" fontId="84" fillId="0" borderId="0" xfId="68" applyFont="1" applyBorder="1" applyAlignment="1" quotePrefix="1">
      <alignment horizontal="left"/>
      <protection/>
    </xf>
    <xf numFmtId="1" fontId="3" fillId="0" borderId="77" xfId="68" applyNumberFormat="1" applyBorder="1" applyAlignment="1">
      <alignment horizontal="center"/>
      <protection/>
    </xf>
    <xf numFmtId="0" fontId="21" fillId="0" borderId="15" xfId="68" applyFont="1" applyFill="1" applyBorder="1">
      <alignment/>
      <protection/>
    </xf>
    <xf numFmtId="0" fontId="21" fillId="0" borderId="0" xfId="68" applyFont="1" applyAlignment="1">
      <alignment/>
      <protection/>
    </xf>
    <xf numFmtId="10" fontId="21" fillId="0" borderId="0" xfId="68" applyNumberFormat="1" applyFont="1" applyBorder="1" applyAlignment="1" applyProtection="1">
      <alignment horizontal="right"/>
      <protection/>
    </xf>
    <xf numFmtId="182" fontId="21" fillId="0" borderId="0" xfId="68" applyNumberFormat="1" applyFont="1" applyBorder="1" applyAlignment="1">
      <alignment horizontal="center"/>
      <protection/>
    </xf>
    <xf numFmtId="0" fontId="48" fillId="0" borderId="78" xfId="68" applyFont="1" applyBorder="1" applyAlignment="1">
      <alignment horizontal="centerContinuous"/>
      <protection/>
    </xf>
    <xf numFmtId="0" fontId="48" fillId="0" borderId="79" xfId="68" applyFont="1" applyBorder="1" applyAlignment="1">
      <alignment horizontal="centerContinuous"/>
      <protection/>
    </xf>
    <xf numFmtId="1" fontId="48" fillId="0" borderId="64" xfId="68" applyNumberFormat="1" applyFont="1" applyBorder="1" applyAlignment="1">
      <alignment horizontal="center"/>
      <protection/>
    </xf>
    <xf numFmtId="182" fontId="48" fillId="0" borderId="0" xfId="68" applyNumberFormat="1" applyFont="1" applyBorder="1" applyAlignment="1">
      <alignment horizontal="center"/>
      <protection/>
    </xf>
    <xf numFmtId="0" fontId="48" fillId="0" borderId="80" xfId="68" applyFont="1" applyBorder="1" applyAlignment="1">
      <alignment horizontal="centerContinuous"/>
      <protection/>
    </xf>
    <xf numFmtId="0" fontId="48" fillId="0" borderId="67" xfId="68" applyFont="1" applyBorder="1" applyAlignment="1">
      <alignment horizontal="centerContinuous"/>
      <protection/>
    </xf>
    <xf numFmtId="1" fontId="48" fillId="0" borderId="65" xfId="68" applyNumberFormat="1" applyFont="1" applyBorder="1" applyAlignment="1">
      <alignment horizontal="center"/>
      <protection/>
    </xf>
    <xf numFmtId="191" fontId="21" fillId="0" borderId="0" xfId="68" applyNumberFormat="1" applyFont="1" applyBorder="1">
      <alignment/>
      <protection/>
    </xf>
    <xf numFmtId="0" fontId="48" fillId="0" borderId="81" xfId="68" applyFont="1" applyBorder="1" applyAlignment="1">
      <alignment horizontal="centerContinuous"/>
      <protection/>
    </xf>
    <xf numFmtId="0" fontId="48" fillId="0" borderId="82" xfId="68" applyFont="1" applyBorder="1" applyAlignment="1">
      <alignment horizontal="centerContinuous"/>
      <protection/>
    </xf>
    <xf numFmtId="1" fontId="48" fillId="0" borderId="66" xfId="68" applyNumberFormat="1" applyFont="1" applyFill="1" applyBorder="1" applyAlignment="1">
      <alignment horizontal="center"/>
      <protection/>
    </xf>
    <xf numFmtId="182" fontId="48" fillId="0" borderId="0" xfId="68" applyNumberFormat="1" applyFont="1" applyFill="1" applyBorder="1" applyAlignment="1">
      <alignment horizontal="center"/>
      <protection/>
    </xf>
    <xf numFmtId="0" fontId="21" fillId="0" borderId="0" xfId="68" applyFont="1" applyBorder="1" applyAlignment="1" applyProtection="1">
      <alignment horizontal="center"/>
      <protection/>
    </xf>
    <xf numFmtId="0" fontId="22" fillId="0" borderId="0" xfId="68" applyFont="1" applyBorder="1">
      <alignment/>
      <protection/>
    </xf>
    <xf numFmtId="0" fontId="21" fillId="0" borderId="0" xfId="68" applyFont="1" applyBorder="1" applyAlignment="1">
      <alignment horizontal="center"/>
      <protection/>
    </xf>
    <xf numFmtId="176" fontId="10" fillId="0" borderId="16" xfId="68" applyNumberFormat="1" applyFont="1" applyBorder="1" applyAlignment="1" applyProtection="1">
      <alignment horizontal="center"/>
      <protection/>
    </xf>
    <xf numFmtId="191" fontId="10" fillId="0" borderId="17" xfId="68" applyNumberFormat="1" applyFont="1" applyBorder="1" applyAlignment="1" applyProtection="1">
      <alignment horizontal="centerContinuous"/>
      <protection/>
    </xf>
    <xf numFmtId="172" fontId="89" fillId="0" borderId="0" xfId="68" applyNumberFormat="1" applyFont="1" applyBorder="1" applyAlignment="1" applyProtection="1">
      <alignment horizontal="center"/>
      <protection/>
    </xf>
    <xf numFmtId="173" fontId="21" fillId="0" borderId="0" xfId="68" applyNumberFormat="1" applyFont="1" applyBorder="1" applyAlignment="1" applyProtection="1">
      <alignment horizontal="center"/>
      <protection/>
    </xf>
    <xf numFmtId="176" fontId="21" fillId="0" borderId="0" xfId="68" applyNumberFormat="1" applyFont="1" applyBorder="1" applyAlignment="1" applyProtection="1">
      <alignment horizontal="center"/>
      <protection/>
    </xf>
    <xf numFmtId="181" fontId="21" fillId="0" borderId="0" xfId="68" applyNumberFormat="1" applyFont="1" applyBorder="1" applyAlignment="1" applyProtection="1" quotePrefix="1">
      <alignment horizontal="center"/>
      <protection/>
    </xf>
    <xf numFmtId="2" fontId="108" fillId="0" borderId="62" xfId="68" applyNumberFormat="1" applyFont="1" applyFill="1" applyBorder="1" applyAlignment="1" applyProtection="1">
      <alignment horizontal="center"/>
      <protection/>
    </xf>
    <xf numFmtId="2" fontId="77" fillId="0" borderId="62" xfId="68" applyNumberFormat="1" applyFont="1" applyFill="1" applyBorder="1" applyAlignment="1" applyProtection="1">
      <alignment horizontal="center"/>
      <protection/>
    </xf>
    <xf numFmtId="2" fontId="109" fillId="0" borderId="62" xfId="68" applyNumberFormat="1" applyFont="1" applyFill="1" applyBorder="1" applyAlignment="1" applyProtection="1">
      <alignment horizontal="center"/>
      <protection/>
    </xf>
    <xf numFmtId="4" fontId="13" fillId="0" borderId="15" xfId="68" applyNumberFormat="1" applyFont="1" applyFill="1" applyBorder="1" applyAlignment="1">
      <alignment horizontal="center"/>
      <protection/>
    </xf>
    <xf numFmtId="0" fontId="30" fillId="0" borderId="16" xfId="68" applyFont="1" applyFill="1" applyBorder="1" applyAlignment="1" applyProtection="1">
      <alignment horizontal="centerContinuous" vertical="center"/>
      <protection/>
    </xf>
    <xf numFmtId="0" fontId="62" fillId="49" borderId="21" xfId="68" applyFont="1" applyFill="1" applyBorder="1" applyAlignment="1">
      <alignment horizontal="center" vertical="center" wrapText="1"/>
      <protection/>
    </xf>
    <xf numFmtId="0" fontId="62" fillId="50" borderId="16" xfId="68" applyFont="1" applyFill="1" applyBorder="1" applyAlignment="1" applyProtection="1">
      <alignment horizontal="centerContinuous" vertical="center" wrapText="1"/>
      <protection/>
    </xf>
    <xf numFmtId="0" fontId="62" fillId="50" borderId="17" xfId="68" applyFont="1" applyFill="1" applyBorder="1" applyAlignment="1">
      <alignment horizontal="centerContinuous" vertical="center"/>
      <protection/>
    </xf>
    <xf numFmtId="0" fontId="62" fillId="35" borderId="21" xfId="68" applyFont="1" applyFill="1" applyBorder="1" applyAlignment="1">
      <alignment horizontal="centerContinuous" vertical="center" wrapText="1"/>
      <protection/>
    </xf>
    <xf numFmtId="172" fontId="13" fillId="0" borderId="28" xfId="68" applyNumberFormat="1" applyFont="1" applyFill="1" applyBorder="1" applyAlignment="1" applyProtection="1">
      <alignment horizontal="center"/>
      <protection/>
    </xf>
    <xf numFmtId="0" fontId="110" fillId="37" borderId="28" xfId="68" applyFont="1" applyFill="1" applyBorder="1" applyAlignment="1">
      <alignment horizontal="center"/>
      <protection/>
    </xf>
    <xf numFmtId="0" fontId="13" fillId="0" borderId="29" xfId="68" applyFont="1" applyFill="1" applyBorder="1" applyAlignment="1">
      <alignment horizontal="center"/>
      <protection/>
    </xf>
    <xf numFmtId="0" fontId="13" fillId="0" borderId="23" xfId="68" applyFont="1" applyFill="1" applyBorder="1" applyAlignment="1">
      <alignment horizontal="centerContinuous"/>
      <protection/>
    </xf>
    <xf numFmtId="0" fontId="63" fillId="37" borderId="23" xfId="68" applyFont="1" applyFill="1" applyBorder="1" applyAlignment="1">
      <alignment horizontal="center"/>
      <protection/>
    </xf>
    <xf numFmtId="0" fontId="29" fillId="49" borderId="23" xfId="68" applyFont="1" applyFill="1" applyBorder="1" applyAlignment="1">
      <alignment horizontal="center"/>
      <protection/>
    </xf>
    <xf numFmtId="0" fontId="29" fillId="50" borderId="24" xfId="68" applyFont="1" applyFill="1" applyBorder="1" applyAlignment="1">
      <alignment horizontal="center"/>
      <protection/>
    </xf>
    <xf numFmtId="0" fontId="29" fillId="50" borderId="26" xfId="68" applyFont="1" applyFill="1" applyBorder="1" applyAlignment="1">
      <alignment horizontal="left"/>
      <protection/>
    </xf>
    <xf numFmtId="0" fontId="29" fillId="35" borderId="23" xfId="68" applyFont="1" applyFill="1" applyBorder="1" applyAlignment="1">
      <alignment horizontal="left"/>
      <protection/>
    </xf>
    <xf numFmtId="0" fontId="48" fillId="0" borderId="29" xfId="68" applyFont="1" applyFill="1" applyBorder="1" applyAlignment="1">
      <alignment horizontal="center"/>
      <protection/>
    </xf>
    <xf numFmtId="176" fontId="110" fillId="37" borderId="28" xfId="68" applyNumberFormat="1" applyFont="1" applyFill="1" applyBorder="1" applyAlignment="1" applyProtection="1">
      <alignment horizontal="center"/>
      <protection/>
    </xf>
    <xf numFmtId="22" fontId="13" fillId="0" borderId="28" xfId="73" applyNumberFormat="1" applyFont="1" applyFill="1" applyBorder="1" applyAlignment="1" applyProtection="1">
      <alignment horizontal="center"/>
      <protection locked="0"/>
    </xf>
    <xf numFmtId="4" fontId="13" fillId="0" borderId="28" xfId="68" applyNumberFormat="1" applyFont="1" applyFill="1" applyBorder="1" applyAlignment="1" applyProtection="1">
      <alignment horizontal="center"/>
      <protection/>
    </xf>
    <xf numFmtId="3" fontId="13" fillId="0" borderId="28" xfId="68" applyNumberFormat="1" applyFont="1" applyFill="1" applyBorder="1" applyAlignment="1" applyProtection="1">
      <alignment horizontal="center"/>
      <protection/>
    </xf>
    <xf numFmtId="176" fontId="13" fillId="0" borderId="28" xfId="74" applyNumberFormat="1" applyFont="1" applyFill="1" applyBorder="1" applyAlignment="1" applyProtection="1">
      <alignment horizontal="center"/>
      <protection/>
    </xf>
    <xf numFmtId="176" fontId="13" fillId="0" borderId="28" xfId="68" applyNumberFormat="1" applyFont="1" applyBorder="1" applyAlignment="1" applyProtection="1" quotePrefix="1">
      <alignment horizontal="center"/>
      <protection/>
    </xf>
    <xf numFmtId="176" fontId="13" fillId="0" borderId="28" xfId="68" applyNumberFormat="1" applyFont="1" applyBorder="1" applyAlignment="1" applyProtection="1">
      <alignment horizontal="centerContinuous"/>
      <protection/>
    </xf>
    <xf numFmtId="172" fontId="63" fillId="37" borderId="28" xfId="68" applyNumberFormat="1" applyFont="1" applyFill="1" applyBorder="1" applyAlignment="1" applyProtection="1">
      <alignment horizontal="center"/>
      <protection/>
    </xf>
    <xf numFmtId="2" fontId="64" fillId="49" borderId="28" xfId="68" applyNumberFormat="1" applyFont="1" applyFill="1" applyBorder="1" applyAlignment="1">
      <alignment horizontal="center"/>
      <protection/>
    </xf>
    <xf numFmtId="176" fontId="64" fillId="50" borderId="48" xfId="68" applyNumberFormat="1" applyFont="1" applyFill="1" applyBorder="1" applyAlignment="1" applyProtection="1" quotePrefix="1">
      <alignment horizontal="center"/>
      <protection/>
    </xf>
    <xf numFmtId="176" fontId="64" fillId="50" borderId="49" xfId="68" applyNumberFormat="1" applyFont="1" applyFill="1" applyBorder="1" applyAlignment="1" applyProtection="1" quotePrefix="1">
      <alignment horizontal="center"/>
      <protection/>
    </xf>
    <xf numFmtId="176" fontId="64" fillId="35" borderId="28" xfId="68" applyNumberFormat="1" applyFont="1" applyFill="1" applyBorder="1" applyAlignment="1" applyProtection="1" quotePrefix="1">
      <alignment horizontal="center"/>
      <protection/>
    </xf>
    <xf numFmtId="176" fontId="13" fillId="0" borderId="29" xfId="68" applyNumberFormat="1" applyFont="1" applyFill="1" applyBorder="1" applyAlignment="1">
      <alignment horizontal="center"/>
      <protection/>
    </xf>
    <xf numFmtId="4" fontId="78" fillId="0" borderId="29" xfId="68" applyNumberFormat="1" applyFont="1" applyFill="1" applyBorder="1" applyAlignment="1">
      <alignment horizontal="right"/>
      <protection/>
    </xf>
    <xf numFmtId="0" fontId="13" fillId="0" borderId="27" xfId="74" applyFont="1" applyBorder="1" applyAlignment="1" applyProtection="1">
      <alignment horizontal="center"/>
      <protection locked="0"/>
    </xf>
    <xf numFmtId="22" fontId="13" fillId="0" borderId="28" xfId="74" applyNumberFormat="1" applyFont="1" applyFill="1" applyBorder="1" applyAlignment="1" applyProtection="1">
      <alignment horizontal="center"/>
      <protection locked="0"/>
    </xf>
    <xf numFmtId="0" fontId="13" fillId="0" borderId="83" xfId="68" applyFont="1" applyBorder="1" applyAlignment="1" applyProtection="1">
      <alignment horizontal="center"/>
      <protection/>
    </xf>
    <xf numFmtId="22" fontId="13" fillId="0" borderId="28" xfId="68" applyNumberFormat="1" applyFont="1" applyFill="1" applyBorder="1" applyAlignment="1" applyProtection="1">
      <alignment horizontal="center"/>
      <protection/>
    </xf>
    <xf numFmtId="176" fontId="13" fillId="0" borderId="28" xfId="74" applyNumberFormat="1" applyFont="1" applyFill="1" applyBorder="1" applyAlignment="1" applyProtection="1">
      <alignment horizontal="center"/>
      <protection locked="0"/>
    </xf>
    <xf numFmtId="0" fontId="13" fillId="0" borderId="36" xfId="68" applyFont="1" applyFill="1" applyBorder="1" applyAlignment="1">
      <alignment horizontal="center"/>
      <protection/>
    </xf>
    <xf numFmtId="0" fontId="13" fillId="0" borderId="34" xfId="68" applyFont="1" applyBorder="1" applyAlignment="1" applyProtection="1">
      <alignment horizontal="center"/>
      <protection/>
    </xf>
    <xf numFmtId="0" fontId="13" fillId="0" borderId="84" xfId="73" applyFont="1" applyBorder="1" applyAlignment="1" applyProtection="1">
      <alignment horizontal="center"/>
      <protection locked="0"/>
    </xf>
    <xf numFmtId="172" fontId="13" fillId="0" borderId="34" xfId="73" applyNumberFormat="1" applyFont="1" applyBorder="1" applyAlignment="1" applyProtection="1">
      <alignment horizontal="center"/>
      <protection locked="0"/>
    </xf>
    <xf numFmtId="176" fontId="110" fillId="37" borderId="36" xfId="68" applyNumberFormat="1" applyFont="1" applyFill="1" applyBorder="1" applyAlignment="1" applyProtection="1">
      <alignment horizontal="center"/>
      <protection/>
    </xf>
    <xf numFmtId="22" fontId="13" fillId="0" borderId="36" xfId="68" applyNumberFormat="1" applyFont="1" applyFill="1" applyBorder="1" applyAlignment="1">
      <alignment horizontal="center"/>
      <protection/>
    </xf>
    <xf numFmtId="22" fontId="13" fillId="0" borderId="36" xfId="68" applyNumberFormat="1" applyFont="1" applyFill="1" applyBorder="1" applyAlignment="1" applyProtection="1">
      <alignment horizontal="center"/>
      <protection/>
    </xf>
    <xf numFmtId="4" fontId="13" fillId="0" borderId="36" xfId="68" applyNumberFormat="1" applyFont="1" applyFill="1" applyBorder="1" applyAlignment="1" applyProtection="1">
      <alignment horizontal="center"/>
      <protection/>
    </xf>
    <xf numFmtId="3" fontId="13" fillId="0" borderId="36" xfId="68" applyNumberFormat="1" applyFont="1" applyFill="1" applyBorder="1" applyAlignment="1" applyProtection="1">
      <alignment horizontal="center"/>
      <protection/>
    </xf>
    <xf numFmtId="176" fontId="13" fillId="0" borderId="36" xfId="68" applyNumberFormat="1" applyFont="1" applyFill="1" applyBorder="1" applyAlignment="1" applyProtection="1">
      <alignment horizontal="center"/>
      <protection/>
    </xf>
    <xf numFmtId="176" fontId="13" fillId="0" borderId="36" xfId="68" applyNumberFormat="1" applyFont="1" applyBorder="1" applyAlignment="1" applyProtection="1">
      <alignment horizontal="centerContinuous"/>
      <protection/>
    </xf>
    <xf numFmtId="172" fontId="63" fillId="37" borderId="36" xfId="68" applyNumberFormat="1" applyFont="1" applyFill="1" applyBorder="1" applyAlignment="1" applyProtection="1">
      <alignment horizontal="center"/>
      <protection/>
    </xf>
    <xf numFmtId="2" fontId="29" fillId="49" borderId="36" xfId="68" applyNumberFormat="1" applyFont="1" applyFill="1" applyBorder="1" applyAlignment="1">
      <alignment horizontal="center"/>
      <protection/>
    </xf>
    <xf numFmtId="176" fontId="29" fillId="50" borderId="51" xfId="68" applyNumberFormat="1" applyFont="1" applyFill="1" applyBorder="1" applyAlignment="1" applyProtection="1" quotePrefix="1">
      <alignment horizontal="center"/>
      <protection/>
    </xf>
    <xf numFmtId="176" fontId="29" fillId="50" borderId="52" xfId="68" applyNumberFormat="1" applyFont="1" applyFill="1" applyBorder="1" applyAlignment="1" applyProtection="1" quotePrefix="1">
      <alignment horizontal="center"/>
      <protection/>
    </xf>
    <xf numFmtId="176" fontId="29" fillId="35" borderId="36" xfId="68" applyNumberFormat="1" applyFont="1" applyFill="1" applyBorder="1" applyAlignment="1" applyProtection="1" quotePrefix="1">
      <alignment horizontal="center"/>
      <protection/>
    </xf>
    <xf numFmtId="176" fontId="13" fillId="0" borderId="50" xfId="68" applyNumberFormat="1" applyFont="1" applyFill="1" applyBorder="1" applyAlignment="1">
      <alignment horizontal="center"/>
      <protection/>
    </xf>
    <xf numFmtId="4" fontId="78" fillId="0" borderId="50" xfId="68" applyNumberFormat="1" applyFont="1" applyFill="1" applyBorder="1" applyAlignment="1">
      <alignment horizontal="right"/>
      <protection/>
    </xf>
    <xf numFmtId="172" fontId="13" fillId="0" borderId="0" xfId="68" applyNumberFormat="1" applyFont="1" applyBorder="1" applyAlignment="1" applyProtection="1">
      <alignment horizontal="center"/>
      <protection/>
    </xf>
    <xf numFmtId="1" fontId="13" fillId="0" borderId="0" xfId="68" applyNumberFormat="1" applyFont="1" applyBorder="1" applyAlignment="1" applyProtection="1" quotePrefix="1">
      <alignment horizontal="center"/>
      <protection/>
    </xf>
    <xf numFmtId="176" fontId="13" fillId="0" borderId="0" xfId="68" applyNumberFormat="1" applyFont="1" applyFill="1" applyBorder="1" applyAlignment="1" applyProtection="1">
      <alignment horizontal="center"/>
      <protection/>
    </xf>
    <xf numFmtId="22" fontId="13" fillId="0" borderId="0" xfId="68" applyNumberFormat="1" applyFont="1" applyFill="1" applyBorder="1" applyAlignment="1">
      <alignment horizontal="center"/>
      <protection/>
    </xf>
    <xf numFmtId="22" fontId="13" fillId="0" borderId="0" xfId="68" applyNumberFormat="1" applyFont="1" applyFill="1" applyBorder="1" applyAlignment="1" applyProtection="1">
      <alignment horizontal="center"/>
      <protection/>
    </xf>
    <xf numFmtId="4" fontId="13" fillId="0" borderId="0" xfId="68" applyNumberFormat="1" applyFont="1" applyFill="1" applyBorder="1" applyAlignment="1" applyProtection="1">
      <alignment horizontal="center"/>
      <protection/>
    </xf>
    <xf numFmtId="3" fontId="13" fillId="0" borderId="0" xfId="68" applyNumberFormat="1" applyFont="1" applyFill="1" applyBorder="1" applyAlignment="1" applyProtection="1">
      <alignment horizontal="center"/>
      <protection/>
    </xf>
    <xf numFmtId="176" fontId="13" fillId="0" borderId="0" xfId="68" applyNumberFormat="1" applyFont="1" applyBorder="1" applyAlignment="1" applyProtection="1" quotePrefix="1">
      <alignment horizontal="center"/>
      <protection/>
    </xf>
    <xf numFmtId="172" fontId="13" fillId="0" borderId="0" xfId="68" applyNumberFormat="1" applyFont="1" applyFill="1" applyBorder="1" applyAlignment="1" applyProtection="1">
      <alignment horizontal="center"/>
      <protection/>
    </xf>
    <xf numFmtId="2" fontId="59" fillId="0" borderId="0" xfId="68" applyNumberFormat="1" applyFont="1" applyFill="1" applyBorder="1" applyAlignment="1">
      <alignment horizontal="center"/>
      <protection/>
    </xf>
    <xf numFmtId="176" fontId="49" fillId="0" borderId="0" xfId="68" applyNumberFormat="1" applyFont="1" applyFill="1" applyBorder="1" applyAlignment="1" applyProtection="1" quotePrefix="1">
      <alignment horizontal="center"/>
      <protection/>
    </xf>
    <xf numFmtId="176" fontId="13" fillId="0" borderId="0" xfId="68" applyNumberFormat="1" applyFont="1" applyFill="1" applyBorder="1" applyAlignment="1">
      <alignment horizontal="center"/>
      <protection/>
    </xf>
    <xf numFmtId="4" fontId="78" fillId="0" borderId="21" xfId="68" applyNumberFormat="1" applyFont="1" applyFill="1" applyBorder="1" applyAlignment="1">
      <alignment horizontal="right"/>
      <protection/>
    </xf>
    <xf numFmtId="176" fontId="13" fillId="0" borderId="0" xfId="68" applyNumberFormat="1" applyFont="1" applyBorder="1" applyAlignment="1" applyProtection="1" quotePrefix="1">
      <alignment horizontal="centerContinuous"/>
      <protection/>
    </xf>
    <xf numFmtId="176" fontId="13" fillId="0" borderId="0" xfId="68" applyNumberFormat="1" applyFont="1" applyBorder="1" applyAlignment="1" applyProtection="1">
      <alignment horizontal="centerContinuous"/>
      <protection/>
    </xf>
    <xf numFmtId="0" fontId="30" fillId="0" borderId="17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 wrapText="1"/>
      <protection/>
    </xf>
    <xf numFmtId="0" fontId="62" fillId="34" borderId="21" xfId="68" applyFont="1" applyFill="1" applyBorder="1" applyAlignment="1" applyProtection="1">
      <alignment horizontal="center" vertical="center"/>
      <protection/>
    </xf>
    <xf numFmtId="0" fontId="69" fillId="43" borderId="21" xfId="68" applyFont="1" applyFill="1" applyBorder="1" applyAlignment="1">
      <alignment horizontal="center" vertical="center" wrapText="1"/>
      <protection/>
    </xf>
    <xf numFmtId="0" fontId="35" fillId="36" borderId="16" xfId="68" applyFont="1" applyFill="1" applyBorder="1" applyAlignment="1" applyProtection="1">
      <alignment horizontal="centerContinuous" vertical="center" wrapText="1"/>
      <protection/>
    </xf>
    <xf numFmtId="0" fontId="35" fillId="36" borderId="17" xfId="68" applyFont="1" applyFill="1" applyBorder="1" applyAlignment="1">
      <alignment horizontal="centerContinuous" vertical="center"/>
      <protection/>
    </xf>
    <xf numFmtId="0" fontId="62" fillId="35" borderId="21" xfId="68" applyFont="1" applyFill="1" applyBorder="1" applyAlignment="1">
      <alignment horizontal="center" vertical="center" wrapText="1"/>
      <protection/>
    </xf>
    <xf numFmtId="0" fontId="13" fillId="0" borderId="15" xfId="68" applyFont="1" applyBorder="1">
      <alignment/>
      <protection/>
    </xf>
    <xf numFmtId="0" fontId="13" fillId="0" borderId="28" xfId="68" applyFont="1" applyBorder="1" applyAlignment="1">
      <alignment horizontal="center"/>
      <protection/>
    </xf>
    <xf numFmtId="0" fontId="75" fillId="0" borderId="33" xfId="68" applyFont="1" applyBorder="1" applyAlignment="1" applyProtection="1">
      <alignment horizontal="center"/>
      <protection/>
    </xf>
    <xf numFmtId="0" fontId="63" fillId="37" borderId="33" xfId="68" applyFont="1" applyFill="1" applyBorder="1" applyAlignment="1" applyProtection="1">
      <alignment horizontal="center"/>
      <protection/>
    </xf>
    <xf numFmtId="0" fontId="29" fillId="34" borderId="28" xfId="68" applyFont="1" applyFill="1" applyBorder="1" applyAlignment="1" applyProtection="1">
      <alignment horizontal="center"/>
      <protection/>
    </xf>
    <xf numFmtId="0" fontId="73" fillId="43" borderId="28" xfId="68" applyFont="1" applyFill="1" applyBorder="1" applyAlignment="1" applyProtection="1">
      <alignment horizontal="center"/>
      <protection/>
    </xf>
    <xf numFmtId="176" fontId="51" fillId="36" borderId="30" xfId="68" applyNumberFormat="1" applyFont="1" applyFill="1" applyBorder="1" applyAlignment="1" applyProtection="1" quotePrefix="1">
      <alignment horizontal="center"/>
      <protection/>
    </xf>
    <xf numFmtId="176" fontId="51" fillId="36" borderId="56" xfId="68" applyNumberFormat="1" applyFont="1" applyFill="1" applyBorder="1" applyAlignment="1" applyProtection="1" quotePrefix="1">
      <alignment horizontal="center"/>
      <protection/>
    </xf>
    <xf numFmtId="176" fontId="78" fillId="0" borderId="28" xfId="68" applyNumberFormat="1" applyFont="1" applyFill="1" applyBorder="1" applyAlignment="1">
      <alignment horizontal="center"/>
      <protection/>
    </xf>
    <xf numFmtId="0" fontId="75" fillId="0" borderId="33" xfId="73" applyFont="1" applyBorder="1" applyAlignment="1" applyProtection="1">
      <alignment horizontal="center"/>
      <protection/>
    </xf>
    <xf numFmtId="176" fontId="63" fillId="37" borderId="28" xfId="68" applyNumberFormat="1" applyFont="1" applyFill="1" applyBorder="1" applyAlignment="1" applyProtection="1">
      <alignment horizontal="center"/>
      <protection/>
    </xf>
    <xf numFmtId="22" fontId="13" fillId="0" borderId="30" xfId="73" applyNumberFormat="1" applyFont="1" applyBorder="1" applyAlignment="1">
      <alignment horizontal="center"/>
      <protection/>
    </xf>
    <xf numFmtId="2" fontId="13" fillId="0" borderId="28" xfId="68" applyNumberFormat="1" applyFont="1" applyFill="1" applyBorder="1" applyAlignment="1" applyProtection="1" quotePrefix="1">
      <alignment horizontal="center"/>
      <protection/>
    </xf>
    <xf numFmtId="172" fontId="13" fillId="0" borderId="28" xfId="68" applyNumberFormat="1" applyFont="1" applyFill="1" applyBorder="1" applyAlignment="1" applyProtection="1" quotePrefix="1">
      <alignment horizontal="center"/>
      <protection/>
    </xf>
    <xf numFmtId="172" fontId="29" fillId="34" borderId="28" xfId="68" applyNumberFormat="1" applyFont="1" applyFill="1" applyBorder="1" applyAlignment="1" applyProtection="1">
      <alignment horizontal="center"/>
      <protection/>
    </xf>
    <xf numFmtId="2" fontId="73" fillId="43" borderId="28" xfId="68" applyNumberFormat="1" applyFont="1" applyFill="1" applyBorder="1" applyAlignment="1">
      <alignment horizontal="center"/>
      <protection/>
    </xf>
    <xf numFmtId="176" fontId="13" fillId="0" borderId="28" xfId="68" applyNumberFormat="1" applyFont="1" applyBorder="1" applyAlignment="1">
      <alignment horizontal="center"/>
      <protection/>
    </xf>
    <xf numFmtId="4" fontId="78" fillId="0" borderId="28" xfId="68" applyNumberFormat="1" applyFont="1" applyFill="1" applyBorder="1" applyAlignment="1">
      <alignment horizontal="right"/>
      <protection/>
    </xf>
    <xf numFmtId="0" fontId="75" fillId="0" borderId="84" xfId="68" applyFont="1" applyBorder="1" applyAlignment="1" applyProtection="1">
      <alignment horizontal="center"/>
      <protection/>
    </xf>
    <xf numFmtId="172" fontId="49" fillId="0" borderId="34" xfId="68" applyNumberFormat="1" applyFont="1" applyBorder="1" applyAlignment="1" applyProtection="1" quotePrefix="1">
      <alignment horizontal="center"/>
      <protection/>
    </xf>
    <xf numFmtId="176" fontId="63" fillId="37" borderId="34" xfId="68" applyNumberFormat="1" applyFont="1" applyFill="1" applyBorder="1" applyAlignment="1" applyProtection="1">
      <alignment horizontal="center"/>
      <protection/>
    </xf>
    <xf numFmtId="22" fontId="13" fillId="0" borderId="51" xfId="68" applyNumberFormat="1" applyFont="1" applyBorder="1" applyAlignment="1">
      <alignment horizontal="center"/>
      <protection/>
    </xf>
    <xf numFmtId="22" fontId="13" fillId="0" borderId="34" xfId="68" applyNumberFormat="1" applyFont="1" applyBorder="1" applyAlignment="1" applyProtection="1">
      <alignment horizontal="center"/>
      <protection/>
    </xf>
    <xf numFmtId="2" fontId="13" fillId="0" borderId="34" xfId="68" applyNumberFormat="1" applyFont="1" applyFill="1" applyBorder="1" applyAlignment="1" applyProtection="1" quotePrefix="1">
      <alignment horizontal="center"/>
      <protection/>
    </xf>
    <xf numFmtId="172" fontId="13" fillId="0" borderId="34" xfId="68" applyNumberFormat="1" applyFont="1" applyFill="1" applyBorder="1" applyAlignment="1" applyProtection="1" quotePrefix="1">
      <alignment horizontal="center"/>
      <protection/>
    </xf>
    <xf numFmtId="176" fontId="13" fillId="0" borderId="73" xfId="68" applyNumberFormat="1" applyFont="1" applyBorder="1" applyAlignment="1" applyProtection="1">
      <alignment horizontal="center"/>
      <protection/>
    </xf>
    <xf numFmtId="172" fontId="29" fillId="34" borderId="34" xfId="68" applyNumberFormat="1" applyFont="1" applyFill="1" applyBorder="1" applyAlignment="1" applyProtection="1">
      <alignment horizontal="center"/>
      <protection/>
    </xf>
    <xf numFmtId="2" fontId="73" fillId="43" borderId="34" xfId="68" applyNumberFormat="1" applyFont="1" applyFill="1" applyBorder="1" applyAlignment="1">
      <alignment horizontal="center"/>
      <protection/>
    </xf>
    <xf numFmtId="176" fontId="51" fillId="36" borderId="51" xfId="68" applyNumberFormat="1" applyFont="1" applyFill="1" applyBorder="1" applyAlignment="1" applyProtection="1" quotePrefix="1">
      <alignment horizontal="center"/>
      <protection/>
    </xf>
    <xf numFmtId="176" fontId="51" fillId="36" borderId="52" xfId="68" applyNumberFormat="1" applyFont="1" applyFill="1" applyBorder="1" applyAlignment="1" applyProtection="1" quotePrefix="1">
      <alignment horizontal="center"/>
      <protection/>
    </xf>
    <xf numFmtId="176" fontId="64" fillId="35" borderId="34" xfId="68" applyNumberFormat="1" applyFont="1" applyFill="1" applyBorder="1" applyAlignment="1" applyProtection="1" quotePrefix="1">
      <alignment horizontal="center"/>
      <protection/>
    </xf>
    <xf numFmtId="176" fontId="13" fillId="0" borderId="34" xfId="68" applyNumberFormat="1" applyFont="1" applyBorder="1" applyAlignment="1">
      <alignment horizontal="center"/>
      <protection/>
    </xf>
    <xf numFmtId="4" fontId="78" fillId="0" borderId="34" xfId="68" applyNumberFormat="1" applyFont="1" applyFill="1" applyBorder="1" applyAlignment="1">
      <alignment horizontal="right"/>
      <protection/>
    </xf>
    <xf numFmtId="2" fontId="90" fillId="0" borderId="0" xfId="68" applyNumberFormat="1" applyFont="1" applyBorder="1" applyAlignment="1" applyProtection="1">
      <alignment horizontal="left"/>
      <protection/>
    </xf>
    <xf numFmtId="176" fontId="90" fillId="0" borderId="0" xfId="68" applyNumberFormat="1" applyFont="1" applyBorder="1" applyAlignment="1" applyProtection="1">
      <alignment horizontal="center"/>
      <protection/>
    </xf>
    <xf numFmtId="0" fontId="90" fillId="0" borderId="0" xfId="68" applyFont="1" applyBorder="1" applyAlignment="1" applyProtection="1">
      <alignment horizontal="center"/>
      <protection/>
    </xf>
    <xf numFmtId="173" fontId="90" fillId="0" borderId="0" xfId="68" applyNumberFormat="1" applyFont="1" applyBorder="1" applyAlignment="1" applyProtection="1">
      <alignment horizontal="center"/>
      <protection/>
    </xf>
    <xf numFmtId="0" fontId="111" fillId="0" borderId="0" xfId="68" applyFont="1">
      <alignment/>
      <protection/>
    </xf>
    <xf numFmtId="181" fontId="90" fillId="0" borderId="0" xfId="68" applyNumberFormat="1" applyFont="1" applyBorder="1" applyAlignment="1" applyProtection="1" quotePrefix="1">
      <alignment horizontal="center"/>
      <protection/>
    </xf>
    <xf numFmtId="0" fontId="90" fillId="0" borderId="0" xfId="68" applyFont="1">
      <alignment/>
      <protection/>
    </xf>
    <xf numFmtId="2" fontId="90" fillId="0" borderId="0" xfId="68" applyNumberFormat="1" applyFont="1" applyBorder="1" applyAlignment="1" applyProtection="1">
      <alignment horizontal="center"/>
      <protection/>
    </xf>
    <xf numFmtId="176" fontId="90" fillId="0" borderId="0" xfId="68" applyNumberFormat="1" applyFont="1" applyBorder="1" applyAlignment="1" applyProtection="1" quotePrefix="1">
      <alignment horizontal="center"/>
      <protection/>
    </xf>
    <xf numFmtId="4" fontId="21" fillId="0" borderId="15" xfId="68" applyNumberFormat="1" applyFont="1" applyFill="1" applyBorder="1" applyAlignment="1">
      <alignment horizontal="center"/>
      <protection/>
    </xf>
    <xf numFmtId="0" fontId="4" fillId="0" borderId="0" xfId="68" applyFont="1" applyBorder="1" applyAlignment="1">
      <alignment horizontal="center"/>
      <protection/>
    </xf>
    <xf numFmtId="2" fontId="91" fillId="0" borderId="0" xfId="68" applyNumberFormat="1" applyFont="1" applyBorder="1" applyAlignment="1" applyProtection="1">
      <alignment horizontal="left"/>
      <protection/>
    </xf>
    <xf numFmtId="0" fontId="21" fillId="0" borderId="0" xfId="68" applyFont="1" applyAlignment="1">
      <alignment horizontal="center"/>
      <protection/>
    </xf>
    <xf numFmtId="181" fontId="4" fillId="0" borderId="0" xfId="68" applyNumberFormat="1" applyFont="1" applyBorder="1" applyAlignment="1" applyProtection="1">
      <alignment horizontal="left"/>
      <protection/>
    </xf>
    <xf numFmtId="0" fontId="48" fillId="0" borderId="0" xfId="68" applyFont="1" applyFill="1" applyBorder="1">
      <alignment/>
      <protection/>
    </xf>
    <xf numFmtId="0" fontId="21" fillId="0" borderId="0" xfId="68" applyFont="1" applyAlignment="1">
      <alignment horizontal="centerContinuous"/>
      <protection/>
    </xf>
    <xf numFmtId="4" fontId="89" fillId="0" borderId="0" xfId="68" applyNumberFormat="1" applyFont="1" applyBorder="1" applyAlignment="1" applyProtection="1">
      <alignment horizontal="center"/>
      <protection/>
    </xf>
    <xf numFmtId="0" fontId="48" fillId="0" borderId="0" xfId="68" applyFont="1" applyFill="1" applyBorder="1" applyAlignment="1">
      <alignment horizontal="center"/>
      <protection/>
    </xf>
    <xf numFmtId="172" fontId="48" fillId="0" borderId="0" xfId="68" applyNumberFormat="1" applyFont="1" applyBorder="1" applyAlignment="1" applyProtection="1" quotePrefix="1">
      <alignment horizontal="center"/>
      <protection/>
    </xf>
    <xf numFmtId="7" fontId="48" fillId="0" borderId="0" xfId="68" applyNumberFormat="1" applyFont="1" applyFill="1" applyBorder="1" applyAlignment="1">
      <alignment horizontal="center"/>
      <protection/>
    </xf>
    <xf numFmtId="0" fontId="48" fillId="0" borderId="0" xfId="68" applyFont="1" applyFill="1" applyBorder="1" applyAlignment="1">
      <alignment horizontal="centerContinuous"/>
      <protection/>
    </xf>
    <xf numFmtId="0" fontId="48" fillId="0" borderId="0" xfId="68" applyFont="1" applyBorder="1" applyAlignment="1">
      <alignment horizontal="center"/>
      <protection/>
    </xf>
    <xf numFmtId="0" fontId="48" fillId="0" borderId="0" xfId="68" applyFont="1" applyBorder="1" applyAlignment="1" applyProtection="1">
      <alignment horizontal="center"/>
      <protection/>
    </xf>
    <xf numFmtId="4" fontId="90" fillId="0" borderId="0" xfId="68" applyNumberFormat="1" applyFont="1" applyBorder="1" applyAlignment="1" applyProtection="1">
      <alignment horizontal="center"/>
      <protection/>
    </xf>
    <xf numFmtId="8" fontId="48" fillId="0" borderId="0" xfId="55" applyNumberFormat="1" applyFont="1" applyBorder="1" applyAlignment="1">
      <alignment horizontal="center"/>
    </xf>
    <xf numFmtId="176" fontId="21" fillId="0" borderId="0" xfId="68" applyNumberFormat="1" applyFont="1" applyBorder="1" applyAlignment="1" applyProtection="1">
      <alignment horizontal="centerContinuous"/>
      <protection/>
    </xf>
    <xf numFmtId="2" fontId="92" fillId="0" borderId="0" xfId="68" applyNumberFormat="1" applyFont="1" applyBorder="1" applyAlignment="1" applyProtection="1">
      <alignment horizontal="center"/>
      <protection/>
    </xf>
    <xf numFmtId="176" fontId="4" fillId="0" borderId="0" xfId="68" applyNumberFormat="1" applyFont="1" applyBorder="1" applyAlignment="1" applyProtection="1">
      <alignment horizontal="left"/>
      <protection/>
    </xf>
    <xf numFmtId="176" fontId="89" fillId="0" borderId="0" xfId="68" applyNumberFormat="1" applyFont="1" applyBorder="1" applyAlignment="1" applyProtection="1" quotePrefix="1">
      <alignment horizontal="center"/>
      <protection/>
    </xf>
    <xf numFmtId="1" fontId="21" fillId="0" borderId="0" xfId="68" applyNumberFormat="1" applyFont="1" applyBorder="1" applyAlignment="1" applyProtection="1">
      <alignment horizontal="centerContinuous"/>
      <protection/>
    </xf>
    <xf numFmtId="1" fontId="21" fillId="0" borderId="0" xfId="68" applyNumberFormat="1" applyFont="1" applyBorder="1" applyAlignment="1" applyProtection="1">
      <alignment horizontal="center"/>
      <protection/>
    </xf>
    <xf numFmtId="191" fontId="90" fillId="0" borderId="0" xfId="68" applyNumberFormat="1" applyFont="1" applyBorder="1" applyAlignment="1" applyProtection="1">
      <alignment horizontal="centerContinuous"/>
      <protection/>
    </xf>
    <xf numFmtId="176" fontId="21" fillId="0" borderId="0" xfId="68" applyNumberFormat="1" applyFont="1" applyBorder="1" applyAlignment="1" applyProtection="1">
      <alignment horizontal="left"/>
      <protection/>
    </xf>
    <xf numFmtId="7" fontId="21" fillId="0" borderId="0" xfId="68" applyNumberFormat="1" applyFont="1" applyBorder="1" applyAlignment="1">
      <alignment horizontal="right"/>
      <protection/>
    </xf>
    <xf numFmtId="176" fontId="22" fillId="0" borderId="0" xfId="68" applyNumberFormat="1" applyFont="1" applyBorder="1" applyAlignment="1" applyProtection="1">
      <alignment horizontal="left"/>
      <protection/>
    </xf>
    <xf numFmtId="10" fontId="21" fillId="0" borderId="0" xfId="68" applyNumberFormat="1" applyFont="1" applyBorder="1" applyAlignment="1" applyProtection="1">
      <alignment horizontal="center"/>
      <protection/>
    </xf>
    <xf numFmtId="7" fontId="21" fillId="0" borderId="0" xfId="68" applyNumberFormat="1" applyFont="1" applyAlignment="1">
      <alignment horizontal="right"/>
      <protection/>
    </xf>
    <xf numFmtId="0" fontId="21" fillId="0" borderId="0" xfId="68" applyFont="1" quotePrefix="1">
      <alignment/>
      <protection/>
    </xf>
    <xf numFmtId="7" fontId="21" fillId="0" borderId="0" xfId="68" applyNumberFormat="1" applyFont="1" applyBorder="1" applyAlignment="1" applyProtection="1">
      <alignment horizontal="center"/>
      <protection/>
    </xf>
    <xf numFmtId="2" fontId="21" fillId="0" borderId="0" xfId="68" applyNumberFormat="1" applyFont="1" applyBorder="1" applyAlignment="1" applyProtection="1">
      <alignment horizontal="center"/>
      <protection/>
    </xf>
    <xf numFmtId="176" fontId="21" fillId="0" borderId="0" xfId="68" applyNumberFormat="1" applyFont="1" applyBorder="1" applyAlignment="1" applyProtection="1" quotePrefix="1">
      <alignment horizontal="center"/>
      <protection/>
    </xf>
    <xf numFmtId="7" fontId="21" fillId="0" borderId="0" xfId="68" applyNumberFormat="1" applyFont="1" applyBorder="1" applyAlignment="1" applyProtection="1">
      <alignment horizontal="left"/>
      <protection/>
    </xf>
    <xf numFmtId="0" fontId="111" fillId="0" borderId="0" xfId="68" applyFont="1" quotePrefix="1">
      <alignment/>
      <protection/>
    </xf>
    <xf numFmtId="0" fontId="112" fillId="0" borderId="0" xfId="68" applyFont="1" applyAlignment="1">
      <alignment vertical="center"/>
      <protection/>
    </xf>
    <xf numFmtId="0" fontId="23" fillId="0" borderId="14" xfId="68" applyFont="1" applyBorder="1" applyAlignment="1">
      <alignment vertical="center"/>
      <protection/>
    </xf>
    <xf numFmtId="0" fontId="23" fillId="0" borderId="0" xfId="68" applyFont="1" applyBorder="1" applyAlignment="1">
      <alignment horizontal="center" vertical="center"/>
      <protection/>
    </xf>
    <xf numFmtId="176" fontId="23" fillId="0" borderId="0" xfId="68" applyNumberFormat="1" applyFont="1" applyBorder="1" applyAlignment="1" applyProtection="1">
      <alignment horizontal="left" vertical="center"/>
      <protection/>
    </xf>
    <xf numFmtId="0" fontId="112" fillId="0" borderId="0" xfId="68" applyFont="1" applyAlignment="1" quotePrefix="1">
      <alignment vertical="center"/>
      <protection/>
    </xf>
    <xf numFmtId="0" fontId="23" fillId="0" borderId="0" xfId="68" applyFont="1" applyBorder="1" applyAlignment="1" applyProtection="1">
      <alignment horizontal="center" vertical="center"/>
      <protection/>
    </xf>
    <xf numFmtId="173" fontId="23" fillId="0" borderId="0" xfId="68" applyNumberFormat="1" applyFont="1" applyBorder="1" applyAlignment="1" applyProtection="1">
      <alignment horizontal="center" vertical="center"/>
      <protection/>
    </xf>
    <xf numFmtId="4" fontId="10" fillId="0" borderId="16" xfId="68" applyNumberFormat="1" applyFont="1" applyBorder="1" applyAlignment="1" applyProtection="1">
      <alignment horizontal="center" vertical="center"/>
      <protection/>
    </xf>
    <xf numFmtId="7" fontId="113" fillId="0" borderId="17" xfId="68" applyNumberFormat="1" applyFont="1" applyFill="1" applyBorder="1" applyAlignment="1">
      <alignment horizontal="center" vertical="center"/>
      <protection/>
    </xf>
    <xf numFmtId="176" fontId="10" fillId="0" borderId="0" xfId="68" applyNumberFormat="1" applyFont="1" applyBorder="1" applyAlignment="1" applyProtection="1">
      <alignment horizontal="left" vertical="center"/>
      <protection/>
    </xf>
    <xf numFmtId="181" fontId="23" fillId="0" borderId="0" xfId="68" applyNumberFormat="1" applyFont="1" applyBorder="1" applyAlignment="1" applyProtection="1" quotePrefix="1">
      <alignment horizontal="center" vertical="center"/>
      <protection/>
    </xf>
    <xf numFmtId="176" fontId="23" fillId="0" borderId="0" xfId="68" applyNumberFormat="1" applyFont="1" applyBorder="1" applyAlignment="1" applyProtection="1">
      <alignment horizontal="center" vertical="center"/>
      <protection/>
    </xf>
    <xf numFmtId="2" fontId="93" fillId="0" borderId="0" xfId="68" applyNumberFormat="1" applyFont="1" applyBorder="1" applyAlignment="1" applyProtection="1">
      <alignment horizontal="center" vertical="center"/>
      <protection/>
    </xf>
    <xf numFmtId="176" fontId="94" fillId="0" borderId="0" xfId="68" applyNumberFormat="1" applyFont="1" applyBorder="1" applyAlignment="1" applyProtection="1" quotePrefix="1">
      <alignment horizontal="center" vertical="center"/>
      <protection/>
    </xf>
    <xf numFmtId="4" fontId="23" fillId="0" borderId="15" xfId="68" applyNumberFormat="1" applyFont="1" applyFill="1" applyBorder="1" applyAlignment="1">
      <alignment horizontal="center" vertical="center"/>
      <protection/>
    </xf>
    <xf numFmtId="0" fontId="21" fillId="0" borderId="18" xfId="68" applyFont="1" applyBorder="1">
      <alignment/>
      <protection/>
    </xf>
    <xf numFmtId="0" fontId="21" fillId="0" borderId="19" xfId="68" applyFont="1" applyBorder="1">
      <alignment/>
      <protection/>
    </xf>
    <xf numFmtId="0" fontId="3" fillId="0" borderId="19" xfId="68" applyBorder="1">
      <alignment/>
      <protection/>
    </xf>
    <xf numFmtId="0" fontId="21" fillId="0" borderId="20" xfId="68" applyFont="1" applyFill="1" applyBorder="1">
      <alignment/>
      <protection/>
    </xf>
    <xf numFmtId="0" fontId="13" fillId="0" borderId="0" xfId="68" applyFont="1" applyBorder="1" applyAlignment="1">
      <alignment horizontal="left"/>
      <protection/>
    </xf>
    <xf numFmtId="0" fontId="3" fillId="0" borderId="12" xfId="68" applyBorder="1">
      <alignment/>
      <protection/>
    </xf>
    <xf numFmtId="0" fontId="23" fillId="0" borderId="0" xfId="68" applyFont="1" applyAlignment="1">
      <alignment/>
      <protection/>
    </xf>
    <xf numFmtId="7" fontId="21" fillId="0" borderId="0" xfId="68" applyNumberFormat="1" applyFont="1" applyBorder="1" applyAlignment="1">
      <alignment horizontal="center"/>
      <protection/>
    </xf>
    <xf numFmtId="0" fontId="21" fillId="0" borderId="0" xfId="68" applyFont="1" applyBorder="1" applyAlignment="1" applyProtection="1">
      <alignment horizontal="left"/>
      <protection/>
    </xf>
    <xf numFmtId="7" fontId="21" fillId="0" borderId="0" xfId="68" applyNumberFormat="1" applyFont="1" applyBorder="1" applyAlignment="1">
      <alignment horizontal="centerContinuous"/>
      <protection/>
    </xf>
    <xf numFmtId="0" fontId="21" fillId="0" borderId="0" xfId="68" applyFont="1" applyBorder="1" applyAlignment="1">
      <alignment horizontal="left"/>
      <protection/>
    </xf>
    <xf numFmtId="182" fontId="21" fillId="0" borderId="0" xfId="68" applyNumberFormat="1" applyFont="1" applyBorder="1" applyAlignment="1" applyProtection="1">
      <alignment horizontal="center"/>
      <protection/>
    </xf>
    <xf numFmtId="1" fontId="48" fillId="0" borderId="0" xfId="68" applyNumberFormat="1" applyFont="1" applyBorder="1" applyAlignment="1" applyProtection="1">
      <alignment horizontal="center"/>
      <protection/>
    </xf>
    <xf numFmtId="0" fontId="30" fillId="0" borderId="21" xfId="62" applyFont="1" applyBorder="1" applyAlignment="1">
      <alignment horizontal="center" vertical="center"/>
      <protection/>
    </xf>
    <xf numFmtId="172" fontId="30" fillId="0" borderId="17" xfId="68" applyNumberFormat="1" applyFont="1" applyBorder="1" applyAlignment="1" applyProtection="1">
      <alignment horizontal="center" vertical="center" wrapText="1"/>
      <protection/>
    </xf>
    <xf numFmtId="0" fontId="30" fillId="0" borderId="22" xfId="68" applyFont="1" applyBorder="1" applyAlignment="1" applyProtection="1">
      <alignment horizontal="center" vertical="center" wrapText="1"/>
      <protection/>
    </xf>
    <xf numFmtId="176" fontId="60" fillId="37" borderId="21" xfId="68" applyNumberFormat="1" applyFont="1" applyFill="1" applyBorder="1" applyAlignment="1" applyProtection="1">
      <alignment horizontal="center" vertical="center"/>
      <protection/>
    </xf>
    <xf numFmtId="0" fontId="62" fillId="42" borderId="21" xfId="68" applyFont="1" applyFill="1" applyBorder="1" applyAlignment="1">
      <alignment horizontal="center" vertical="center" wrapText="1"/>
      <protection/>
    </xf>
    <xf numFmtId="0" fontId="61" fillId="51" borderId="21" xfId="68" applyFont="1" applyFill="1" applyBorder="1" applyAlignment="1">
      <alignment horizontal="center" vertical="center" wrapText="1"/>
      <protection/>
    </xf>
    <xf numFmtId="0" fontId="85" fillId="35" borderId="16" xfId="68" applyFont="1" applyFill="1" applyBorder="1" applyAlignment="1" applyProtection="1">
      <alignment horizontal="centerContinuous" vertical="center" wrapText="1"/>
      <protection/>
    </xf>
    <xf numFmtId="0" fontId="86" fillId="35" borderId="22" xfId="68" applyFont="1" applyFill="1" applyBorder="1" applyAlignment="1">
      <alignment horizontal="centerContinuous"/>
      <protection/>
    </xf>
    <xf numFmtId="0" fontId="85" fillId="35" borderId="17" xfId="68" applyFont="1" applyFill="1" applyBorder="1" applyAlignment="1">
      <alignment horizontal="centerContinuous" vertical="center"/>
      <protection/>
    </xf>
    <xf numFmtId="0" fontId="62" fillId="52" borderId="16" xfId="68" applyFont="1" applyFill="1" applyBorder="1" applyAlignment="1">
      <alignment horizontal="centerContinuous" vertical="center" wrapText="1"/>
      <protection/>
    </xf>
    <xf numFmtId="0" fontId="87" fillId="52" borderId="22" xfId="68" applyFont="1" applyFill="1" applyBorder="1" applyAlignment="1">
      <alignment horizontal="centerContinuous"/>
      <protection/>
    </xf>
    <xf numFmtId="0" fontId="62" fillId="52" borderId="17" xfId="68" applyFont="1" applyFill="1" applyBorder="1" applyAlignment="1">
      <alignment horizontal="centerContinuous" vertical="center"/>
      <protection/>
    </xf>
    <xf numFmtId="0" fontId="62" fillId="39" borderId="21" xfId="68" applyFont="1" applyFill="1" applyBorder="1" applyAlignment="1">
      <alignment horizontal="centerContinuous" vertical="center" wrapText="1"/>
      <protection/>
    </xf>
    <xf numFmtId="0" fontId="62" fillId="53" borderId="21" xfId="68" applyFont="1" applyFill="1" applyBorder="1" applyAlignment="1">
      <alignment horizontal="centerContinuous" vertical="center" wrapText="1"/>
      <protection/>
    </xf>
    <xf numFmtId="0" fontId="30" fillId="0" borderId="17" xfId="68" applyFont="1" applyBorder="1" applyAlignment="1">
      <alignment horizontal="center" vertical="center" wrapText="1"/>
      <protection/>
    </xf>
    <xf numFmtId="0" fontId="21" fillId="0" borderId="28" xfId="68" applyFont="1" applyBorder="1">
      <alignment/>
      <protection/>
    </xf>
    <xf numFmtId="172" fontId="21" fillId="0" borderId="29" xfId="68" applyNumberFormat="1" applyFont="1" applyBorder="1" applyProtection="1">
      <alignment/>
      <protection/>
    </xf>
    <xf numFmtId="172" fontId="21" fillId="0" borderId="28" xfId="68" applyNumberFormat="1" applyFont="1" applyBorder="1" applyAlignment="1" applyProtection="1">
      <alignment horizontal="center"/>
      <protection/>
    </xf>
    <xf numFmtId="172" fontId="21" fillId="0" borderId="23" xfId="68" applyNumberFormat="1" applyFont="1" applyBorder="1" applyAlignment="1" applyProtection="1">
      <alignment horizontal="center"/>
      <protection/>
    </xf>
    <xf numFmtId="172" fontId="114" fillId="37" borderId="23" xfId="68" applyNumberFormat="1" applyFont="1" applyFill="1" applyBorder="1" applyAlignment="1" applyProtection="1">
      <alignment horizontal="center"/>
      <protection/>
    </xf>
    <xf numFmtId="0" fontId="108" fillId="34" borderId="23" xfId="68" applyFont="1" applyFill="1" applyBorder="1" applyAlignment="1">
      <alignment horizontal="center"/>
      <protection/>
    </xf>
    <xf numFmtId="0" fontId="21" fillId="0" borderId="23" xfId="68" applyFont="1" applyBorder="1" applyAlignment="1">
      <alignment horizontal="center"/>
      <protection/>
    </xf>
    <xf numFmtId="0" fontId="21" fillId="0" borderId="74" xfId="68" applyFont="1" applyBorder="1" applyAlignment="1">
      <alignment horizontal="center"/>
      <protection/>
    </xf>
    <xf numFmtId="0" fontId="13" fillId="0" borderId="29" xfId="68" applyFont="1" applyBorder="1" applyAlignment="1">
      <alignment horizontal="center"/>
      <protection/>
    </xf>
    <xf numFmtId="0" fontId="13" fillId="0" borderId="23" xfId="68" applyFont="1" applyBorder="1" applyAlignment="1">
      <alignment horizontal="center"/>
      <protection/>
    </xf>
    <xf numFmtId="0" fontId="64" fillId="42" borderId="23" xfId="68" applyFont="1" applyFill="1" applyBorder="1" applyAlignment="1">
      <alignment horizontal="center"/>
      <protection/>
    </xf>
    <xf numFmtId="0" fontId="81" fillId="51" borderId="23" xfId="68" applyFont="1" applyFill="1" applyBorder="1" applyAlignment="1">
      <alignment horizontal="center"/>
      <protection/>
    </xf>
    <xf numFmtId="176" fontId="88" fillId="35" borderId="24" xfId="68" applyNumberFormat="1" applyFont="1" applyFill="1" applyBorder="1" applyAlignment="1" applyProtection="1" quotePrefix="1">
      <alignment horizontal="center"/>
      <protection/>
    </xf>
    <xf numFmtId="176" fontId="88" fillId="35" borderId="75" xfId="68" applyNumberFormat="1" applyFont="1" applyFill="1" applyBorder="1" applyAlignment="1" applyProtection="1" quotePrefix="1">
      <alignment horizontal="center"/>
      <protection/>
    </xf>
    <xf numFmtId="4" fontId="88" fillId="35" borderId="70" xfId="68" applyNumberFormat="1" applyFont="1" applyFill="1" applyBorder="1" applyAlignment="1" applyProtection="1">
      <alignment horizontal="center"/>
      <protection/>
    </xf>
    <xf numFmtId="176" fontId="64" fillId="52" borderId="24" xfId="68" applyNumberFormat="1" applyFont="1" applyFill="1" applyBorder="1" applyAlignment="1" applyProtection="1" quotePrefix="1">
      <alignment horizontal="center"/>
      <protection/>
    </xf>
    <xf numFmtId="176" fontId="64" fillId="52" borderId="75" xfId="68" applyNumberFormat="1" applyFont="1" applyFill="1" applyBorder="1" applyAlignment="1" applyProtection="1" quotePrefix="1">
      <alignment horizontal="center"/>
      <protection/>
    </xf>
    <xf numFmtId="4" fontId="64" fillId="52" borderId="70" xfId="68" applyNumberFormat="1" applyFont="1" applyFill="1" applyBorder="1" applyAlignment="1" applyProtection="1">
      <alignment horizontal="center"/>
      <protection/>
    </xf>
    <xf numFmtId="4" fontId="64" fillId="39" borderId="23" xfId="68" applyNumberFormat="1" applyFont="1" applyFill="1" applyBorder="1" applyAlignment="1" applyProtection="1">
      <alignment horizontal="center"/>
      <protection/>
    </xf>
    <xf numFmtId="4" fontId="64" fillId="53" borderId="23" xfId="68" applyNumberFormat="1" applyFont="1" applyFill="1" applyBorder="1" applyAlignment="1" applyProtection="1">
      <alignment horizontal="center"/>
      <protection/>
    </xf>
    <xf numFmtId="0" fontId="13" fillId="0" borderId="70" xfId="68" applyFont="1" applyBorder="1" applyAlignment="1">
      <alignment horizontal="left"/>
      <protection/>
    </xf>
    <xf numFmtId="0" fontId="48" fillId="0" borderId="70" xfId="68" applyFont="1" applyBorder="1" applyAlignment="1">
      <alignment horizontal="center"/>
      <protection/>
    </xf>
    <xf numFmtId="0" fontId="114" fillId="37" borderId="28" xfId="68" applyFont="1" applyFill="1" applyBorder="1" applyAlignment="1" applyProtection="1">
      <alignment horizontal="center"/>
      <protection/>
    </xf>
    <xf numFmtId="176" fontId="108" fillId="34" borderId="28" xfId="68" applyNumberFormat="1" applyFont="1" applyFill="1" applyBorder="1" applyAlignment="1" applyProtection="1">
      <alignment horizontal="center"/>
      <protection/>
    </xf>
    <xf numFmtId="4" fontId="13" fillId="0" borderId="28" xfId="68" applyNumberFormat="1" applyFont="1" applyFill="1" applyBorder="1" applyAlignment="1" applyProtection="1" quotePrefix="1">
      <alignment horizontal="center"/>
      <protection/>
    </xf>
    <xf numFmtId="2" fontId="64" fillId="42" borderId="28" xfId="68" applyNumberFormat="1" applyFont="1" applyFill="1" applyBorder="1" applyAlignment="1" applyProtection="1">
      <alignment horizontal="center"/>
      <protection/>
    </xf>
    <xf numFmtId="2" fontId="81" fillId="51" borderId="28" xfId="68" applyNumberFormat="1" applyFont="1" applyFill="1" applyBorder="1" applyAlignment="1" applyProtection="1">
      <alignment horizontal="center"/>
      <protection/>
    </xf>
    <xf numFmtId="176" fontId="88" fillId="35" borderId="30" xfId="68" applyNumberFormat="1" applyFont="1" applyFill="1" applyBorder="1" applyAlignment="1" applyProtection="1" quotePrefix="1">
      <alignment horizontal="center"/>
      <protection/>
    </xf>
    <xf numFmtId="176" fontId="88" fillId="35" borderId="31" xfId="68" applyNumberFormat="1" applyFont="1" applyFill="1" applyBorder="1" applyAlignment="1" applyProtection="1" quotePrefix="1">
      <alignment horizontal="center"/>
      <protection/>
    </xf>
    <xf numFmtId="4" fontId="88" fillId="35" borderId="29" xfId="68" applyNumberFormat="1" applyFont="1" applyFill="1" applyBorder="1" applyAlignment="1" applyProtection="1">
      <alignment horizontal="center"/>
      <protection/>
    </xf>
    <xf numFmtId="176" fontId="64" fillId="52" borderId="30" xfId="68" applyNumberFormat="1" applyFont="1" applyFill="1" applyBorder="1" applyAlignment="1" applyProtection="1" quotePrefix="1">
      <alignment horizontal="center"/>
      <protection/>
    </xf>
    <xf numFmtId="176" fontId="64" fillId="52" borderId="31" xfId="68" applyNumberFormat="1" applyFont="1" applyFill="1" applyBorder="1" applyAlignment="1" applyProtection="1" quotePrefix="1">
      <alignment horizontal="center"/>
      <protection/>
    </xf>
    <xf numFmtId="4" fontId="64" fillId="52" borderId="29" xfId="68" applyNumberFormat="1" applyFont="1" applyFill="1" applyBorder="1" applyAlignment="1" applyProtection="1">
      <alignment horizontal="center"/>
      <protection/>
    </xf>
    <xf numFmtId="4" fontId="64" fillId="39" borderId="28" xfId="68" applyNumberFormat="1" applyFont="1" applyFill="1" applyBorder="1" applyAlignment="1" applyProtection="1">
      <alignment horizontal="center"/>
      <protection/>
    </xf>
    <xf numFmtId="4" fontId="64" fillId="53" borderId="28" xfId="68" applyNumberFormat="1" applyFont="1" applyFill="1" applyBorder="1" applyAlignment="1" applyProtection="1">
      <alignment horizontal="center"/>
      <protection/>
    </xf>
    <xf numFmtId="4" fontId="13" fillId="0" borderId="29" xfId="68" applyNumberFormat="1" applyFont="1" applyBorder="1" applyAlignment="1" applyProtection="1">
      <alignment horizontal="center"/>
      <protection/>
    </xf>
    <xf numFmtId="0" fontId="13" fillId="0" borderId="27" xfId="68" applyFont="1" applyBorder="1" applyAlignment="1">
      <alignment horizontal="center"/>
      <protection/>
    </xf>
    <xf numFmtId="0" fontId="13" fillId="0" borderId="36" xfId="68" applyFont="1" applyBorder="1" applyAlignment="1">
      <alignment horizontal="center"/>
      <protection/>
    </xf>
    <xf numFmtId="0" fontId="13" fillId="0" borderId="36" xfId="73" applyFont="1" applyBorder="1" applyAlignment="1">
      <alignment horizontal="center"/>
      <protection/>
    </xf>
    <xf numFmtId="172" fontId="13" fillId="0" borderId="36" xfId="73" applyNumberFormat="1" applyFont="1" applyBorder="1" applyAlignment="1" applyProtection="1">
      <alignment horizontal="center"/>
      <protection/>
    </xf>
    <xf numFmtId="173" fontId="13" fillId="0" borderId="36" xfId="73" applyNumberFormat="1" applyFont="1" applyBorder="1" applyAlignment="1" applyProtection="1">
      <alignment horizontal="center"/>
      <protection/>
    </xf>
    <xf numFmtId="0" fontId="114" fillId="37" borderId="34" xfId="68" applyFont="1" applyFill="1" applyBorder="1" applyAlignment="1" applyProtection="1">
      <alignment horizontal="center"/>
      <protection/>
    </xf>
    <xf numFmtId="22" fontId="13" fillId="0" borderId="34" xfId="73" applyNumberFormat="1" applyFont="1" applyBorder="1" applyAlignment="1">
      <alignment horizontal="center"/>
      <protection/>
    </xf>
    <xf numFmtId="4" fontId="13" fillId="0" borderId="34" xfId="68" applyNumberFormat="1" applyFont="1" applyFill="1" applyBorder="1" applyAlignment="1" applyProtection="1" quotePrefix="1">
      <alignment horizontal="center"/>
      <protection/>
    </xf>
    <xf numFmtId="181" fontId="13" fillId="0" borderId="34" xfId="68" applyNumberFormat="1" applyFont="1" applyBorder="1" applyAlignment="1" applyProtection="1" quotePrefix="1">
      <alignment horizontal="center"/>
      <protection/>
    </xf>
    <xf numFmtId="176" fontId="13" fillId="0" borderId="34" xfId="68" applyNumberFormat="1" applyFont="1" applyBorder="1" applyAlignment="1" applyProtection="1">
      <alignment horizontal="center"/>
      <protection/>
    </xf>
    <xf numFmtId="2" fontId="64" fillId="42" borderId="34" xfId="68" applyNumberFormat="1" applyFont="1" applyFill="1" applyBorder="1" applyAlignment="1" applyProtection="1">
      <alignment horizontal="center"/>
      <protection/>
    </xf>
    <xf numFmtId="2" fontId="81" fillId="51" borderId="34" xfId="68" applyNumberFormat="1" applyFont="1" applyFill="1" applyBorder="1" applyAlignment="1" applyProtection="1">
      <alignment horizontal="center"/>
      <protection/>
    </xf>
    <xf numFmtId="176" fontId="88" fillId="35" borderId="51" xfId="68" applyNumberFormat="1" applyFont="1" applyFill="1" applyBorder="1" applyAlignment="1" applyProtection="1" quotePrefix="1">
      <alignment horizontal="center"/>
      <protection/>
    </xf>
    <xf numFmtId="176" fontId="88" fillId="35" borderId="85" xfId="68" applyNumberFormat="1" applyFont="1" applyFill="1" applyBorder="1" applyAlignment="1" applyProtection="1" quotePrefix="1">
      <alignment horizontal="center"/>
      <protection/>
    </xf>
    <xf numFmtId="4" fontId="88" fillId="35" borderId="73" xfId="68" applyNumberFormat="1" applyFont="1" applyFill="1" applyBorder="1" applyAlignment="1" applyProtection="1">
      <alignment horizontal="center"/>
      <protection/>
    </xf>
    <xf numFmtId="176" fontId="64" fillId="52" borderId="51" xfId="68" applyNumberFormat="1" applyFont="1" applyFill="1" applyBorder="1" applyAlignment="1" applyProtection="1" quotePrefix="1">
      <alignment horizontal="center"/>
      <protection/>
    </xf>
    <xf numFmtId="176" fontId="64" fillId="52" borderId="85" xfId="68" applyNumberFormat="1" applyFont="1" applyFill="1" applyBorder="1" applyAlignment="1" applyProtection="1" quotePrefix="1">
      <alignment horizontal="center"/>
      <protection/>
    </xf>
    <xf numFmtId="4" fontId="64" fillId="52" borderId="73" xfId="68" applyNumberFormat="1" applyFont="1" applyFill="1" applyBorder="1" applyAlignment="1" applyProtection="1">
      <alignment horizontal="center"/>
      <protection/>
    </xf>
    <xf numFmtId="4" fontId="64" fillId="39" borderId="34" xfId="68" applyNumberFormat="1" applyFont="1" applyFill="1" applyBorder="1" applyAlignment="1" applyProtection="1">
      <alignment horizontal="center"/>
      <protection/>
    </xf>
    <xf numFmtId="4" fontId="64" fillId="53" borderId="34" xfId="68" applyNumberFormat="1" applyFont="1" applyFill="1" applyBorder="1" applyAlignment="1" applyProtection="1">
      <alignment horizontal="center"/>
      <protection/>
    </xf>
    <xf numFmtId="4" fontId="13" fillId="0" borderId="73" xfId="68" applyNumberFormat="1" applyFont="1" applyBorder="1" applyAlignment="1" applyProtection="1">
      <alignment horizontal="center"/>
      <protection/>
    </xf>
    <xf numFmtId="4" fontId="48" fillId="0" borderId="73" xfId="68" applyNumberFormat="1" applyFont="1" applyFill="1" applyBorder="1" applyAlignment="1">
      <alignment horizontal="right"/>
      <protection/>
    </xf>
    <xf numFmtId="172" fontId="13" fillId="0" borderId="0" xfId="73" applyNumberFormat="1" applyFont="1" applyBorder="1" applyAlignment="1" applyProtection="1">
      <alignment horizontal="center"/>
      <protection/>
    </xf>
    <xf numFmtId="0" fontId="60" fillId="37" borderId="36" xfId="68" applyFont="1" applyFill="1" applyBorder="1" applyAlignment="1" applyProtection="1">
      <alignment horizontal="center" vertical="center"/>
      <protection/>
    </xf>
    <xf numFmtId="0" fontId="60" fillId="48" borderId="36" xfId="68" applyFont="1" applyFill="1" applyBorder="1" applyAlignment="1" applyProtection="1">
      <alignment horizontal="center" vertical="center"/>
      <protection/>
    </xf>
    <xf numFmtId="2" fontId="108" fillId="42" borderId="36" xfId="68" applyNumberFormat="1" applyFont="1" applyFill="1" applyBorder="1" applyAlignment="1" applyProtection="1">
      <alignment horizontal="center"/>
      <protection/>
    </xf>
    <xf numFmtId="2" fontId="77" fillId="51" borderId="36" xfId="68" applyNumberFormat="1" applyFont="1" applyFill="1" applyBorder="1" applyAlignment="1" applyProtection="1">
      <alignment horizontal="center"/>
      <protection/>
    </xf>
    <xf numFmtId="2" fontId="109" fillId="35" borderId="36" xfId="68" applyNumberFormat="1" applyFont="1" applyFill="1" applyBorder="1" applyAlignment="1" applyProtection="1">
      <alignment horizontal="center"/>
      <protection/>
    </xf>
    <xf numFmtId="2" fontId="108" fillId="52" borderId="36" xfId="68" applyNumberFormat="1" applyFont="1" applyFill="1" applyBorder="1" applyAlignment="1" applyProtection="1">
      <alignment horizontal="center"/>
      <protection/>
    </xf>
    <xf numFmtId="2" fontId="108" fillId="39" borderId="36" xfId="68" applyNumberFormat="1" applyFont="1" applyFill="1" applyBorder="1" applyAlignment="1" applyProtection="1">
      <alignment horizontal="center"/>
      <protection/>
    </xf>
    <xf numFmtId="2" fontId="108" fillId="53" borderId="36" xfId="68" applyNumberFormat="1" applyFont="1" applyFill="1" applyBorder="1" applyAlignment="1" applyProtection="1">
      <alignment horizontal="center"/>
      <protection/>
    </xf>
    <xf numFmtId="2" fontId="21" fillId="0" borderId="57" xfId="68" applyNumberFormat="1" applyFont="1" applyBorder="1" applyAlignment="1" applyProtection="1">
      <alignment horizontal="center"/>
      <protection/>
    </xf>
    <xf numFmtId="7" fontId="48" fillId="0" borderId="36" xfId="68" applyNumberFormat="1" applyFont="1" applyBorder="1" applyAlignment="1" applyProtection="1">
      <alignment horizontal="right"/>
      <protection/>
    </xf>
    <xf numFmtId="0" fontId="48" fillId="0" borderId="0" xfId="68" applyFont="1" applyBorder="1" applyAlignment="1">
      <alignment horizontal="left"/>
      <protection/>
    </xf>
    <xf numFmtId="173" fontId="48" fillId="0" borderId="0" xfId="68" applyNumberFormat="1" applyFont="1" applyBorder="1" applyAlignment="1" applyProtection="1">
      <alignment horizontal="center"/>
      <protection/>
    </xf>
    <xf numFmtId="0" fontId="110" fillId="48" borderId="28" xfId="68" applyFont="1" applyFill="1" applyBorder="1" applyAlignment="1">
      <alignment horizontal="center"/>
      <protection/>
    </xf>
    <xf numFmtId="176" fontId="48" fillId="0" borderId="0" xfId="68" applyNumberFormat="1" applyFont="1" applyBorder="1" applyAlignment="1" applyProtection="1">
      <alignment horizontal="center"/>
      <protection/>
    </xf>
    <xf numFmtId="2" fontId="108" fillId="0" borderId="22" xfId="68" applyNumberFormat="1" applyFont="1" applyFill="1" applyBorder="1" applyAlignment="1" applyProtection="1">
      <alignment horizontal="center"/>
      <protection/>
    </xf>
    <xf numFmtId="2" fontId="77" fillId="0" borderId="22" xfId="68" applyNumberFormat="1" applyFont="1" applyFill="1" applyBorder="1" applyAlignment="1" applyProtection="1">
      <alignment horizontal="center"/>
      <protection/>
    </xf>
    <xf numFmtId="2" fontId="109" fillId="0" borderId="22" xfId="68" applyNumberFormat="1" applyFont="1" applyFill="1" applyBorder="1" applyAlignment="1" applyProtection="1">
      <alignment horizontal="center"/>
      <protection/>
    </xf>
    <xf numFmtId="176" fontId="110" fillId="48" borderId="28" xfId="68" applyNumberFormat="1" applyFont="1" applyFill="1" applyBorder="1" applyAlignment="1" applyProtection="1">
      <alignment horizontal="center"/>
      <protection/>
    </xf>
    <xf numFmtId="0" fontId="62" fillId="54" borderId="21" xfId="68" applyFont="1" applyFill="1" applyBorder="1" applyAlignment="1">
      <alignment vertical="center" wrapText="1"/>
      <protection/>
    </xf>
    <xf numFmtId="0" fontId="62" fillId="48" borderId="41" xfId="68" applyFont="1" applyFill="1" applyBorder="1" applyAlignment="1">
      <alignment vertical="center" wrapText="1"/>
      <protection/>
    </xf>
    <xf numFmtId="0" fontId="62" fillId="48" borderId="44" xfId="68" applyFont="1" applyFill="1" applyBorder="1" applyAlignment="1">
      <alignment vertical="center" wrapText="1"/>
      <protection/>
    </xf>
    <xf numFmtId="0" fontId="13" fillId="0" borderId="74" xfId="68" applyFont="1" applyFill="1" applyBorder="1" applyAlignment="1">
      <alignment horizontal="center"/>
      <protection/>
    </xf>
    <xf numFmtId="0" fontId="13" fillId="0" borderId="70" xfId="68" applyFont="1" applyFill="1" applyBorder="1" applyAlignment="1">
      <alignment horizontal="center"/>
      <protection/>
    </xf>
    <xf numFmtId="0" fontId="29" fillId="48" borderId="0" xfId="68" applyFont="1" applyFill="1" applyBorder="1" applyAlignment="1">
      <alignment horizontal="left"/>
      <protection/>
    </xf>
    <xf numFmtId="0" fontId="29" fillId="48" borderId="57" xfId="68" applyFont="1" applyFill="1" applyBorder="1" applyAlignment="1">
      <alignment horizontal="left"/>
      <protection/>
    </xf>
    <xf numFmtId="0" fontId="13" fillId="0" borderId="27" xfId="68" applyFont="1" applyBorder="1" applyAlignment="1" applyProtection="1">
      <alignment horizontal="center"/>
      <protection/>
    </xf>
    <xf numFmtId="0" fontId="13" fillId="0" borderId="32" xfId="68" applyFont="1" applyBorder="1" applyAlignment="1" applyProtection="1">
      <alignment horizontal="center"/>
      <protection/>
    </xf>
    <xf numFmtId="172" fontId="13" fillId="0" borderId="59" xfId="68" applyNumberFormat="1" applyFont="1" applyBorder="1" applyAlignment="1" applyProtection="1">
      <alignment horizontal="center"/>
      <protection/>
    </xf>
    <xf numFmtId="172" fontId="13" fillId="0" borderId="47" xfId="68" applyNumberFormat="1" applyFont="1" applyBorder="1" applyAlignment="1" applyProtection="1">
      <alignment horizontal="center"/>
      <protection/>
    </xf>
    <xf numFmtId="22" fontId="13" fillId="0" borderId="30" xfId="68" applyNumberFormat="1" applyFont="1" applyBorder="1" applyAlignment="1" applyProtection="1">
      <alignment horizontal="center"/>
      <protection locked="0"/>
    </xf>
    <xf numFmtId="176" fontId="13" fillId="0" borderId="28" xfId="68" applyNumberFormat="1" applyFont="1" applyFill="1" applyBorder="1" applyAlignment="1" applyProtection="1">
      <alignment horizontal="center"/>
      <protection/>
    </xf>
    <xf numFmtId="172" fontId="63" fillId="37" borderId="60" xfId="68" applyNumberFormat="1" applyFont="1" applyFill="1" applyBorder="1" applyAlignment="1" applyProtection="1">
      <alignment horizontal="center"/>
      <protection locked="0"/>
    </xf>
    <xf numFmtId="2" fontId="64" fillId="54" borderId="28" xfId="68" applyNumberFormat="1" applyFont="1" applyFill="1" applyBorder="1" applyAlignment="1">
      <alignment horizontal="center"/>
      <protection/>
    </xf>
    <xf numFmtId="176" fontId="64" fillId="48" borderId="0" xfId="68" applyNumberFormat="1" applyFont="1" applyFill="1" applyBorder="1" applyAlignment="1" applyProtection="1" quotePrefix="1">
      <alignment horizontal="center"/>
      <protection/>
    </xf>
    <xf numFmtId="176" fontId="64" fillId="48" borderId="57" xfId="68" applyNumberFormat="1" applyFont="1" applyFill="1" applyBorder="1" applyAlignment="1" applyProtection="1" quotePrefix="1">
      <alignment horizontal="center"/>
      <protection/>
    </xf>
    <xf numFmtId="22" fontId="13" fillId="0" borderId="28" xfId="68" applyNumberFormat="1" applyFont="1" applyFill="1" applyBorder="1" applyAlignment="1">
      <alignment horizontal="center"/>
      <protection/>
    </xf>
    <xf numFmtId="176" fontId="110" fillId="48" borderId="36" xfId="68" applyNumberFormat="1" applyFont="1" applyFill="1" applyBorder="1" applyAlignment="1" applyProtection="1">
      <alignment horizontal="center"/>
      <protection/>
    </xf>
    <xf numFmtId="0" fontId="13" fillId="0" borderId="71" xfId="68" applyFont="1" applyBorder="1" applyAlignment="1" applyProtection="1">
      <alignment horizontal="center"/>
      <protection/>
    </xf>
    <xf numFmtId="172" fontId="13" fillId="0" borderId="84" xfId="68" applyNumberFormat="1" applyFont="1" applyBorder="1" applyAlignment="1" applyProtection="1">
      <alignment horizontal="center"/>
      <protection/>
    </xf>
    <xf numFmtId="172" fontId="13" fillId="0" borderId="73" xfId="68" applyNumberFormat="1" applyFont="1" applyBorder="1" applyAlignment="1" applyProtection="1">
      <alignment horizontal="center"/>
      <protection/>
    </xf>
    <xf numFmtId="176" fontId="29" fillId="48" borderId="62" xfId="68" applyNumberFormat="1" applyFont="1" applyFill="1" applyBorder="1" applyAlignment="1" applyProtection="1" quotePrefix="1">
      <alignment horizontal="center"/>
      <protection/>
    </xf>
    <xf numFmtId="176" fontId="29" fillId="48" borderId="50" xfId="68" applyNumberFormat="1" applyFont="1" applyFill="1" applyBorder="1" applyAlignment="1" applyProtection="1" quotePrefix="1">
      <alignment horizontal="center"/>
      <protection/>
    </xf>
    <xf numFmtId="176" fontId="29" fillId="48" borderId="0" xfId="68" applyNumberFormat="1" applyFont="1" applyFill="1" applyBorder="1" applyAlignment="1" applyProtection="1" quotePrefix="1">
      <alignment horizontal="center"/>
      <protection/>
    </xf>
    <xf numFmtId="2" fontId="59" fillId="0" borderId="41" xfId="68" applyNumberFormat="1" applyFont="1" applyFill="1" applyBorder="1" applyAlignment="1">
      <alignment horizontal="center"/>
      <protection/>
    </xf>
    <xf numFmtId="176" fontId="49" fillId="0" borderId="41" xfId="68" applyNumberFormat="1" applyFont="1" applyFill="1" applyBorder="1" applyAlignment="1" applyProtection="1" quotePrefix="1">
      <alignment horizontal="center"/>
      <protection/>
    </xf>
    <xf numFmtId="176" fontId="13" fillId="0" borderId="41" xfId="68" applyNumberFormat="1" applyFont="1" applyFill="1" applyBorder="1" applyAlignment="1">
      <alignment horizontal="center"/>
      <protection/>
    </xf>
    <xf numFmtId="182" fontId="63" fillId="37" borderId="28" xfId="68" applyNumberFormat="1" applyFont="1" applyFill="1" applyBorder="1" applyAlignment="1" applyProtection="1">
      <alignment horizontal="center"/>
      <protection/>
    </xf>
    <xf numFmtId="0" fontId="60" fillId="37" borderId="17" xfId="68" applyFont="1" applyFill="1" applyBorder="1" applyAlignment="1" applyProtection="1">
      <alignment horizontal="center" vertical="center"/>
      <protection/>
    </xf>
    <xf numFmtId="0" fontId="61" fillId="39" borderId="21" xfId="68" applyFont="1" applyFill="1" applyBorder="1" applyAlignment="1">
      <alignment horizontal="center" vertical="center" wrapText="1"/>
      <protection/>
    </xf>
    <xf numFmtId="0" fontId="34" fillId="45" borderId="16" xfId="68" applyFont="1" applyFill="1" applyBorder="1" applyAlignment="1" applyProtection="1">
      <alignment horizontal="centerContinuous" vertical="center" wrapText="1"/>
      <protection/>
    </xf>
    <xf numFmtId="0" fontId="34" fillId="45" borderId="17" xfId="68" applyFont="1" applyFill="1" applyBorder="1" applyAlignment="1">
      <alignment horizontal="centerContinuous" vertical="center"/>
      <protection/>
    </xf>
    <xf numFmtId="0" fontId="37" fillId="36" borderId="21" xfId="68" applyFont="1" applyFill="1" applyBorder="1" applyAlignment="1">
      <alignment horizontal="center" vertical="center" wrapText="1"/>
      <protection/>
    </xf>
    <xf numFmtId="0" fontId="61" fillId="0" borderId="21" xfId="68" applyFont="1" applyFill="1" applyBorder="1" applyAlignment="1">
      <alignment horizontal="center" vertical="center" wrapText="1"/>
      <protection/>
    </xf>
    <xf numFmtId="0" fontId="13" fillId="0" borderId="23" xfId="68" applyFont="1" applyFill="1" applyBorder="1" applyAlignment="1">
      <alignment/>
      <protection/>
    </xf>
    <xf numFmtId="0" fontId="13" fillId="0" borderId="86" xfId="68" applyFont="1" applyFill="1" applyBorder="1" applyAlignment="1">
      <alignment/>
      <protection/>
    </xf>
    <xf numFmtId="0" fontId="13" fillId="0" borderId="70" xfId="68" applyFont="1" applyFill="1" applyBorder="1" applyAlignment="1">
      <alignment/>
      <protection/>
    </xf>
    <xf numFmtId="172" fontId="63" fillId="37" borderId="60" xfId="68" applyNumberFormat="1" applyFont="1" applyFill="1" applyBorder="1" applyAlignment="1" applyProtection="1">
      <alignment horizontal="center"/>
      <protection/>
    </xf>
    <xf numFmtId="2" fontId="81" fillId="39" borderId="28" xfId="68" applyNumberFormat="1" applyFont="1" applyFill="1" applyBorder="1" applyAlignment="1" applyProtection="1">
      <alignment horizontal="center"/>
      <protection/>
    </xf>
    <xf numFmtId="176" fontId="50" fillId="45" borderId="48" xfId="68" applyNumberFormat="1" applyFont="1" applyFill="1" applyBorder="1" applyAlignment="1" applyProtection="1" quotePrefix="1">
      <alignment horizontal="center"/>
      <protection/>
    </xf>
    <xf numFmtId="176" fontId="50" fillId="45" borderId="49" xfId="68" applyNumberFormat="1" applyFont="1" applyFill="1" applyBorder="1" applyAlignment="1" applyProtection="1" quotePrefix="1">
      <alignment horizontal="center"/>
      <protection/>
    </xf>
    <xf numFmtId="176" fontId="53" fillId="36" borderId="27" xfId="68" applyNumberFormat="1" applyFont="1" applyFill="1" applyBorder="1" applyAlignment="1" applyProtection="1" quotePrefix="1">
      <alignment horizontal="center"/>
      <protection/>
    </xf>
    <xf numFmtId="22" fontId="13" fillId="0" borderId="33" xfId="73" applyNumberFormat="1" applyFont="1" applyBorder="1" applyAlignment="1" applyProtection="1">
      <alignment horizontal="center"/>
      <protection/>
    </xf>
    <xf numFmtId="0" fontId="13" fillId="0" borderId="60" xfId="68" applyFont="1" applyBorder="1" applyAlignment="1" applyProtection="1">
      <alignment horizontal="center"/>
      <protection locked="0"/>
    </xf>
    <xf numFmtId="0" fontId="13" fillId="0" borderId="33" xfId="68" applyFont="1" applyBorder="1" applyAlignment="1" applyProtection="1">
      <alignment horizontal="center"/>
      <protection locked="0"/>
    </xf>
    <xf numFmtId="176" fontId="13" fillId="0" borderId="34" xfId="68" applyNumberFormat="1" applyFont="1" applyFill="1" applyBorder="1" applyAlignment="1" applyProtection="1">
      <alignment/>
      <protection/>
    </xf>
    <xf numFmtId="176" fontId="13" fillId="0" borderId="71" xfId="68" applyNumberFormat="1" applyFont="1" applyFill="1" applyBorder="1" applyAlignment="1" applyProtection="1">
      <alignment/>
      <protection/>
    </xf>
    <xf numFmtId="176" fontId="13" fillId="0" borderId="73" xfId="68" applyNumberFormat="1" applyFont="1" applyFill="1" applyBorder="1" applyAlignment="1" applyProtection="1">
      <alignment/>
      <protection/>
    </xf>
    <xf numFmtId="4" fontId="78" fillId="0" borderId="0" xfId="68" applyNumberFormat="1" applyFont="1" applyFill="1" applyBorder="1" applyAlignment="1">
      <alignment horizontal="right"/>
      <protection/>
    </xf>
    <xf numFmtId="7" fontId="4" fillId="0" borderId="0" xfId="68" applyNumberFormat="1" applyFont="1" applyBorder="1" applyAlignment="1">
      <alignment horizontal="centerContinuous"/>
      <protection/>
    </xf>
    <xf numFmtId="178" fontId="21" fillId="0" borderId="0" xfId="68" applyNumberFormat="1" applyFont="1" applyBorder="1" applyAlignment="1" applyProtection="1">
      <alignment horizontal="center"/>
      <protection/>
    </xf>
    <xf numFmtId="176" fontId="21" fillId="0" borderId="0" xfId="68" applyNumberFormat="1" applyFont="1" applyBorder="1">
      <alignment/>
      <protection/>
    </xf>
    <xf numFmtId="176" fontId="90" fillId="0" borderId="0" xfId="68" applyNumberFormat="1" applyFont="1" applyBorder="1" applyAlignment="1" applyProtection="1" quotePrefix="1">
      <alignment horizontal="right"/>
      <protection/>
    </xf>
    <xf numFmtId="0" fontId="21" fillId="0" borderId="60" xfId="68" applyFont="1" applyBorder="1">
      <alignment/>
      <protection/>
    </xf>
    <xf numFmtId="7" fontId="21" fillId="0" borderId="60" xfId="68" applyNumberFormat="1" applyFont="1" applyBorder="1" applyAlignment="1">
      <alignment horizontal="centerContinuous"/>
      <protection/>
    </xf>
    <xf numFmtId="0" fontId="10" fillId="0" borderId="16" xfId="68" applyFont="1" applyBorder="1" applyAlignment="1">
      <alignment horizontal="center"/>
      <protection/>
    </xf>
    <xf numFmtId="7" fontId="10" fillId="0" borderId="17" xfId="68" applyNumberFormat="1" applyFont="1" applyBorder="1" applyAlignment="1">
      <alignment horizontal="center"/>
      <protection/>
    </xf>
    <xf numFmtId="0" fontId="115" fillId="0" borderId="0" xfId="72" applyFont="1" applyBorder="1" applyAlignment="1">
      <alignment horizontal="left"/>
      <protection/>
    </xf>
    <xf numFmtId="0" fontId="116" fillId="0" borderId="0" xfId="72" applyFont="1" applyBorder="1" applyAlignment="1" applyProtection="1">
      <alignment horizontal="center"/>
      <protection locked="0"/>
    </xf>
    <xf numFmtId="0" fontId="116" fillId="0" borderId="0" xfId="69" applyFont="1" applyBorder="1" applyAlignment="1">
      <alignment horizontal="center"/>
      <protection/>
    </xf>
    <xf numFmtId="0" fontId="116" fillId="0" borderId="0" xfId="69" applyFont="1">
      <alignment/>
      <protection/>
    </xf>
    <xf numFmtId="1" fontId="116" fillId="0" borderId="0" xfId="67" applyNumberFormat="1" applyFont="1" applyBorder="1" applyAlignment="1" applyProtection="1">
      <alignment horizontal="centerContinuous"/>
      <protection/>
    </xf>
    <xf numFmtId="0" fontId="75" fillId="0" borderId="27" xfId="72" applyFont="1" applyBorder="1" applyAlignment="1" applyProtection="1">
      <alignment horizontal="center"/>
      <protection locked="0"/>
    </xf>
    <xf numFmtId="22" fontId="13" fillId="0" borderId="48" xfId="72" applyNumberFormat="1" applyFont="1" applyBorder="1" applyAlignment="1" applyProtection="1">
      <alignment horizontal="center"/>
      <protection locked="0"/>
    </xf>
    <xf numFmtId="22" fontId="13" fillId="0" borderId="27" xfId="72" applyNumberFormat="1" applyFont="1" applyBorder="1" applyAlignment="1" applyProtection="1">
      <alignment horizontal="center"/>
      <protection locked="0"/>
    </xf>
    <xf numFmtId="0" fontId="13" fillId="0" borderId="27" xfId="60" applyFont="1" applyBorder="1" applyAlignment="1" applyProtection="1">
      <alignment horizontal="center"/>
      <protection locked="0"/>
    </xf>
    <xf numFmtId="176" fontId="29" fillId="50" borderId="37" xfId="69" applyNumberFormat="1" applyFont="1" applyFill="1" applyBorder="1" applyAlignment="1" applyProtection="1" quotePrefix="1">
      <alignment horizontal="center"/>
      <protection/>
    </xf>
    <xf numFmtId="176" fontId="29" fillId="50" borderId="39" xfId="69" applyNumberFormat="1" applyFont="1" applyFill="1" applyBorder="1" applyAlignment="1" applyProtection="1" quotePrefix="1">
      <alignment horizontal="center"/>
      <protection/>
    </xf>
    <xf numFmtId="0" fontId="8" fillId="0" borderId="0" xfId="73" applyFont="1">
      <alignment/>
      <protection/>
    </xf>
    <xf numFmtId="0" fontId="8" fillId="0" borderId="0" xfId="73" applyFont="1" applyFill="1">
      <alignment/>
      <protection/>
    </xf>
    <xf numFmtId="0" fontId="11" fillId="0" borderId="0" xfId="73" applyFont="1" applyFill="1" applyAlignment="1">
      <alignment horizontal="right" vertical="top"/>
      <protection/>
    </xf>
    <xf numFmtId="0" fontId="9" fillId="0" borderId="0" xfId="73" applyFont="1" applyFill="1" applyAlignment="1">
      <alignment horizontal="centerContinuous"/>
      <protection/>
    </xf>
    <xf numFmtId="0" fontId="9" fillId="0" borderId="0" xfId="73" applyFont="1" applyAlignment="1">
      <alignment horizontal="centerContinuous"/>
      <protection/>
    </xf>
    <xf numFmtId="0" fontId="13" fillId="0" borderId="0" xfId="73" applyFont="1" applyFill="1">
      <alignment/>
      <protection/>
    </xf>
    <xf numFmtId="0" fontId="13" fillId="0" borderId="0" xfId="73" applyFont="1">
      <alignment/>
      <protection/>
    </xf>
    <xf numFmtId="0" fontId="6" fillId="0" borderId="0" xfId="73" applyFont="1" applyFill="1" applyAlignment="1">
      <alignment horizontal="centerContinuous"/>
      <protection/>
    </xf>
    <xf numFmtId="0" fontId="14" fillId="0" borderId="0" xfId="73" applyFont="1" applyFill="1" applyAlignment="1">
      <alignment horizontal="centerContinuous"/>
      <protection/>
    </xf>
    <xf numFmtId="0" fontId="14" fillId="0" borderId="0" xfId="73" applyFont="1" applyFill="1">
      <alignment/>
      <protection/>
    </xf>
    <xf numFmtId="0" fontId="14" fillId="0" borderId="0" xfId="73" applyFont="1">
      <alignment/>
      <protection/>
    </xf>
    <xf numFmtId="0" fontId="13" fillId="0" borderId="11" xfId="73" applyFont="1" applyFill="1" applyBorder="1">
      <alignment/>
      <protection/>
    </xf>
    <xf numFmtId="0" fontId="13" fillId="0" borderId="12" xfId="73" applyFont="1" applyFill="1" applyBorder="1">
      <alignment/>
      <protection/>
    </xf>
    <xf numFmtId="0" fontId="13" fillId="0" borderId="13" xfId="73" applyFont="1" applyFill="1" applyBorder="1">
      <alignment/>
      <protection/>
    </xf>
    <xf numFmtId="0" fontId="16" fillId="0" borderId="0" xfId="73" applyFont="1" applyFill="1">
      <alignment/>
      <protection/>
    </xf>
    <xf numFmtId="0" fontId="16" fillId="0" borderId="14" xfId="73" applyFont="1" applyFill="1" applyBorder="1">
      <alignment/>
      <protection/>
    </xf>
    <xf numFmtId="0" fontId="16" fillId="0" borderId="0" xfId="73" applyFont="1" applyFill="1" applyBorder="1">
      <alignment/>
      <protection/>
    </xf>
    <xf numFmtId="0" fontId="20" fillId="0" borderId="0" xfId="73" applyFont="1" applyFill="1" applyBorder="1" applyAlignment="1">
      <alignment horizontal="left"/>
      <protection/>
    </xf>
    <xf numFmtId="0" fontId="16" fillId="0" borderId="0" xfId="73" applyFont="1" applyFill="1" applyBorder="1" applyAlignment="1" applyProtection="1">
      <alignment horizontal="left"/>
      <protection/>
    </xf>
    <xf numFmtId="0" fontId="16" fillId="0" borderId="15" xfId="73" applyFont="1" applyFill="1" applyBorder="1">
      <alignment/>
      <protection/>
    </xf>
    <xf numFmtId="0" fontId="16" fillId="0" borderId="0" xfId="73" applyFont="1">
      <alignment/>
      <protection/>
    </xf>
    <xf numFmtId="0" fontId="13" fillId="0" borderId="14" xfId="73" applyFont="1" applyFill="1" applyBorder="1">
      <alignment/>
      <protection/>
    </xf>
    <xf numFmtId="0" fontId="13" fillId="0" borderId="0" xfId="73" applyFont="1" applyFill="1" applyBorder="1">
      <alignment/>
      <protection/>
    </xf>
    <xf numFmtId="0" fontId="5" fillId="0" borderId="0" xfId="73" applyFont="1" applyFill="1" applyBorder="1" applyAlignment="1">
      <alignment horizontal="left"/>
      <protection/>
    </xf>
    <xf numFmtId="0" fontId="13" fillId="0" borderId="15" xfId="73" applyFont="1" applyFill="1" applyBorder="1">
      <alignment/>
      <protection/>
    </xf>
    <xf numFmtId="0" fontId="16" fillId="0" borderId="0" xfId="73" applyFont="1" applyFill="1" applyAlignment="1">
      <alignment vertical="top"/>
      <protection/>
    </xf>
    <xf numFmtId="0" fontId="16" fillId="0" borderId="14" xfId="73" applyFont="1" applyFill="1" applyBorder="1" applyAlignment="1">
      <alignment vertical="top"/>
      <protection/>
    </xf>
    <xf numFmtId="0" fontId="16" fillId="0" borderId="0" xfId="73" applyFont="1" applyFill="1" applyBorder="1" applyAlignment="1">
      <alignment vertical="top"/>
      <protection/>
    </xf>
    <xf numFmtId="0" fontId="20" fillId="0" borderId="0" xfId="73" applyFont="1" applyFill="1" applyBorder="1" applyAlignment="1">
      <alignment horizontal="left" vertical="top"/>
      <protection/>
    </xf>
    <xf numFmtId="0" fontId="20" fillId="0" borderId="0" xfId="73" applyFont="1" applyFill="1" applyBorder="1" applyAlignment="1">
      <alignment vertical="top"/>
      <protection/>
    </xf>
    <xf numFmtId="0" fontId="16" fillId="0" borderId="15" xfId="73" applyFont="1" applyFill="1" applyBorder="1" applyAlignment="1">
      <alignment vertical="top"/>
      <protection/>
    </xf>
    <xf numFmtId="0" fontId="16" fillId="0" borderId="0" xfId="73" applyFont="1" applyAlignment="1">
      <alignment vertical="top"/>
      <protection/>
    </xf>
    <xf numFmtId="0" fontId="13" fillId="0" borderId="0" xfId="73" applyFont="1" applyFill="1" applyAlignment="1">
      <alignment vertical="top"/>
      <protection/>
    </xf>
    <xf numFmtId="0" fontId="13" fillId="0" borderId="14" xfId="73" applyFont="1" applyFill="1" applyBorder="1" applyAlignment="1">
      <alignment vertical="top"/>
      <protection/>
    </xf>
    <xf numFmtId="0" fontId="13" fillId="0" borderId="0" xfId="73" applyFont="1" applyFill="1" applyBorder="1" applyAlignment="1">
      <alignment vertical="top"/>
      <protection/>
    </xf>
    <xf numFmtId="0" fontId="20" fillId="0" borderId="0" xfId="73" applyFont="1" applyBorder="1" applyAlignment="1">
      <alignment horizontal="left" vertical="top"/>
      <protection/>
    </xf>
    <xf numFmtId="0" fontId="13" fillId="0" borderId="0" xfId="73" applyFont="1" applyFill="1" applyBorder="1" applyAlignment="1">
      <alignment horizontal="center" vertical="top"/>
      <protection/>
    </xf>
    <xf numFmtId="0" fontId="13" fillId="0" borderId="15" xfId="73" applyFont="1" applyFill="1" applyBorder="1" applyAlignment="1">
      <alignment vertical="top"/>
      <protection/>
    </xf>
    <xf numFmtId="0" fontId="13" fillId="0" borderId="0" xfId="73" applyFont="1" applyAlignment="1">
      <alignment vertical="top"/>
      <protection/>
    </xf>
    <xf numFmtId="0" fontId="23" fillId="0" borderId="0" xfId="73" applyFont="1" applyFill="1">
      <alignment/>
      <protection/>
    </xf>
    <xf numFmtId="0" fontId="24" fillId="0" borderId="0" xfId="73" applyFont="1" applyBorder="1" applyAlignment="1">
      <alignment horizontal="centerContinuous"/>
      <protection/>
    </xf>
    <xf numFmtId="0" fontId="24" fillId="0" borderId="0" xfId="73" applyFont="1" applyFill="1" applyAlignment="1">
      <alignment horizontal="centerContinuous"/>
      <protection/>
    </xf>
    <xf numFmtId="0" fontId="24" fillId="0" borderId="0" xfId="73" applyFont="1" applyFill="1" applyBorder="1" applyAlignment="1">
      <alignment horizontal="centerContinuous"/>
      <protection/>
    </xf>
    <xf numFmtId="0" fontId="26" fillId="0" borderId="15" xfId="73" applyFont="1" applyFill="1" applyBorder="1" applyAlignment="1">
      <alignment horizontal="centerContinuous"/>
      <protection/>
    </xf>
    <xf numFmtId="0" fontId="23" fillId="0" borderId="0" xfId="73" applyFont="1">
      <alignment/>
      <protection/>
    </xf>
    <xf numFmtId="0" fontId="13" fillId="0" borderId="0" xfId="73" applyFont="1" applyFill="1" applyBorder="1" applyAlignment="1">
      <alignment horizontal="center"/>
      <protection/>
    </xf>
    <xf numFmtId="0" fontId="13" fillId="0" borderId="16" xfId="73" applyFont="1" applyFill="1" applyBorder="1" applyAlignment="1" applyProtection="1">
      <alignment horizontal="left"/>
      <protection/>
    </xf>
    <xf numFmtId="0" fontId="13" fillId="0" borderId="41" xfId="73" applyFont="1" applyFill="1" applyBorder="1" applyAlignment="1" applyProtection="1">
      <alignment horizontal="center"/>
      <protection/>
    </xf>
    <xf numFmtId="0" fontId="13" fillId="0" borderId="21" xfId="73" applyFont="1" applyFill="1" applyBorder="1" applyAlignment="1">
      <alignment horizontal="center"/>
      <protection/>
    </xf>
    <xf numFmtId="0" fontId="3" fillId="0" borderId="16" xfId="73" applyFont="1" applyFill="1" applyBorder="1" applyAlignment="1" applyProtection="1" quotePrefix="1">
      <alignment horizontal="left"/>
      <protection/>
    </xf>
    <xf numFmtId="0" fontId="3" fillId="0" borderId="22" xfId="73" applyFont="1" applyFill="1" applyBorder="1" applyAlignment="1" applyProtection="1">
      <alignment horizontal="center"/>
      <protection/>
    </xf>
    <xf numFmtId="172" fontId="3" fillId="0" borderId="21" xfId="73" applyNumberFormat="1" applyFont="1" applyFill="1" applyBorder="1" applyAlignment="1" applyProtection="1">
      <alignment horizontal="center"/>
      <protection/>
    </xf>
    <xf numFmtId="0" fontId="3" fillId="0" borderId="0" xfId="73">
      <alignment/>
      <protection/>
    </xf>
    <xf numFmtId="22" fontId="13" fillId="0" borderId="0" xfId="73" applyNumberFormat="1" applyFont="1" applyFill="1" applyBorder="1">
      <alignment/>
      <protection/>
    </xf>
    <xf numFmtId="0" fontId="29" fillId="0" borderId="0" xfId="73" applyFont="1" applyFill="1" applyBorder="1">
      <alignment/>
      <protection/>
    </xf>
    <xf numFmtId="0" fontId="30" fillId="0" borderId="21" xfId="73" applyFont="1" applyFill="1" applyBorder="1" applyAlignment="1">
      <alignment horizontal="center" vertical="center"/>
      <protection/>
    </xf>
    <xf numFmtId="0" fontId="30" fillId="0" borderId="21" xfId="73" applyFont="1" applyBorder="1" applyAlignment="1">
      <alignment horizontal="center" vertical="center"/>
      <protection/>
    </xf>
    <xf numFmtId="0" fontId="30" fillId="0" borderId="21" xfId="73" applyFont="1" applyFill="1" applyBorder="1" applyAlignment="1" applyProtection="1">
      <alignment horizontal="center" vertical="center" wrapText="1"/>
      <protection/>
    </xf>
    <xf numFmtId="0" fontId="30" fillId="0" borderId="21" xfId="73" applyFont="1" applyFill="1" applyBorder="1" applyAlignment="1" applyProtection="1">
      <alignment horizontal="center" vertical="center"/>
      <protection/>
    </xf>
    <xf numFmtId="0" fontId="30" fillId="0" borderId="21" xfId="73" applyFont="1" applyFill="1" applyBorder="1" applyAlignment="1" applyProtection="1" quotePrefix="1">
      <alignment horizontal="center" vertical="center" wrapText="1"/>
      <protection/>
    </xf>
    <xf numFmtId="0" fontId="30" fillId="0" borderId="21" xfId="73" applyFont="1" applyFill="1" applyBorder="1" applyAlignment="1">
      <alignment horizontal="center" vertical="center" wrapText="1"/>
      <protection/>
    </xf>
    <xf numFmtId="0" fontId="60" fillId="37" borderId="21" xfId="73" applyFont="1" applyFill="1" applyBorder="1" applyAlignment="1" applyProtection="1">
      <alignment horizontal="center" vertical="center"/>
      <protection/>
    </xf>
    <xf numFmtId="0" fontId="30" fillId="0" borderId="16" xfId="73" applyFont="1" applyBorder="1" applyAlignment="1" applyProtection="1">
      <alignment horizontal="center" vertical="center" wrapText="1"/>
      <protection/>
    </xf>
    <xf numFmtId="0" fontId="30" fillId="0" borderId="16" xfId="73" applyFont="1" applyFill="1" applyBorder="1" applyAlignment="1" applyProtection="1">
      <alignment horizontal="center" vertical="center"/>
      <protection/>
    </xf>
    <xf numFmtId="0" fontId="62" fillId="42" borderId="21" xfId="73" applyFont="1" applyFill="1" applyBorder="1" applyAlignment="1" applyProtection="1">
      <alignment horizontal="center" vertical="center"/>
      <protection/>
    </xf>
    <xf numFmtId="0" fontId="67" fillId="39" borderId="21" xfId="73" applyFont="1" applyFill="1" applyBorder="1" applyAlignment="1">
      <alignment horizontal="center" vertical="center" wrapText="1"/>
      <protection/>
    </xf>
    <xf numFmtId="0" fontId="68" fillId="36" borderId="21" xfId="73" applyFont="1" applyFill="1" applyBorder="1" applyAlignment="1">
      <alignment horizontal="center" vertical="center" wrapText="1"/>
      <protection/>
    </xf>
    <xf numFmtId="0" fontId="36" fillId="37" borderId="16" xfId="73" applyFont="1" applyFill="1" applyBorder="1" applyAlignment="1" applyProtection="1">
      <alignment horizontal="centerContinuous" vertical="center" wrapText="1"/>
      <protection/>
    </xf>
    <xf numFmtId="0" fontId="36" fillId="37" borderId="17" xfId="73" applyFont="1" applyFill="1" applyBorder="1" applyAlignment="1">
      <alignment horizontal="centerContinuous" vertical="center"/>
      <protection/>
    </xf>
    <xf numFmtId="0" fontId="69" fillId="43" borderId="16" xfId="73" applyFont="1" applyFill="1" applyBorder="1" applyAlignment="1" applyProtection="1">
      <alignment horizontal="centerContinuous" vertical="center" wrapText="1"/>
      <protection/>
    </xf>
    <xf numFmtId="0" fontId="69" fillId="43" borderId="17" xfId="73" applyFont="1" applyFill="1" applyBorder="1" applyAlignment="1">
      <alignment horizontal="centerContinuous" vertical="center"/>
      <protection/>
    </xf>
    <xf numFmtId="0" fontId="34" fillId="44" borderId="21" xfId="73" applyFont="1" applyFill="1" applyBorder="1" applyAlignment="1">
      <alignment horizontal="center" vertical="center" wrapText="1"/>
      <protection/>
    </xf>
    <xf numFmtId="0" fontId="70" fillId="39" borderId="21" xfId="73" applyFont="1" applyFill="1" applyBorder="1" applyAlignment="1">
      <alignment horizontal="center" vertical="center" wrapText="1"/>
      <protection/>
    </xf>
    <xf numFmtId="0" fontId="30" fillId="0" borderId="21" xfId="73" applyFont="1" applyBorder="1" applyAlignment="1">
      <alignment horizontal="center" vertical="center" wrapText="1"/>
      <protection/>
    </xf>
    <xf numFmtId="0" fontId="13" fillId="0" borderId="43" xfId="73" applyFont="1" applyFill="1" applyBorder="1" applyAlignment="1">
      <alignment horizontal="center"/>
      <protection/>
    </xf>
    <xf numFmtId="172" fontId="13" fillId="0" borderId="43" xfId="73" applyNumberFormat="1" applyFont="1" applyFill="1" applyBorder="1" applyAlignment="1" applyProtection="1">
      <alignment horizontal="center"/>
      <protection/>
    </xf>
    <xf numFmtId="0" fontId="63" fillId="37" borderId="43" xfId="73" applyFont="1" applyFill="1" applyBorder="1" applyAlignment="1">
      <alignment horizontal="center"/>
      <protection/>
    </xf>
    <xf numFmtId="0" fontId="13" fillId="0" borderId="23" xfId="73" applyFont="1" applyBorder="1">
      <alignment/>
      <protection/>
    </xf>
    <xf numFmtId="0" fontId="13" fillId="0" borderId="44" xfId="73" applyFont="1" applyFill="1" applyBorder="1" applyAlignment="1">
      <alignment horizontal="center"/>
      <protection/>
    </xf>
    <xf numFmtId="0" fontId="29" fillId="42" borderId="43" xfId="73" applyFont="1" applyFill="1" applyBorder="1" applyAlignment="1">
      <alignment horizontal="center"/>
      <protection/>
    </xf>
    <xf numFmtId="0" fontId="71" fillId="39" borderId="43" xfId="73" applyFont="1" applyFill="1" applyBorder="1" applyAlignment="1">
      <alignment horizontal="center"/>
      <protection/>
    </xf>
    <xf numFmtId="0" fontId="72" fillId="36" borderId="43" xfId="73" applyFont="1" applyFill="1" applyBorder="1" applyAlignment="1">
      <alignment horizontal="center"/>
      <protection/>
    </xf>
    <xf numFmtId="0" fontId="52" fillId="37" borderId="24" xfId="73" applyFont="1" applyFill="1" applyBorder="1" applyAlignment="1">
      <alignment horizontal="center"/>
      <protection/>
    </xf>
    <xf numFmtId="0" fontId="52" fillId="37" borderId="26" xfId="73" applyFont="1" applyFill="1" applyBorder="1" applyAlignment="1">
      <alignment horizontal="center"/>
      <protection/>
    </xf>
    <xf numFmtId="0" fontId="73" fillId="43" borderId="45" xfId="73" applyFont="1" applyFill="1" applyBorder="1" applyAlignment="1">
      <alignment horizontal="center"/>
      <protection/>
    </xf>
    <xf numFmtId="0" fontId="73" fillId="43" borderId="46" xfId="73" applyFont="1" applyFill="1" applyBorder="1" applyAlignment="1">
      <alignment horizontal="center"/>
      <protection/>
    </xf>
    <xf numFmtId="0" fontId="50" fillId="44" borderId="43" xfId="73" applyFont="1" applyFill="1" applyBorder="1" applyAlignment="1">
      <alignment horizontal="center"/>
      <protection/>
    </xf>
    <xf numFmtId="0" fontId="74" fillId="39" borderId="43" xfId="73" applyFont="1" applyFill="1" applyBorder="1" applyAlignment="1">
      <alignment horizontal="center"/>
      <protection/>
    </xf>
    <xf numFmtId="7" fontId="48" fillId="0" borderId="44" xfId="73" applyNumberFormat="1" applyFont="1" applyFill="1" applyBorder="1" applyAlignment="1">
      <alignment/>
      <protection/>
    </xf>
    <xf numFmtId="0" fontId="13" fillId="0" borderId="27" xfId="73" applyFont="1" applyFill="1" applyBorder="1" applyAlignment="1">
      <alignment horizontal="center"/>
      <protection/>
    </xf>
    <xf numFmtId="172" fontId="13" fillId="0" borderId="27" xfId="73" applyNumberFormat="1" applyFont="1" applyFill="1" applyBorder="1" applyAlignment="1" applyProtection="1">
      <alignment horizontal="center"/>
      <protection/>
    </xf>
    <xf numFmtId="0" fontId="63" fillId="37" borderId="27" xfId="73" applyFont="1" applyFill="1" applyBorder="1" applyAlignment="1">
      <alignment horizontal="center"/>
      <protection/>
    </xf>
    <xf numFmtId="0" fontId="13" fillId="0" borderId="29" xfId="73" applyFont="1" applyBorder="1">
      <alignment/>
      <protection/>
    </xf>
    <xf numFmtId="0" fontId="13" fillId="0" borderId="47" xfId="73" applyFont="1" applyFill="1" applyBorder="1" applyAlignment="1">
      <alignment horizontal="center"/>
      <protection/>
    </xf>
    <xf numFmtId="0" fontId="29" fillId="42" borderId="27" xfId="73" applyFont="1" applyFill="1" applyBorder="1" applyAlignment="1">
      <alignment horizontal="center"/>
      <protection/>
    </xf>
    <xf numFmtId="0" fontId="71" fillId="39" borderId="27" xfId="73" applyFont="1" applyFill="1" applyBorder="1" applyAlignment="1">
      <alignment horizontal="center"/>
      <protection/>
    </xf>
    <xf numFmtId="0" fontId="72" fillId="36" borderId="27" xfId="73" applyFont="1" applyFill="1" applyBorder="1" applyAlignment="1">
      <alignment horizontal="center"/>
      <protection/>
    </xf>
    <xf numFmtId="0" fontId="52" fillId="37" borderId="48" xfId="73" applyFont="1" applyFill="1" applyBorder="1" applyAlignment="1">
      <alignment horizontal="center"/>
      <protection/>
    </xf>
    <xf numFmtId="0" fontId="52" fillId="37" borderId="49" xfId="73" applyFont="1" applyFill="1" applyBorder="1" applyAlignment="1">
      <alignment horizontal="center"/>
      <protection/>
    </xf>
    <xf numFmtId="0" fontId="73" fillId="43" borderId="48" xfId="73" applyFont="1" applyFill="1" applyBorder="1" applyAlignment="1">
      <alignment horizontal="center"/>
      <protection/>
    </xf>
    <xf numFmtId="0" fontId="73" fillId="43" borderId="49" xfId="73" applyFont="1" applyFill="1" applyBorder="1" applyAlignment="1">
      <alignment horizontal="center"/>
      <protection/>
    </xf>
    <xf numFmtId="0" fontId="50" fillId="44" borderId="27" xfId="73" applyFont="1" applyFill="1" applyBorder="1" applyAlignment="1">
      <alignment horizontal="center"/>
      <protection/>
    </xf>
    <xf numFmtId="0" fontId="74" fillId="39" borderId="27" xfId="73" applyFont="1" applyFill="1" applyBorder="1" applyAlignment="1">
      <alignment horizontal="center"/>
      <protection/>
    </xf>
    <xf numFmtId="0" fontId="48" fillId="0" borderId="47" xfId="73" applyFont="1" applyFill="1" applyBorder="1" applyAlignment="1">
      <alignment horizontal="center"/>
      <protection/>
    </xf>
    <xf numFmtId="0" fontId="13" fillId="0" borderId="28" xfId="73" applyFont="1" applyFill="1" applyBorder="1" applyAlignment="1" applyProtection="1">
      <alignment horizontal="center"/>
      <protection locked="0"/>
    </xf>
    <xf numFmtId="182" fontId="63" fillId="37" borderId="28" xfId="73" applyNumberFormat="1" applyFont="1" applyFill="1" applyBorder="1" applyAlignment="1" applyProtection="1">
      <alignment horizontal="center"/>
      <protection/>
    </xf>
    <xf numFmtId="4" fontId="13" fillId="0" borderId="28" xfId="73" applyNumberFormat="1" applyFont="1" applyFill="1" applyBorder="1" applyAlignment="1" applyProtection="1">
      <alignment horizontal="center"/>
      <protection/>
    </xf>
    <xf numFmtId="3" fontId="13" fillId="0" borderId="28" xfId="73" applyNumberFormat="1" applyFont="1" applyFill="1" applyBorder="1" applyAlignment="1" applyProtection="1">
      <alignment horizontal="center"/>
      <protection/>
    </xf>
    <xf numFmtId="176" fontId="13" fillId="0" borderId="28" xfId="73" applyNumberFormat="1" applyFont="1" applyFill="1" applyBorder="1" applyAlignment="1" applyProtection="1">
      <alignment horizontal="center"/>
      <protection locked="0"/>
    </xf>
    <xf numFmtId="181" fontId="13" fillId="0" borderId="29" xfId="73" applyNumberFormat="1" applyFont="1" applyBorder="1" applyAlignment="1" applyProtection="1" quotePrefix="1">
      <alignment horizontal="center"/>
      <protection/>
    </xf>
    <xf numFmtId="176" fontId="13" fillId="0" borderId="28" xfId="73" applyNumberFormat="1" applyFont="1" applyBorder="1" applyAlignment="1" applyProtection="1" quotePrefix="1">
      <alignment horizontal="center"/>
      <protection/>
    </xf>
    <xf numFmtId="176" fontId="13" fillId="0" borderId="28" xfId="73" applyNumberFormat="1" applyFont="1" applyBorder="1" applyAlignment="1" applyProtection="1">
      <alignment horizontal="center"/>
      <protection/>
    </xf>
    <xf numFmtId="172" fontId="29" fillId="42" borderId="28" xfId="73" applyNumberFormat="1" applyFont="1" applyFill="1" applyBorder="1" applyAlignment="1" applyProtection="1">
      <alignment horizontal="center"/>
      <protection/>
    </xf>
    <xf numFmtId="2" fontId="71" fillId="39" borderId="28" xfId="73" applyNumberFormat="1" applyFont="1" applyFill="1" applyBorder="1" applyAlignment="1" applyProtection="1">
      <alignment horizontal="center"/>
      <protection/>
    </xf>
    <xf numFmtId="2" fontId="72" fillId="36" borderId="28" xfId="73" applyNumberFormat="1" applyFont="1" applyFill="1" applyBorder="1" applyAlignment="1" applyProtection="1">
      <alignment horizontal="center"/>
      <protection/>
    </xf>
    <xf numFmtId="176" fontId="52" fillId="37" borderId="48" xfId="73" applyNumberFormat="1" applyFont="1" applyFill="1" applyBorder="1" applyAlignment="1" applyProtection="1" quotePrefix="1">
      <alignment horizontal="center"/>
      <protection/>
    </xf>
    <xf numFmtId="176" fontId="52" fillId="37" borderId="49" xfId="73" applyNumberFormat="1" applyFont="1" applyFill="1" applyBorder="1" applyAlignment="1" applyProtection="1" quotePrefix="1">
      <alignment horizontal="center"/>
      <protection/>
    </xf>
    <xf numFmtId="176" fontId="73" fillId="43" borderId="48" xfId="73" applyNumberFormat="1" applyFont="1" applyFill="1" applyBorder="1" applyAlignment="1" applyProtection="1" quotePrefix="1">
      <alignment horizontal="center"/>
      <protection/>
    </xf>
    <xf numFmtId="176" fontId="73" fillId="43" borderId="49" xfId="73" applyNumberFormat="1" applyFont="1" applyFill="1" applyBorder="1" applyAlignment="1" applyProtection="1" quotePrefix="1">
      <alignment horizontal="center"/>
      <protection/>
    </xf>
    <xf numFmtId="176" fontId="50" fillId="44" borderId="28" xfId="73" applyNumberFormat="1" applyFont="1" applyFill="1" applyBorder="1" applyAlignment="1" applyProtection="1" quotePrefix="1">
      <alignment horizontal="center"/>
      <protection/>
    </xf>
    <xf numFmtId="176" fontId="74" fillId="39" borderId="27" xfId="73" applyNumberFormat="1" applyFont="1" applyFill="1" applyBorder="1" applyAlignment="1" applyProtection="1" quotePrefix="1">
      <alignment horizontal="center"/>
      <protection/>
    </xf>
    <xf numFmtId="176" fontId="13" fillId="0" borderId="29" xfId="73" applyNumberFormat="1" applyFont="1" applyFill="1" applyBorder="1" applyAlignment="1" applyProtection="1">
      <alignment horizontal="center"/>
      <protection/>
    </xf>
    <xf numFmtId="4" fontId="78" fillId="0" borderId="29" xfId="73" applyNumberFormat="1" applyFont="1" applyFill="1" applyBorder="1" applyAlignment="1">
      <alignment horizontal="right"/>
      <protection/>
    </xf>
    <xf numFmtId="1" fontId="13" fillId="0" borderId="49" xfId="73" applyNumberFormat="1" applyFont="1" applyBorder="1" applyAlignment="1" applyProtection="1" quotePrefix="1">
      <alignment horizontal="center"/>
      <protection locked="0"/>
    </xf>
    <xf numFmtId="0" fontId="13" fillId="0" borderId="47" xfId="73" applyFont="1" applyBorder="1" applyAlignment="1" applyProtection="1">
      <alignment horizontal="center"/>
      <protection locked="0"/>
    </xf>
    <xf numFmtId="0" fontId="75" fillId="0" borderId="36" xfId="73" applyFont="1" applyFill="1" applyBorder="1" applyAlignment="1" applyProtection="1">
      <alignment horizontal="center"/>
      <protection locked="0"/>
    </xf>
    <xf numFmtId="172" fontId="49" fillId="0" borderId="34" xfId="73" applyNumberFormat="1" applyFont="1" applyFill="1" applyBorder="1" applyAlignment="1" applyProtection="1">
      <alignment horizontal="center"/>
      <protection locked="0"/>
    </xf>
    <xf numFmtId="176" fontId="63" fillId="37" borderId="36" xfId="73" applyNumberFormat="1" applyFont="1" applyFill="1" applyBorder="1" applyAlignment="1" applyProtection="1">
      <alignment horizontal="center"/>
      <protection/>
    </xf>
    <xf numFmtId="0" fontId="13" fillId="0" borderId="36" xfId="73" applyFont="1" applyFill="1" applyBorder="1" applyAlignment="1" applyProtection="1">
      <alignment horizontal="center"/>
      <protection locked="0"/>
    </xf>
    <xf numFmtId="38" fontId="13" fillId="0" borderId="36" xfId="73" applyNumberFormat="1" applyFont="1" applyFill="1" applyBorder="1" applyAlignment="1" applyProtection="1">
      <alignment horizontal="center"/>
      <protection locked="0"/>
    </xf>
    <xf numFmtId="38" fontId="13" fillId="0" borderId="36" xfId="73" applyNumberFormat="1" applyFont="1" applyFill="1" applyBorder="1" applyAlignment="1" applyProtection="1">
      <alignment horizontal="center"/>
      <protection/>
    </xf>
    <xf numFmtId="172" fontId="13" fillId="0" borderId="36" xfId="73" applyNumberFormat="1" applyFont="1" applyFill="1" applyBorder="1" applyAlignment="1" applyProtection="1" quotePrefix="1">
      <alignment horizontal="center"/>
      <protection/>
    </xf>
    <xf numFmtId="176" fontId="13" fillId="0" borderId="36" xfId="73" applyNumberFormat="1" applyFont="1" applyFill="1" applyBorder="1" applyAlignment="1" applyProtection="1">
      <alignment horizontal="center"/>
      <protection locked="0"/>
    </xf>
    <xf numFmtId="181" fontId="13" fillId="0" borderId="36" xfId="73" applyNumberFormat="1" applyFont="1" applyBorder="1" applyAlignment="1" applyProtection="1" quotePrefix="1">
      <alignment horizontal="center"/>
      <protection locked="0"/>
    </xf>
    <xf numFmtId="176" fontId="13" fillId="0" borderId="50" xfId="73" applyNumberFormat="1" applyFont="1" applyFill="1" applyBorder="1" applyAlignment="1" applyProtection="1">
      <alignment horizontal="center"/>
      <protection locked="0"/>
    </xf>
    <xf numFmtId="172" fontId="29" fillId="42" borderId="36" xfId="73" applyNumberFormat="1" applyFont="1" applyFill="1" applyBorder="1" applyAlignment="1" applyProtection="1">
      <alignment horizontal="center"/>
      <protection locked="0"/>
    </xf>
    <xf numFmtId="2" fontId="71" fillId="39" borderId="36" xfId="73" applyNumberFormat="1" applyFont="1" applyFill="1" applyBorder="1" applyAlignment="1" applyProtection="1">
      <alignment horizontal="center"/>
      <protection locked="0"/>
    </xf>
    <xf numFmtId="2" fontId="72" fillId="36" borderId="36" xfId="73" applyNumberFormat="1" applyFont="1" applyFill="1" applyBorder="1" applyAlignment="1" applyProtection="1">
      <alignment horizontal="center"/>
      <protection locked="0"/>
    </xf>
    <xf numFmtId="176" fontId="52" fillId="37" borderId="51" xfId="73" applyNumberFormat="1" applyFont="1" applyFill="1" applyBorder="1" applyAlignment="1" applyProtection="1" quotePrefix="1">
      <alignment horizontal="center"/>
      <protection locked="0"/>
    </xf>
    <xf numFmtId="176" fontId="52" fillId="37" borderId="52" xfId="73" applyNumberFormat="1" applyFont="1" applyFill="1" applyBorder="1" applyAlignment="1" applyProtection="1" quotePrefix="1">
      <alignment horizontal="center"/>
      <protection locked="0"/>
    </xf>
    <xf numFmtId="176" fontId="73" fillId="43" borderId="37" xfId="73" applyNumberFormat="1" applyFont="1" applyFill="1" applyBorder="1" applyAlignment="1" applyProtection="1" quotePrefix="1">
      <alignment horizontal="center"/>
      <protection locked="0"/>
    </xf>
    <xf numFmtId="176" fontId="73" fillId="43" borderId="39" xfId="73" applyNumberFormat="1" applyFont="1" applyFill="1" applyBorder="1" applyAlignment="1" applyProtection="1" quotePrefix="1">
      <alignment horizontal="center"/>
      <protection locked="0"/>
    </xf>
    <xf numFmtId="176" fontId="50" fillId="44" borderId="36" xfId="73" applyNumberFormat="1" applyFont="1" applyFill="1" applyBorder="1" applyAlignment="1" applyProtection="1" quotePrefix="1">
      <alignment horizontal="center"/>
      <protection locked="0"/>
    </xf>
    <xf numFmtId="176" fontId="74" fillId="39" borderId="36" xfId="73" applyNumberFormat="1" applyFont="1" applyFill="1" applyBorder="1" applyAlignment="1" applyProtection="1" quotePrefix="1">
      <alignment horizontal="center"/>
      <protection locked="0"/>
    </xf>
    <xf numFmtId="176" fontId="76" fillId="0" borderId="50" xfId="73" applyNumberFormat="1" applyFont="1" applyFill="1" applyBorder="1" applyAlignment="1" applyProtection="1">
      <alignment horizontal="center"/>
      <protection locked="0"/>
    </xf>
    <xf numFmtId="176" fontId="65" fillId="0" borderId="53" xfId="73" applyNumberFormat="1" applyFont="1" applyFill="1" applyBorder="1" applyAlignment="1">
      <alignment horizontal="center"/>
      <protection/>
    </xf>
    <xf numFmtId="0" fontId="57" fillId="0" borderId="41" xfId="73" applyFont="1" applyBorder="1" applyAlignment="1">
      <alignment horizontal="center"/>
      <protection/>
    </xf>
    <xf numFmtId="0" fontId="13" fillId="0" borderId="0" xfId="73" applyFont="1" applyFill="1" applyBorder="1" applyAlignment="1">
      <alignment horizontal="left"/>
      <protection/>
    </xf>
    <xf numFmtId="0" fontId="58" fillId="0" borderId="0" xfId="73" applyFont="1" applyBorder="1" applyAlignment="1" applyProtection="1">
      <alignment horizontal="left"/>
      <protection/>
    </xf>
    <xf numFmtId="4" fontId="71" fillId="39" borderId="21" xfId="73" applyNumberFormat="1" applyFont="1" applyFill="1" applyBorder="1" applyAlignment="1">
      <alignment horizontal="center"/>
      <protection/>
    </xf>
    <xf numFmtId="4" fontId="72" fillId="36" borderId="21" xfId="73" applyNumberFormat="1" applyFont="1" applyFill="1" applyBorder="1" applyAlignment="1">
      <alignment horizontal="center"/>
      <protection/>
    </xf>
    <xf numFmtId="4" fontId="52" fillId="37" borderId="54" xfId="73" applyNumberFormat="1" applyFont="1" applyFill="1" applyBorder="1" applyAlignment="1">
      <alignment horizontal="center"/>
      <protection/>
    </xf>
    <xf numFmtId="4" fontId="52" fillId="37" borderId="17" xfId="73" applyNumberFormat="1" applyFont="1" applyFill="1" applyBorder="1" applyAlignment="1">
      <alignment horizontal="center"/>
      <protection/>
    </xf>
    <xf numFmtId="4" fontId="73" fillId="43" borderId="54" xfId="73" applyNumberFormat="1" applyFont="1" applyFill="1" applyBorder="1" applyAlignment="1">
      <alignment horizontal="center"/>
      <protection/>
    </xf>
    <xf numFmtId="4" fontId="73" fillId="43" borderId="55" xfId="73" applyNumberFormat="1" applyFont="1" applyFill="1" applyBorder="1" applyAlignment="1">
      <alignment horizontal="center"/>
      <protection/>
    </xf>
    <xf numFmtId="4" fontId="50" fillId="44" borderId="21" xfId="73" applyNumberFormat="1" applyFont="1" applyFill="1" applyBorder="1" applyAlignment="1">
      <alignment horizontal="center"/>
      <protection/>
    </xf>
    <xf numFmtId="4" fontId="74" fillId="39" borderId="21" xfId="73" applyNumberFormat="1" applyFont="1" applyFill="1" applyBorder="1" applyAlignment="1">
      <alignment horizontal="center"/>
      <protection/>
    </xf>
    <xf numFmtId="7" fontId="77" fillId="0" borderId="21" xfId="73" applyNumberFormat="1" applyFont="1" applyFill="1" applyBorder="1" applyAlignment="1">
      <alignment horizontal="right"/>
      <protection/>
    </xf>
    <xf numFmtId="0" fontId="13" fillId="0" borderId="18" xfId="73" applyFont="1" applyFill="1" applyBorder="1">
      <alignment/>
      <protection/>
    </xf>
    <xf numFmtId="0" fontId="13" fillId="0" borderId="19" xfId="73" applyFont="1" applyFill="1" applyBorder="1">
      <alignment/>
      <protection/>
    </xf>
    <xf numFmtId="0" fontId="13" fillId="0" borderId="20" xfId="73" applyFont="1" applyFill="1" applyBorder="1">
      <alignment/>
      <protection/>
    </xf>
    <xf numFmtId="0" fontId="3" fillId="0" borderId="0" xfId="73" applyFill="1">
      <alignment/>
      <protection/>
    </xf>
    <xf numFmtId="0" fontId="0" fillId="0" borderId="0" xfId="73" applyFont="1">
      <alignment/>
      <protection/>
    </xf>
    <xf numFmtId="0" fontId="104" fillId="0" borderId="0" xfId="72" applyFont="1" applyBorder="1" applyAlignment="1">
      <alignment horizontal="left"/>
      <protection/>
    </xf>
    <xf numFmtId="0" fontId="0" fillId="0" borderId="0" xfId="72" applyFont="1">
      <alignment/>
      <protection/>
    </xf>
    <xf numFmtId="1" fontId="13" fillId="0" borderId="28" xfId="72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6" fillId="0" borderId="15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24" fillId="0" borderId="14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16" xfId="0" applyFont="1" applyBorder="1" applyAlignment="1" applyProtection="1">
      <alignment horizontal="center"/>
      <protection/>
    </xf>
    <xf numFmtId="182" fontId="0" fillId="0" borderId="16" xfId="0" applyNumberFormat="1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3" fillId="0" borderId="0" xfId="0" applyFont="1" applyBorder="1" applyAlignment="1" applyProtection="1">
      <alignment horizontal="center"/>
      <protection/>
    </xf>
    <xf numFmtId="182" fontId="3" fillId="0" borderId="0" xfId="0" applyNumberFormat="1" applyFont="1" applyBorder="1" applyAlignment="1">
      <alignment horizontal="centerContinuous"/>
    </xf>
    <xf numFmtId="22" fontId="13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3" fillId="0" borderId="62" xfId="0" applyFont="1" applyBorder="1" applyAlignment="1">
      <alignment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center" vertical="center"/>
      <protection/>
    </xf>
    <xf numFmtId="172" fontId="30" fillId="0" borderId="21" xfId="0" applyNumberFormat="1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176" fontId="30" fillId="0" borderId="21" xfId="0" applyNumberFormat="1" applyFont="1" applyBorder="1" applyAlignment="1" applyProtection="1">
      <alignment horizontal="center" vertical="center"/>
      <protection/>
    </xf>
    <xf numFmtId="176" fontId="31" fillId="33" borderId="21" xfId="0" applyNumberFormat="1" applyFont="1" applyFill="1" applyBorder="1" applyAlignment="1" applyProtection="1">
      <alignment horizontal="center" vertical="center"/>
      <protection/>
    </xf>
    <xf numFmtId="0" fontId="32" fillId="34" borderId="21" xfId="0" applyFont="1" applyFill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4" fillId="35" borderId="21" xfId="0" applyFont="1" applyFill="1" applyBorder="1" applyAlignment="1">
      <alignment horizontal="center" vertical="center" wrapText="1"/>
    </xf>
    <xf numFmtId="0" fontId="35" fillId="36" borderId="21" xfId="0" applyFont="1" applyFill="1" applyBorder="1" applyAlignment="1">
      <alignment horizontal="center" vertical="center" wrapText="1"/>
    </xf>
    <xf numFmtId="0" fontId="36" fillId="37" borderId="16" xfId="0" applyFont="1" applyFill="1" applyBorder="1" applyAlignment="1" applyProtection="1">
      <alignment horizontal="centerContinuous" vertical="center" wrapText="1"/>
      <protection/>
    </xf>
    <xf numFmtId="0" fontId="7" fillId="37" borderId="22" xfId="0" applyFont="1" applyFill="1" applyBorder="1" applyAlignment="1">
      <alignment horizontal="centerContinuous"/>
    </xf>
    <xf numFmtId="0" fontId="36" fillId="37" borderId="17" xfId="0" applyFont="1" applyFill="1" applyBorder="1" applyAlignment="1">
      <alignment horizontal="centerContinuous" vertical="center"/>
    </xf>
    <xf numFmtId="0" fontId="37" fillId="38" borderId="16" xfId="0" applyFont="1" applyFill="1" applyBorder="1" applyAlignment="1">
      <alignment horizontal="centerContinuous" vertical="center" wrapText="1"/>
    </xf>
    <xf numFmtId="0" fontId="38" fillId="38" borderId="22" xfId="0" applyFont="1" applyFill="1" applyBorder="1" applyAlignment="1">
      <alignment horizontal="centerContinuous"/>
    </xf>
    <xf numFmtId="0" fontId="37" fillId="38" borderId="17" xfId="0" applyFont="1" applyFill="1" applyBorder="1" applyAlignment="1">
      <alignment horizontal="centerContinuous" vertical="center"/>
    </xf>
    <xf numFmtId="0" fontId="39" fillId="39" borderId="21" xfId="0" applyFont="1" applyFill="1" applyBorder="1" applyAlignment="1">
      <alignment horizontal="center" vertical="center" wrapText="1"/>
    </xf>
    <xf numFmtId="0" fontId="40" fillId="40" borderId="21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28" xfId="0" applyFont="1" applyFill="1" applyBorder="1" applyAlignment="1" applyProtection="1">
      <alignment horizontal="center"/>
      <protection locked="0"/>
    </xf>
    <xf numFmtId="0" fontId="41" fillId="33" borderId="28" xfId="0" applyFont="1" applyFill="1" applyBorder="1" applyAlignment="1" applyProtection="1">
      <alignment horizontal="center"/>
      <protection/>
    </xf>
    <xf numFmtId="182" fontId="42" fillId="34" borderId="28" xfId="0" applyNumberFormat="1" applyFont="1" applyFill="1" applyBorder="1" applyAlignment="1" applyProtection="1">
      <alignment horizontal="center"/>
      <protection/>
    </xf>
    <xf numFmtId="4" fontId="13" fillId="41" borderId="28" xfId="0" applyNumberFormat="1" applyFont="1" applyFill="1" applyBorder="1" applyAlignment="1" applyProtection="1" quotePrefix="1">
      <alignment horizontal="center"/>
      <protection/>
    </xf>
    <xf numFmtId="172" fontId="13" fillId="41" borderId="28" xfId="0" applyNumberFormat="1" applyFont="1" applyFill="1" applyBorder="1" applyAlignment="1" applyProtection="1" quotePrefix="1">
      <alignment horizontal="center"/>
      <protection/>
    </xf>
    <xf numFmtId="176" fontId="13" fillId="0" borderId="29" xfId="0" applyNumberFormat="1" applyFont="1" applyBorder="1" applyAlignment="1" applyProtection="1">
      <alignment horizontal="center"/>
      <protection locked="0"/>
    </xf>
    <xf numFmtId="181" fontId="13" fillId="0" borderId="28" xfId="0" applyNumberFormat="1" applyFont="1" applyBorder="1" applyAlignment="1" applyProtection="1" quotePrefix="1">
      <alignment horizontal="center"/>
      <protection locked="0"/>
    </xf>
    <xf numFmtId="176" fontId="13" fillId="0" borderId="28" xfId="0" applyNumberFormat="1" applyFont="1" applyBorder="1" applyAlignment="1" applyProtection="1">
      <alignment horizontal="center"/>
      <protection locked="0"/>
    </xf>
    <xf numFmtId="2" fontId="50" fillId="35" borderId="28" xfId="0" applyNumberFormat="1" applyFont="1" applyFill="1" applyBorder="1" applyAlignment="1" applyProtection="1">
      <alignment horizontal="center"/>
      <protection locked="0"/>
    </xf>
    <xf numFmtId="2" fontId="51" fillId="36" borderId="29" xfId="0" applyNumberFormat="1" applyFont="1" applyFill="1" applyBorder="1" applyAlignment="1" applyProtection="1">
      <alignment horizontal="center"/>
      <protection locked="0"/>
    </xf>
    <xf numFmtId="176" fontId="52" fillId="37" borderId="30" xfId="0" applyNumberFormat="1" applyFont="1" applyFill="1" applyBorder="1" applyAlignment="1" applyProtection="1" quotePrefix="1">
      <alignment horizontal="center"/>
      <protection locked="0"/>
    </xf>
    <xf numFmtId="176" fontId="52" fillId="37" borderId="31" xfId="0" applyNumberFormat="1" applyFont="1" applyFill="1" applyBorder="1" applyAlignment="1" applyProtection="1" quotePrefix="1">
      <alignment horizontal="center"/>
      <protection locked="0"/>
    </xf>
    <xf numFmtId="4" fontId="52" fillId="37" borderId="29" xfId="0" applyNumberFormat="1" applyFont="1" applyFill="1" applyBorder="1" applyAlignment="1" applyProtection="1">
      <alignment horizontal="center"/>
      <protection locked="0"/>
    </xf>
    <xf numFmtId="176" fontId="53" fillId="38" borderId="30" xfId="0" applyNumberFormat="1" applyFont="1" applyFill="1" applyBorder="1" applyAlignment="1" applyProtection="1" quotePrefix="1">
      <alignment horizontal="center"/>
      <protection locked="0"/>
    </xf>
    <xf numFmtId="176" fontId="53" fillId="38" borderId="31" xfId="0" applyNumberFormat="1" applyFont="1" applyFill="1" applyBorder="1" applyAlignment="1" applyProtection="1" quotePrefix="1">
      <alignment horizontal="center"/>
      <protection locked="0"/>
    </xf>
    <xf numFmtId="4" fontId="53" fillId="38" borderId="29" xfId="0" applyNumberFormat="1" applyFont="1" applyFill="1" applyBorder="1" applyAlignment="1" applyProtection="1">
      <alignment horizontal="center"/>
      <protection locked="0"/>
    </xf>
    <xf numFmtId="4" fontId="54" fillId="39" borderId="28" xfId="0" applyNumberFormat="1" applyFont="1" applyFill="1" applyBorder="1" applyAlignment="1" applyProtection="1">
      <alignment horizontal="center"/>
      <protection locked="0"/>
    </xf>
    <xf numFmtId="4" fontId="55" fillId="40" borderId="28" xfId="0" applyNumberFormat="1" applyFont="1" applyFill="1" applyBorder="1" applyAlignment="1" applyProtection="1">
      <alignment horizontal="center"/>
      <protection locked="0"/>
    </xf>
    <xf numFmtId="4" fontId="49" fillId="0" borderId="28" xfId="0" applyNumberFormat="1" applyFont="1" applyBorder="1" applyAlignment="1" applyProtection="1">
      <alignment horizontal="center"/>
      <protection locked="0"/>
    </xf>
    <xf numFmtId="4" fontId="48" fillId="0" borderId="29" xfId="0" applyNumberFormat="1" applyFont="1" applyFill="1" applyBorder="1" applyAlignment="1">
      <alignment horizontal="right"/>
    </xf>
    <xf numFmtId="2" fontId="13" fillId="0" borderId="15" xfId="0" applyNumberFormat="1" applyFont="1" applyFill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 locked="0"/>
    </xf>
    <xf numFmtId="172" fontId="13" fillId="0" borderId="28" xfId="0" applyNumberFormat="1" applyFont="1" applyFill="1" applyBorder="1" applyAlignment="1" applyProtection="1">
      <alignment horizontal="center"/>
      <protection locked="0"/>
    </xf>
    <xf numFmtId="178" fontId="13" fillId="0" borderId="28" xfId="0" applyNumberFormat="1" applyFont="1" applyFill="1" applyBorder="1" applyAlignment="1" applyProtection="1">
      <alignment horizontal="center"/>
      <protection locked="0"/>
    </xf>
    <xf numFmtId="22" fontId="13" fillId="0" borderId="29" xfId="0" applyNumberFormat="1" applyFont="1" applyFill="1" applyBorder="1" applyAlignment="1" applyProtection="1">
      <alignment horizontal="center"/>
      <protection locked="0"/>
    </xf>
    <xf numFmtId="22" fontId="13" fillId="0" borderId="32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Fill="1" applyBorder="1" applyAlignment="1">
      <alignment horizontal="center"/>
    </xf>
    <xf numFmtId="0" fontId="13" fillId="0" borderId="36" xfId="0" applyFont="1" applyBorder="1" applyAlignment="1" applyProtection="1">
      <alignment horizontal="center"/>
      <protection locked="0"/>
    </xf>
    <xf numFmtId="172" fontId="49" fillId="0" borderId="36" xfId="0" applyNumberFormat="1" applyFont="1" applyBorder="1" applyAlignment="1" applyProtection="1">
      <alignment horizontal="center"/>
      <protection locked="0"/>
    </xf>
    <xf numFmtId="178" fontId="13" fillId="0" borderId="36" xfId="0" applyNumberFormat="1" applyFont="1" applyBorder="1" applyAlignment="1" applyProtection="1">
      <alignment horizontal="center"/>
      <protection locked="0"/>
    </xf>
    <xf numFmtId="173" fontId="13" fillId="0" borderId="36" xfId="0" applyNumberFormat="1" applyFont="1" applyBorder="1" applyAlignment="1" applyProtection="1">
      <alignment horizontal="center"/>
      <protection locked="0"/>
    </xf>
    <xf numFmtId="0" fontId="41" fillId="33" borderId="36" xfId="0" applyFont="1" applyFill="1" applyBorder="1" applyAlignment="1" applyProtection="1">
      <alignment horizontal="center"/>
      <protection/>
    </xf>
    <xf numFmtId="182" fontId="42" fillId="34" borderId="36" xfId="0" applyNumberFormat="1" applyFont="1" applyFill="1" applyBorder="1" applyAlignment="1" applyProtection="1">
      <alignment horizontal="center"/>
      <protection/>
    </xf>
    <xf numFmtId="22" fontId="13" fillId="0" borderId="36" xfId="0" applyNumberFormat="1" applyFont="1" applyBorder="1" applyAlignment="1" applyProtection="1">
      <alignment horizontal="center"/>
      <protection locked="0"/>
    </xf>
    <xf numFmtId="176" fontId="13" fillId="0" borderId="36" xfId="0" applyNumberFormat="1" applyFont="1" applyBorder="1" applyAlignment="1" applyProtection="1">
      <alignment horizontal="center"/>
      <protection/>
    </xf>
    <xf numFmtId="176" fontId="13" fillId="0" borderId="36" xfId="0" applyNumberFormat="1" applyFont="1" applyBorder="1" applyAlignment="1" applyProtection="1">
      <alignment horizontal="center"/>
      <protection locked="0"/>
    </xf>
    <xf numFmtId="181" fontId="13" fillId="0" borderId="36" xfId="0" applyNumberFormat="1" applyFont="1" applyBorder="1" applyAlignment="1" applyProtection="1" quotePrefix="1">
      <alignment horizontal="center"/>
      <protection locked="0"/>
    </xf>
    <xf numFmtId="2" fontId="43" fillId="35" borderId="36" xfId="0" applyNumberFormat="1" applyFont="1" applyFill="1" applyBorder="1" applyAlignment="1" applyProtection="1">
      <alignment horizontal="center"/>
      <protection locked="0"/>
    </xf>
    <xf numFmtId="2" fontId="51" fillId="36" borderId="36" xfId="0" applyNumberFormat="1" applyFont="1" applyFill="1" applyBorder="1" applyAlignment="1" applyProtection="1">
      <alignment horizontal="center"/>
      <protection locked="0"/>
    </xf>
    <xf numFmtId="176" fontId="52" fillId="37" borderId="37" xfId="0" applyNumberFormat="1" applyFont="1" applyFill="1" applyBorder="1" applyAlignment="1" applyProtection="1" quotePrefix="1">
      <alignment horizontal="center"/>
      <protection locked="0"/>
    </xf>
    <xf numFmtId="176" fontId="52" fillId="37" borderId="38" xfId="0" applyNumberFormat="1" applyFont="1" applyFill="1" applyBorder="1" applyAlignment="1" applyProtection="1" quotePrefix="1">
      <alignment horizontal="center"/>
      <protection locked="0"/>
    </xf>
    <xf numFmtId="4" fontId="52" fillId="37" borderId="39" xfId="0" applyNumberFormat="1" applyFont="1" applyFill="1" applyBorder="1" applyAlignment="1" applyProtection="1">
      <alignment horizontal="center"/>
      <protection locked="0"/>
    </xf>
    <xf numFmtId="176" fontId="53" fillId="38" borderId="37" xfId="0" applyNumberFormat="1" applyFont="1" applyFill="1" applyBorder="1" applyAlignment="1" applyProtection="1" quotePrefix="1">
      <alignment horizontal="center"/>
      <protection locked="0"/>
    </xf>
    <xf numFmtId="176" fontId="53" fillId="38" borderId="38" xfId="0" applyNumberFormat="1" applyFont="1" applyFill="1" applyBorder="1" applyAlignment="1" applyProtection="1" quotePrefix="1">
      <alignment horizontal="center"/>
      <protection locked="0"/>
    </xf>
    <xf numFmtId="4" fontId="53" fillId="38" borderId="39" xfId="0" applyNumberFormat="1" applyFont="1" applyFill="1" applyBorder="1" applyAlignment="1" applyProtection="1">
      <alignment horizontal="center"/>
      <protection locked="0"/>
    </xf>
    <xf numFmtId="4" fontId="54" fillId="39" borderId="36" xfId="0" applyNumberFormat="1" applyFont="1" applyFill="1" applyBorder="1" applyAlignment="1" applyProtection="1">
      <alignment horizontal="center"/>
      <protection locked="0"/>
    </xf>
    <xf numFmtId="4" fontId="55" fillId="40" borderId="36" xfId="0" applyNumberFormat="1" applyFont="1" applyFill="1" applyBorder="1" applyAlignment="1" applyProtection="1">
      <alignment horizontal="center"/>
      <protection locked="0"/>
    </xf>
    <xf numFmtId="4" fontId="49" fillId="0" borderId="36" xfId="0" applyNumberFormat="1" applyFont="1" applyBorder="1" applyAlignment="1" applyProtection="1">
      <alignment horizontal="center"/>
      <protection locked="0"/>
    </xf>
    <xf numFmtId="2" fontId="48" fillId="0" borderId="40" xfId="0" applyNumberFormat="1" applyFont="1" applyFill="1" applyBorder="1" applyAlignment="1">
      <alignment horizontal="right"/>
    </xf>
    <xf numFmtId="0" fontId="57" fillId="0" borderId="41" xfId="0" applyFont="1" applyBorder="1" applyAlignment="1">
      <alignment horizontal="center"/>
    </xf>
    <xf numFmtId="0" fontId="58" fillId="0" borderId="0" xfId="0" applyFont="1" applyBorder="1" applyAlignment="1" applyProtection="1">
      <alignment horizontal="left" vertical="top"/>
      <protection/>
    </xf>
    <xf numFmtId="172" fontId="49" fillId="0" borderId="0" xfId="0" applyNumberFormat="1" applyFont="1" applyBorder="1" applyAlignment="1" applyProtection="1">
      <alignment horizontal="center"/>
      <protection/>
    </xf>
    <xf numFmtId="173" fontId="13" fillId="0" borderId="0" xfId="0" applyNumberFormat="1" applyFont="1" applyBorder="1" applyAlignment="1" applyProtection="1">
      <alignment horizontal="center"/>
      <protection/>
    </xf>
    <xf numFmtId="176" fontId="13" fillId="0" borderId="0" xfId="0" applyNumberFormat="1" applyFont="1" applyBorder="1" applyAlignment="1" applyProtection="1">
      <alignment horizontal="center"/>
      <protection/>
    </xf>
    <xf numFmtId="181" fontId="13" fillId="0" borderId="0" xfId="0" applyNumberFormat="1" applyFont="1" applyBorder="1" applyAlignment="1" applyProtection="1" quotePrefix="1">
      <alignment horizontal="center"/>
      <protection/>
    </xf>
    <xf numFmtId="2" fontId="50" fillId="35" borderId="21" xfId="0" applyNumberFormat="1" applyFont="1" applyFill="1" applyBorder="1" applyAlignment="1" applyProtection="1">
      <alignment horizontal="center"/>
      <protection/>
    </xf>
    <xf numFmtId="2" fontId="51" fillId="36" borderId="21" xfId="0" applyNumberFormat="1" applyFont="1" applyFill="1" applyBorder="1" applyAlignment="1" applyProtection="1">
      <alignment horizontal="center"/>
      <protection/>
    </xf>
    <xf numFmtId="2" fontId="52" fillId="37" borderId="21" xfId="0" applyNumberFormat="1" applyFont="1" applyFill="1" applyBorder="1" applyAlignment="1" applyProtection="1">
      <alignment horizontal="center"/>
      <protection/>
    </xf>
    <xf numFmtId="2" fontId="53" fillId="38" borderId="21" xfId="0" applyNumberFormat="1" applyFont="1" applyFill="1" applyBorder="1" applyAlignment="1" applyProtection="1">
      <alignment horizontal="center"/>
      <protection/>
    </xf>
    <xf numFmtId="2" fontId="54" fillId="39" borderId="21" xfId="0" applyNumberFormat="1" applyFont="1" applyFill="1" applyBorder="1" applyAlignment="1" applyProtection="1">
      <alignment horizontal="center"/>
      <protection/>
    </xf>
    <xf numFmtId="2" fontId="55" fillId="40" borderId="21" xfId="0" applyNumberFormat="1" applyFont="1" applyFill="1" applyBorder="1" applyAlignment="1" applyProtection="1">
      <alignment horizontal="center"/>
      <protection/>
    </xf>
    <xf numFmtId="2" fontId="59" fillId="0" borderId="42" xfId="0" applyNumberFormat="1" applyFont="1" applyBorder="1" applyAlignment="1" applyProtection="1">
      <alignment horizontal="center"/>
      <protection/>
    </xf>
    <xf numFmtId="7" fontId="4" fillId="0" borderId="21" xfId="0" applyNumberFormat="1" applyFont="1" applyFill="1" applyBorder="1" applyAlignment="1" applyProtection="1">
      <alignment horizontal="right"/>
      <protection/>
    </xf>
    <xf numFmtId="0" fontId="57" fillId="0" borderId="14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172" fontId="117" fillId="0" borderId="0" xfId="0" applyNumberFormat="1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/>
      <protection/>
    </xf>
    <xf numFmtId="173" fontId="57" fillId="0" borderId="0" xfId="0" applyNumberFormat="1" applyFont="1" applyBorder="1" applyAlignment="1" applyProtection="1">
      <alignment horizontal="center"/>
      <protection/>
    </xf>
    <xf numFmtId="176" fontId="57" fillId="0" borderId="0" xfId="0" applyNumberFormat="1" applyFont="1" applyBorder="1" applyAlignment="1" applyProtection="1">
      <alignment horizontal="center"/>
      <protection/>
    </xf>
    <xf numFmtId="181" fontId="57" fillId="0" borderId="0" xfId="0" applyNumberFormat="1" applyFont="1" applyBorder="1" applyAlignment="1" applyProtection="1" quotePrefix="1">
      <alignment horizontal="center"/>
      <protection/>
    </xf>
    <xf numFmtId="2" fontId="118" fillId="0" borderId="0" xfId="0" applyNumberFormat="1" applyFont="1" applyBorder="1" applyAlignment="1" applyProtection="1">
      <alignment horizontal="center"/>
      <protection/>
    </xf>
    <xf numFmtId="7" fontId="119" fillId="0" borderId="0" xfId="0" applyNumberFormat="1" applyFont="1" applyFill="1" applyBorder="1" applyAlignment="1" applyProtection="1">
      <alignment horizontal="right"/>
      <protection/>
    </xf>
    <xf numFmtId="4" fontId="57" fillId="0" borderId="15" xfId="0" applyNumberFormat="1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0" xfId="0" applyBorder="1" applyAlignment="1">
      <alignment/>
    </xf>
    <xf numFmtId="0" fontId="153" fillId="55" borderId="28" xfId="72" applyFont="1" applyFill="1" applyBorder="1" applyAlignment="1" applyProtection="1">
      <alignment horizontal="center"/>
      <protection/>
    </xf>
    <xf numFmtId="182" fontId="153" fillId="55" borderId="28" xfId="72" applyNumberFormat="1" applyFont="1" applyFill="1" applyBorder="1" applyAlignment="1" applyProtection="1">
      <alignment horizontal="center"/>
      <protection/>
    </xf>
    <xf numFmtId="0" fontId="13" fillId="56" borderId="14" xfId="72" applyFont="1" applyFill="1" applyBorder="1">
      <alignment/>
      <protection/>
    </xf>
    <xf numFmtId="0" fontId="13" fillId="56" borderId="28" xfId="72" applyFont="1" applyFill="1" applyBorder="1" applyAlignment="1" applyProtection="1">
      <alignment horizontal="center"/>
      <protection locked="0"/>
    </xf>
    <xf numFmtId="172" fontId="13" fillId="56" borderId="28" xfId="72" applyNumberFormat="1" applyFont="1" applyFill="1" applyBorder="1" applyAlignment="1" applyProtection="1">
      <alignment horizontal="center"/>
      <protection locked="0"/>
    </xf>
    <xf numFmtId="178" fontId="13" fillId="56" borderId="28" xfId="72" applyNumberFormat="1" applyFont="1" applyFill="1" applyBorder="1" applyAlignment="1" applyProtection="1">
      <alignment horizontal="center"/>
      <protection locked="0"/>
    </xf>
    <xf numFmtId="0" fontId="153" fillId="56" borderId="28" xfId="72" applyFont="1" applyFill="1" applyBorder="1" applyAlignment="1" applyProtection="1">
      <alignment horizontal="center"/>
      <protection/>
    </xf>
    <xf numFmtId="182" fontId="153" fillId="56" borderId="28" xfId="72" applyNumberFormat="1" applyFont="1" applyFill="1" applyBorder="1" applyAlignment="1" applyProtection="1">
      <alignment horizontal="center"/>
      <protection/>
    </xf>
    <xf numFmtId="22" fontId="13" fillId="56" borderId="29" xfId="72" applyNumberFormat="1" applyFont="1" applyFill="1" applyBorder="1" applyAlignment="1" applyProtection="1">
      <alignment horizontal="center"/>
      <protection locked="0"/>
    </xf>
    <xf numFmtId="22" fontId="13" fillId="56" borderId="32" xfId="72" applyNumberFormat="1" applyFont="1" applyFill="1" applyBorder="1" applyAlignment="1" applyProtection="1">
      <alignment horizontal="center"/>
      <protection locked="0"/>
    </xf>
    <xf numFmtId="4" fontId="13" fillId="56" borderId="28" xfId="72" applyNumberFormat="1" applyFont="1" applyFill="1" applyBorder="1" applyAlignment="1" applyProtection="1" quotePrefix="1">
      <alignment horizontal="center"/>
      <protection/>
    </xf>
    <xf numFmtId="172" fontId="13" fillId="56" borderId="28" xfId="72" applyNumberFormat="1" applyFont="1" applyFill="1" applyBorder="1" applyAlignment="1" applyProtection="1" quotePrefix="1">
      <alignment horizontal="center"/>
      <protection/>
    </xf>
    <xf numFmtId="176" fontId="13" fillId="56" borderId="29" xfId="72" applyNumberFormat="1" applyFont="1" applyFill="1" applyBorder="1" applyAlignment="1" applyProtection="1">
      <alignment horizontal="center"/>
      <protection locked="0"/>
    </xf>
    <xf numFmtId="181" fontId="13" fillId="56" borderId="28" xfId="72" applyNumberFormat="1" applyFont="1" applyFill="1" applyBorder="1" applyAlignment="1" applyProtection="1" quotePrefix="1">
      <alignment horizontal="center"/>
      <protection/>
    </xf>
    <xf numFmtId="176" fontId="13" fillId="56" borderId="28" xfId="72" applyNumberFormat="1" applyFont="1" applyFill="1" applyBorder="1" applyAlignment="1" applyProtection="1">
      <alignment horizontal="center"/>
      <protection/>
    </xf>
    <xf numFmtId="2" fontId="50" fillId="56" borderId="28" xfId="72" applyNumberFormat="1" applyFont="1" applyFill="1" applyBorder="1" applyAlignment="1" applyProtection="1">
      <alignment horizontal="center"/>
      <protection locked="0"/>
    </xf>
    <xf numFmtId="2" fontId="51" fillId="56" borderId="29" xfId="72" applyNumberFormat="1" applyFont="1" applyFill="1" applyBorder="1" applyAlignment="1" applyProtection="1">
      <alignment horizontal="center"/>
      <protection locked="0"/>
    </xf>
    <xf numFmtId="176" fontId="52" fillId="56" borderId="30" xfId="72" applyNumberFormat="1" applyFont="1" applyFill="1" applyBorder="1" applyAlignment="1" applyProtection="1" quotePrefix="1">
      <alignment horizontal="center"/>
      <protection locked="0"/>
    </xf>
    <xf numFmtId="176" fontId="52" fillId="56" borderId="31" xfId="72" applyNumberFormat="1" applyFont="1" applyFill="1" applyBorder="1" applyAlignment="1" applyProtection="1" quotePrefix="1">
      <alignment horizontal="center"/>
      <protection locked="0"/>
    </xf>
    <xf numFmtId="4" fontId="52" fillId="56" borderId="29" xfId="72" applyNumberFormat="1" applyFont="1" applyFill="1" applyBorder="1" applyAlignment="1" applyProtection="1">
      <alignment horizontal="center"/>
      <protection locked="0"/>
    </xf>
    <xf numFmtId="176" fontId="53" fillId="56" borderId="30" xfId="72" applyNumberFormat="1" applyFont="1" applyFill="1" applyBorder="1" applyAlignment="1" applyProtection="1" quotePrefix="1">
      <alignment horizontal="center"/>
      <protection locked="0"/>
    </xf>
    <xf numFmtId="176" fontId="53" fillId="56" borderId="31" xfId="72" applyNumberFormat="1" applyFont="1" applyFill="1" applyBorder="1" applyAlignment="1" applyProtection="1" quotePrefix="1">
      <alignment horizontal="center"/>
      <protection locked="0"/>
    </xf>
    <xf numFmtId="4" fontId="53" fillId="56" borderId="29" xfId="72" applyNumberFormat="1" applyFont="1" applyFill="1" applyBorder="1" applyAlignment="1" applyProtection="1">
      <alignment horizontal="center"/>
      <protection locked="0"/>
    </xf>
    <xf numFmtId="4" fontId="54" fillId="56" borderId="28" xfId="72" applyNumberFormat="1" applyFont="1" applyFill="1" applyBorder="1" applyAlignment="1" applyProtection="1">
      <alignment horizontal="center"/>
      <protection locked="0"/>
    </xf>
    <xf numFmtId="4" fontId="55" fillId="56" borderId="28" xfId="72" applyNumberFormat="1" applyFont="1" applyFill="1" applyBorder="1" applyAlignment="1" applyProtection="1">
      <alignment horizontal="center"/>
      <protection locked="0"/>
    </xf>
    <xf numFmtId="4" fontId="49" fillId="56" borderId="28" xfId="72" applyNumberFormat="1" applyFont="1" applyFill="1" applyBorder="1" applyAlignment="1" applyProtection="1">
      <alignment horizontal="center"/>
      <protection/>
    </xf>
    <xf numFmtId="4" fontId="48" fillId="56" borderId="29" xfId="72" applyNumberFormat="1" applyFont="1" applyFill="1" applyBorder="1" applyAlignment="1">
      <alignment horizontal="right"/>
      <protection/>
    </xf>
    <xf numFmtId="2" fontId="13" fillId="56" borderId="15" xfId="72" applyNumberFormat="1" applyFont="1" applyFill="1" applyBorder="1" applyAlignment="1">
      <alignment horizontal="center"/>
      <protection/>
    </xf>
    <xf numFmtId="0" fontId="13" fillId="56" borderId="0" xfId="72" applyFont="1" applyFill="1">
      <alignment/>
      <protection/>
    </xf>
    <xf numFmtId="4" fontId="13" fillId="0" borderId="28" xfId="0" applyNumberFormat="1" applyFont="1" applyBorder="1" applyAlignment="1" applyProtection="1">
      <alignment horizontal="center"/>
      <protection locked="0"/>
    </xf>
    <xf numFmtId="0" fontId="3" fillId="0" borderId="0" xfId="66" applyFont="1" applyBorder="1" applyAlignment="1">
      <alignment horizontal="center" vertical="center"/>
      <protection/>
    </xf>
    <xf numFmtId="0" fontId="75" fillId="0" borderId="84" xfId="67" applyFont="1" applyBorder="1" applyAlignment="1" applyProtection="1">
      <alignment horizontal="center"/>
      <protection locked="0"/>
    </xf>
    <xf numFmtId="0" fontId="75" fillId="0" borderId="73" xfId="67" applyFont="1" applyBorder="1" applyAlignment="1" applyProtection="1">
      <alignment horizontal="center"/>
      <protection locked="0"/>
    </xf>
    <xf numFmtId="176" fontId="13" fillId="0" borderId="84" xfId="67" applyNumberFormat="1" applyFont="1" applyBorder="1" applyAlignment="1" applyProtection="1">
      <alignment horizontal="center"/>
      <protection/>
    </xf>
    <xf numFmtId="176" fontId="13" fillId="0" borderId="73" xfId="67" applyNumberFormat="1" applyFont="1" applyBorder="1" applyAlignment="1" applyProtection="1">
      <alignment horizontal="center"/>
      <protection/>
    </xf>
    <xf numFmtId="0" fontId="75" fillId="0" borderId="59" xfId="67" applyFont="1" applyBorder="1" applyAlignment="1" applyProtection="1">
      <alignment horizontal="center"/>
      <protection locked="0"/>
    </xf>
    <xf numFmtId="0" fontId="75" fillId="0" borderId="47" xfId="67" applyFont="1" applyBorder="1" applyAlignment="1" applyProtection="1">
      <alignment horizontal="center"/>
      <protection locked="0"/>
    </xf>
    <xf numFmtId="176" fontId="13" fillId="0" borderId="59" xfId="67" applyNumberFormat="1" applyFont="1" applyBorder="1" applyAlignment="1" applyProtection="1">
      <alignment horizontal="center"/>
      <protection/>
    </xf>
    <xf numFmtId="176" fontId="13" fillId="0" borderId="47" xfId="67" applyNumberFormat="1" applyFont="1" applyBorder="1" applyAlignment="1" applyProtection="1">
      <alignment horizontal="center"/>
      <protection/>
    </xf>
    <xf numFmtId="0" fontId="13" fillId="0" borderId="74" xfId="67" applyFont="1" applyBorder="1" applyAlignment="1">
      <alignment horizontal="center"/>
      <protection/>
    </xf>
    <xf numFmtId="0" fontId="13" fillId="0" borderId="70" xfId="67" applyFont="1" applyBorder="1" applyAlignment="1">
      <alignment horizontal="center"/>
      <protection/>
    </xf>
    <xf numFmtId="0" fontId="13" fillId="0" borderId="59" xfId="67" applyFont="1" applyBorder="1" applyAlignment="1" applyProtection="1">
      <alignment horizontal="center"/>
      <protection/>
    </xf>
    <xf numFmtId="0" fontId="13" fillId="0" borderId="47" xfId="67" applyFont="1" applyBorder="1" applyAlignment="1" applyProtection="1">
      <alignment horizontal="center"/>
      <protection/>
    </xf>
    <xf numFmtId="0" fontId="13" fillId="0" borderId="59" xfId="77" applyFont="1" applyBorder="1" applyAlignment="1" applyProtection="1">
      <alignment horizontal="center"/>
      <protection locked="0"/>
    </xf>
    <xf numFmtId="0" fontId="0" fillId="0" borderId="47" xfId="58" applyFont="1" applyBorder="1" applyAlignment="1">
      <alignment horizontal="center"/>
      <protection/>
    </xf>
    <xf numFmtId="176" fontId="13" fillId="0" borderId="59" xfId="67" applyNumberFormat="1" applyFont="1" applyBorder="1" applyAlignment="1" applyProtection="1" quotePrefix="1">
      <alignment horizontal="center"/>
      <protection/>
    </xf>
    <xf numFmtId="176" fontId="13" fillId="0" borderId="32" xfId="67" applyNumberFormat="1" applyFont="1" applyBorder="1" applyAlignment="1" applyProtection="1" quotePrefix="1">
      <alignment horizontal="center"/>
      <protection/>
    </xf>
    <xf numFmtId="176" fontId="13" fillId="0" borderId="47" xfId="67" applyNumberFormat="1" applyFont="1" applyBorder="1" applyAlignment="1" applyProtection="1" quotePrefix="1">
      <alignment horizontal="center"/>
      <protection/>
    </xf>
    <xf numFmtId="0" fontId="0" fillId="0" borderId="47" xfId="58" applyBorder="1" applyAlignment="1">
      <alignment horizontal="center"/>
      <protection/>
    </xf>
    <xf numFmtId="0" fontId="13" fillId="0" borderId="84" xfId="67" applyFont="1" applyBorder="1" applyAlignment="1" applyProtection="1">
      <alignment horizontal="center"/>
      <protection/>
    </xf>
    <xf numFmtId="0" fontId="3" fillId="0" borderId="73" xfId="67" applyBorder="1" applyAlignment="1">
      <alignment horizontal="center"/>
      <protection/>
    </xf>
    <xf numFmtId="176" fontId="13" fillId="0" borderId="71" xfId="67" applyNumberFormat="1" applyFont="1" applyBorder="1" applyAlignment="1" applyProtection="1">
      <alignment horizontal="center"/>
      <protection/>
    </xf>
    <xf numFmtId="0" fontId="30" fillId="0" borderId="16" xfId="67" applyFont="1" applyFill="1" applyBorder="1" applyAlignment="1" applyProtection="1">
      <alignment horizontal="center" vertical="center"/>
      <protection/>
    </xf>
    <xf numFmtId="0" fontId="3" fillId="0" borderId="17" xfId="67" applyBorder="1" applyAlignment="1">
      <alignment horizontal="center" vertical="center"/>
      <protection/>
    </xf>
    <xf numFmtId="0" fontId="30" fillId="0" borderId="22" xfId="67" applyFont="1" applyFill="1" applyBorder="1" applyAlignment="1" applyProtection="1">
      <alignment horizontal="center" vertical="center"/>
      <protection/>
    </xf>
    <xf numFmtId="0" fontId="30" fillId="0" borderId="17" xfId="67" applyFont="1" applyFill="1" applyBorder="1" applyAlignment="1" applyProtection="1">
      <alignment horizontal="center" vertical="center"/>
      <protection/>
    </xf>
    <xf numFmtId="0" fontId="13" fillId="0" borderId="74" xfId="67" applyFont="1" applyFill="1" applyBorder="1" applyAlignment="1">
      <alignment horizontal="center"/>
      <protection/>
    </xf>
    <xf numFmtId="0" fontId="3" fillId="0" borderId="70" xfId="67" applyBorder="1" applyAlignment="1">
      <alignment horizontal="center"/>
      <protection/>
    </xf>
    <xf numFmtId="0" fontId="13" fillId="0" borderId="86" xfId="67" applyFont="1" applyFill="1" applyBorder="1" applyAlignment="1">
      <alignment horizontal="center"/>
      <protection/>
    </xf>
    <xf numFmtId="0" fontId="13" fillId="0" borderId="70" xfId="67" applyFont="1" applyFill="1" applyBorder="1" applyAlignment="1">
      <alignment horizontal="center"/>
      <protection/>
    </xf>
    <xf numFmtId="176" fontId="13" fillId="0" borderId="59" xfId="72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7" fontId="116" fillId="0" borderId="0" xfId="69" applyNumberFormat="1" applyFont="1" applyFill="1" applyBorder="1" applyAlignment="1">
      <alignment horizontal="center"/>
      <protection/>
    </xf>
    <xf numFmtId="7" fontId="116" fillId="0" borderId="60" xfId="69" applyNumberFormat="1" applyFont="1" applyFill="1" applyBorder="1" applyAlignment="1">
      <alignment horizontal="center"/>
      <protection/>
    </xf>
    <xf numFmtId="7" fontId="21" fillId="0" borderId="87" xfId="69" applyNumberFormat="1" applyFont="1" applyFill="1" applyBorder="1" applyAlignment="1">
      <alignment horizontal="center"/>
      <protection/>
    </xf>
    <xf numFmtId="0" fontId="30" fillId="0" borderId="16" xfId="67" applyFont="1" applyBorder="1" applyAlignment="1" applyProtection="1" quotePrefix="1">
      <alignment horizontal="center" vertical="center" wrapText="1"/>
      <protection/>
    </xf>
    <xf numFmtId="0" fontId="30" fillId="0" borderId="17" xfId="67" applyFont="1" applyBorder="1" applyAlignment="1" applyProtection="1" quotePrefix="1">
      <alignment horizontal="center" vertical="center" wrapText="1"/>
      <protection/>
    </xf>
    <xf numFmtId="0" fontId="30" fillId="0" borderId="16" xfId="67" applyFont="1" applyBorder="1" applyAlignment="1" applyProtection="1">
      <alignment horizontal="center" vertical="center"/>
      <protection/>
    </xf>
    <xf numFmtId="0" fontId="30" fillId="0" borderId="17" xfId="67" applyFont="1" applyBorder="1" applyAlignment="1" applyProtection="1">
      <alignment horizontal="center" vertical="center"/>
      <protection/>
    </xf>
    <xf numFmtId="172" fontId="13" fillId="0" borderId="84" xfId="69" applyNumberFormat="1" applyFont="1" applyBorder="1" applyAlignment="1" applyProtection="1">
      <alignment horizontal="center"/>
      <protection/>
    </xf>
    <xf numFmtId="0" fontId="3" fillId="0" borderId="73" xfId="69" applyBorder="1" applyAlignment="1">
      <alignment horizontal="center"/>
      <protection/>
    </xf>
    <xf numFmtId="176" fontId="13" fillId="0" borderId="84" xfId="69" applyNumberFormat="1" applyFont="1" applyBorder="1" applyAlignment="1" applyProtection="1">
      <alignment horizontal="center"/>
      <protection/>
    </xf>
    <xf numFmtId="176" fontId="13" fillId="0" borderId="73" xfId="69" applyNumberFormat="1" applyFont="1" applyBorder="1" applyAlignment="1" applyProtection="1">
      <alignment horizontal="center"/>
      <protection/>
    </xf>
    <xf numFmtId="0" fontId="13" fillId="0" borderId="59" xfId="69" applyFont="1" applyBorder="1" applyAlignment="1" applyProtection="1">
      <alignment horizontal="center"/>
      <protection/>
    </xf>
    <xf numFmtId="0" fontId="13" fillId="0" borderId="47" xfId="69" applyFont="1" applyBorder="1" applyAlignment="1" applyProtection="1">
      <alignment horizontal="center"/>
      <protection/>
    </xf>
    <xf numFmtId="176" fontId="13" fillId="0" borderId="59" xfId="69" applyNumberFormat="1" applyFont="1" applyBorder="1" applyAlignment="1" applyProtection="1">
      <alignment horizontal="center"/>
      <protection/>
    </xf>
    <xf numFmtId="176" fontId="13" fillId="0" borderId="47" xfId="69" applyNumberFormat="1" applyFont="1" applyBorder="1" applyAlignment="1" applyProtection="1">
      <alignment horizontal="center"/>
      <protection/>
    </xf>
    <xf numFmtId="172" fontId="13" fillId="0" borderId="73" xfId="69" applyNumberFormat="1" applyFont="1" applyBorder="1" applyAlignment="1" applyProtection="1">
      <alignment horizontal="center"/>
      <protection/>
    </xf>
    <xf numFmtId="176" fontId="13" fillId="0" borderId="71" xfId="69" applyNumberFormat="1" applyFont="1" applyBorder="1" applyAlignment="1" applyProtection="1">
      <alignment horizontal="center"/>
      <protection/>
    </xf>
    <xf numFmtId="0" fontId="30" fillId="0" borderId="16" xfId="69" applyFont="1" applyFill="1" applyBorder="1" applyAlignment="1" applyProtection="1" quotePrefix="1">
      <alignment horizontal="center" vertical="center" wrapText="1"/>
      <protection/>
    </xf>
    <xf numFmtId="0" fontId="3" fillId="0" borderId="17" xfId="69" applyBorder="1" applyAlignment="1">
      <alignment horizontal="center" vertical="center" wrapText="1"/>
      <protection/>
    </xf>
    <xf numFmtId="0" fontId="3" fillId="0" borderId="74" xfId="69" applyBorder="1" applyAlignment="1">
      <alignment/>
      <protection/>
    </xf>
    <xf numFmtId="0" fontId="3" fillId="0" borderId="70" xfId="69" applyBorder="1" applyAlignment="1">
      <alignment/>
      <protection/>
    </xf>
    <xf numFmtId="0" fontId="13" fillId="0" borderId="74" xfId="69" applyFont="1" applyFill="1" applyBorder="1" applyAlignment="1">
      <alignment horizontal="center"/>
      <protection/>
    </xf>
    <xf numFmtId="0" fontId="13" fillId="0" borderId="70" xfId="69" applyFont="1" applyFill="1" applyBorder="1" applyAlignment="1">
      <alignment horizontal="center"/>
      <protection/>
    </xf>
    <xf numFmtId="0" fontId="13" fillId="0" borderId="86" xfId="69" applyFont="1" applyFill="1" applyBorder="1" applyAlignment="1">
      <alignment horizontal="center"/>
      <protection/>
    </xf>
    <xf numFmtId="172" fontId="13" fillId="0" borderId="59" xfId="69" applyNumberFormat="1" applyFont="1" applyBorder="1" applyAlignment="1" applyProtection="1">
      <alignment horizontal="center"/>
      <protection/>
    </xf>
    <xf numFmtId="172" fontId="13" fillId="0" borderId="47" xfId="69" applyNumberFormat="1" applyFont="1" applyBorder="1" applyAlignment="1" applyProtection="1">
      <alignment horizontal="center"/>
      <protection/>
    </xf>
    <xf numFmtId="176" fontId="13" fillId="0" borderId="59" xfId="69" applyNumberFormat="1" applyFont="1" applyBorder="1" applyAlignment="1" applyProtection="1" quotePrefix="1">
      <alignment horizontal="center"/>
      <protection/>
    </xf>
    <xf numFmtId="176" fontId="13" fillId="0" borderId="32" xfId="69" applyNumberFormat="1" applyFont="1" applyBorder="1" applyAlignment="1" applyProtection="1" quotePrefix="1">
      <alignment horizontal="center"/>
      <protection/>
    </xf>
    <xf numFmtId="176" fontId="13" fillId="0" borderId="47" xfId="69" applyNumberFormat="1" applyFont="1" applyBorder="1" applyAlignment="1" applyProtection="1" quotePrefix="1">
      <alignment horizontal="center"/>
      <protection/>
    </xf>
    <xf numFmtId="176" fontId="13" fillId="0" borderId="72" xfId="69" applyNumberFormat="1" applyFont="1" applyBorder="1" applyAlignment="1" applyProtection="1">
      <alignment horizontal="center"/>
      <protection/>
    </xf>
    <xf numFmtId="176" fontId="13" fillId="0" borderId="50" xfId="69" applyNumberFormat="1" applyFont="1" applyBorder="1" applyAlignment="1" applyProtection="1">
      <alignment horizontal="center"/>
      <protection/>
    </xf>
    <xf numFmtId="0" fontId="30" fillId="0" borderId="17" xfId="69" applyFont="1" applyFill="1" applyBorder="1" applyAlignment="1" applyProtection="1" quotePrefix="1">
      <alignment horizontal="center" vertical="center" wrapText="1"/>
      <protection/>
    </xf>
    <xf numFmtId="0" fontId="30" fillId="0" borderId="16" xfId="69" applyFont="1" applyFill="1" applyBorder="1" applyAlignment="1" applyProtection="1">
      <alignment horizontal="center" vertical="center"/>
      <protection/>
    </xf>
    <xf numFmtId="0" fontId="30" fillId="0" borderId="22" xfId="69" applyFont="1" applyFill="1" applyBorder="1" applyAlignment="1" applyProtection="1">
      <alignment horizontal="center" vertical="center"/>
      <protection/>
    </xf>
    <xf numFmtId="0" fontId="30" fillId="0" borderId="17" xfId="69" applyFont="1" applyFill="1" applyBorder="1" applyAlignment="1" applyProtection="1">
      <alignment horizontal="center" vertical="center"/>
      <protection/>
    </xf>
    <xf numFmtId="0" fontId="75" fillId="0" borderId="84" xfId="65" applyFont="1" applyBorder="1" applyAlignment="1" applyProtection="1">
      <alignment horizontal="center"/>
      <protection locked="0"/>
    </xf>
    <xf numFmtId="0" fontId="75" fillId="0" borderId="73" xfId="65" applyFont="1" applyBorder="1" applyAlignment="1" applyProtection="1">
      <alignment horizontal="center"/>
      <protection locked="0"/>
    </xf>
    <xf numFmtId="176" fontId="13" fillId="0" borderId="84" xfId="65" applyNumberFormat="1" applyFont="1" applyBorder="1" applyAlignment="1" applyProtection="1">
      <alignment horizontal="center"/>
      <protection/>
    </xf>
    <xf numFmtId="176" fontId="13" fillId="0" borderId="73" xfId="65" applyNumberFormat="1" applyFont="1" applyBorder="1" applyAlignment="1" applyProtection="1">
      <alignment horizontal="center"/>
      <protection/>
    </xf>
    <xf numFmtId="0" fontId="75" fillId="0" borderId="59" xfId="65" applyFont="1" applyBorder="1" applyAlignment="1" applyProtection="1">
      <alignment horizontal="center"/>
      <protection locked="0"/>
    </xf>
    <xf numFmtId="0" fontId="75" fillId="0" borderId="47" xfId="65" applyFont="1" applyBorder="1" applyAlignment="1" applyProtection="1">
      <alignment horizontal="center"/>
      <protection locked="0"/>
    </xf>
    <xf numFmtId="176" fontId="13" fillId="0" borderId="59" xfId="65" applyNumberFormat="1" applyFont="1" applyBorder="1" applyAlignment="1" applyProtection="1">
      <alignment horizontal="center"/>
      <protection/>
    </xf>
    <xf numFmtId="176" fontId="13" fillId="0" borderId="47" xfId="65" applyNumberFormat="1" applyFont="1" applyBorder="1" applyAlignment="1" applyProtection="1">
      <alignment horizontal="center"/>
      <protection/>
    </xf>
    <xf numFmtId="0" fontId="13" fillId="0" borderId="74" xfId="65" applyFont="1" applyBorder="1" applyAlignment="1">
      <alignment horizontal="center"/>
      <protection/>
    </xf>
    <xf numFmtId="0" fontId="13" fillId="0" borderId="70" xfId="65" applyFont="1" applyBorder="1" applyAlignment="1">
      <alignment horizontal="center"/>
      <protection/>
    </xf>
    <xf numFmtId="0" fontId="75" fillId="0" borderId="59" xfId="65" applyFont="1" applyBorder="1" applyAlignment="1" applyProtection="1">
      <alignment horizontal="center"/>
      <protection/>
    </xf>
    <xf numFmtId="0" fontId="75" fillId="0" borderId="47" xfId="65" applyFont="1" applyBorder="1" applyAlignment="1" applyProtection="1">
      <alignment horizontal="center"/>
      <protection/>
    </xf>
    <xf numFmtId="0" fontId="13" fillId="0" borderId="59" xfId="76" applyFont="1" applyBorder="1" applyAlignment="1" applyProtection="1">
      <alignment horizontal="center"/>
      <protection locked="0"/>
    </xf>
    <xf numFmtId="176" fontId="13" fillId="0" borderId="59" xfId="65" applyNumberFormat="1" applyFont="1" applyBorder="1" applyAlignment="1" applyProtection="1" quotePrefix="1">
      <alignment horizontal="center"/>
      <protection/>
    </xf>
    <xf numFmtId="176" fontId="13" fillId="0" borderId="32" xfId="65" applyNumberFormat="1" applyFont="1" applyBorder="1" applyAlignment="1" applyProtection="1" quotePrefix="1">
      <alignment horizontal="center"/>
      <protection/>
    </xf>
    <xf numFmtId="176" fontId="13" fillId="0" borderId="47" xfId="65" applyNumberFormat="1" applyFont="1" applyBorder="1" applyAlignment="1" applyProtection="1" quotePrefix="1">
      <alignment horizontal="center"/>
      <protection/>
    </xf>
    <xf numFmtId="0" fontId="13" fillId="0" borderId="84" xfId="65" applyFont="1" applyBorder="1" applyAlignment="1" applyProtection="1">
      <alignment horizontal="center"/>
      <protection/>
    </xf>
    <xf numFmtId="0" fontId="3" fillId="0" borderId="73" xfId="65" applyBorder="1" applyAlignment="1">
      <alignment horizontal="center"/>
      <protection/>
    </xf>
    <xf numFmtId="176" fontId="13" fillId="0" borderId="71" xfId="65" applyNumberFormat="1" applyFont="1" applyBorder="1" applyAlignment="1" applyProtection="1">
      <alignment horizontal="center"/>
      <protection/>
    </xf>
    <xf numFmtId="0" fontId="30" fillId="0" borderId="16" xfId="65" applyFont="1" applyBorder="1" applyAlignment="1" applyProtection="1" quotePrefix="1">
      <alignment horizontal="center" vertical="center" wrapText="1"/>
      <protection/>
    </xf>
    <xf numFmtId="0" fontId="30" fillId="0" borderId="17" xfId="65" applyFont="1" applyBorder="1" applyAlignment="1" applyProtection="1" quotePrefix="1">
      <alignment horizontal="center" vertical="center" wrapText="1"/>
      <protection/>
    </xf>
    <xf numFmtId="0" fontId="30" fillId="0" borderId="16" xfId="65" applyFont="1" applyBorder="1" applyAlignment="1" applyProtection="1">
      <alignment horizontal="center" vertical="center"/>
      <protection/>
    </xf>
    <xf numFmtId="0" fontId="30" fillId="0" borderId="17" xfId="65" applyFont="1" applyBorder="1" applyAlignment="1" applyProtection="1">
      <alignment horizontal="center" vertical="center"/>
      <protection/>
    </xf>
    <xf numFmtId="0" fontId="13" fillId="0" borderId="74" xfId="65" applyFont="1" applyFill="1" applyBorder="1" applyAlignment="1">
      <alignment horizontal="center"/>
      <protection/>
    </xf>
    <xf numFmtId="0" fontId="3" fillId="0" borderId="70" xfId="65" applyBorder="1" applyAlignment="1">
      <alignment horizontal="center"/>
      <protection/>
    </xf>
    <xf numFmtId="0" fontId="13" fillId="0" borderId="86" xfId="65" applyFont="1" applyFill="1" applyBorder="1" applyAlignment="1">
      <alignment horizontal="center"/>
      <protection/>
    </xf>
    <xf numFmtId="0" fontId="13" fillId="0" borderId="70" xfId="65" applyFont="1" applyFill="1" applyBorder="1" applyAlignment="1">
      <alignment horizontal="center"/>
      <protection/>
    </xf>
    <xf numFmtId="0" fontId="30" fillId="0" borderId="16" xfId="65" applyFont="1" applyFill="1" applyBorder="1" applyAlignment="1" applyProtection="1">
      <alignment horizontal="center" vertical="center"/>
      <protection/>
    </xf>
    <xf numFmtId="0" fontId="3" fillId="0" borderId="17" xfId="65" applyBorder="1" applyAlignment="1">
      <alignment horizontal="center" vertical="center"/>
      <protection/>
    </xf>
    <xf numFmtId="0" fontId="30" fillId="0" borderId="22" xfId="65" applyFont="1" applyFill="1" applyBorder="1" applyAlignment="1" applyProtection="1">
      <alignment horizontal="center" vertical="center"/>
      <protection/>
    </xf>
    <xf numFmtId="0" fontId="30" fillId="0" borderId="17" xfId="65" applyFont="1" applyFill="1" applyBorder="1" applyAlignment="1" applyProtection="1">
      <alignment horizontal="center" vertical="center"/>
      <protection/>
    </xf>
    <xf numFmtId="7" fontId="48" fillId="0" borderId="0" xfId="68" applyNumberFormat="1" applyFont="1" applyFill="1" applyBorder="1" applyAlignment="1">
      <alignment horizontal="center"/>
      <protection/>
    </xf>
    <xf numFmtId="0" fontId="21" fillId="0" borderId="0" xfId="68" applyFont="1" applyBorder="1" applyAlignment="1" applyProtection="1">
      <alignment horizontal="center"/>
      <protection/>
    </xf>
    <xf numFmtId="7" fontId="48" fillId="0" borderId="60" xfId="68" applyNumberFormat="1" applyFont="1" applyFill="1" applyBorder="1" applyAlignment="1">
      <alignment horizontal="center"/>
      <protection/>
    </xf>
    <xf numFmtId="0" fontId="75" fillId="0" borderId="84" xfId="68" applyFont="1" applyBorder="1" applyAlignment="1" applyProtection="1">
      <alignment horizontal="center"/>
      <protection/>
    </xf>
    <xf numFmtId="0" fontId="75" fillId="0" borderId="73" xfId="68" applyFont="1" applyBorder="1" applyAlignment="1" applyProtection="1">
      <alignment horizontal="center"/>
      <protection/>
    </xf>
    <xf numFmtId="176" fontId="13" fillId="0" borderId="84" xfId="68" applyNumberFormat="1" applyFont="1" applyBorder="1" applyAlignment="1" applyProtection="1">
      <alignment horizontal="center"/>
      <protection/>
    </xf>
    <xf numFmtId="176" fontId="13" fillId="0" borderId="73" xfId="68" applyNumberFormat="1" applyFont="1" applyBorder="1" applyAlignment="1" applyProtection="1">
      <alignment horizontal="center"/>
      <protection/>
    </xf>
    <xf numFmtId="0" fontId="75" fillId="0" borderId="59" xfId="72" applyFont="1" applyBorder="1" applyAlignment="1" applyProtection="1">
      <alignment horizontal="center"/>
      <protection locked="0"/>
    </xf>
    <xf numFmtId="176" fontId="13" fillId="0" borderId="59" xfId="68" applyNumberFormat="1" applyFont="1" applyBorder="1" applyAlignment="1" applyProtection="1">
      <alignment horizontal="center"/>
      <protection/>
    </xf>
    <xf numFmtId="176" fontId="13" fillId="0" borderId="47" xfId="68" applyNumberFormat="1" applyFont="1" applyBorder="1" applyAlignment="1" applyProtection="1">
      <alignment horizontal="center"/>
      <protection/>
    </xf>
    <xf numFmtId="0" fontId="75" fillId="0" borderId="59" xfId="72" applyFont="1" applyBorder="1" applyAlignment="1" applyProtection="1">
      <alignment horizontal="center"/>
      <protection/>
    </xf>
    <xf numFmtId="0" fontId="75" fillId="0" borderId="47" xfId="72" applyFont="1" applyBorder="1" applyAlignment="1" applyProtection="1">
      <alignment horizont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0" fillId="0" borderId="22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/>
      <protection/>
    </xf>
    <xf numFmtId="0" fontId="75" fillId="0" borderId="59" xfId="68" applyFont="1" applyBorder="1" applyAlignment="1" applyProtection="1">
      <alignment horizontal="center"/>
      <protection/>
    </xf>
    <xf numFmtId="0" fontId="75" fillId="0" borderId="47" xfId="68" applyFont="1" applyBorder="1" applyAlignment="1" applyProtection="1">
      <alignment horizontal="center"/>
      <protection/>
    </xf>
    <xf numFmtId="0" fontId="75" fillId="0" borderId="74" xfId="68" applyFont="1" applyBorder="1" applyAlignment="1" applyProtection="1">
      <alignment horizontal="center"/>
      <protection/>
    </xf>
    <xf numFmtId="0" fontId="75" fillId="0" borderId="70" xfId="68" applyFont="1" applyBorder="1" applyAlignment="1" applyProtection="1">
      <alignment horizontal="center"/>
      <protection/>
    </xf>
    <xf numFmtId="0" fontId="13" fillId="0" borderId="59" xfId="68" applyFont="1" applyBorder="1" applyAlignment="1" applyProtection="1">
      <alignment horizontal="center"/>
      <protection locked="0"/>
    </xf>
    <xf numFmtId="0" fontId="0" fillId="0" borderId="0" xfId="58" applyAlignment="1">
      <alignment/>
      <protection/>
    </xf>
    <xf numFmtId="173" fontId="13" fillId="0" borderId="59" xfId="68" applyNumberFormat="1" applyFont="1" applyBorder="1" applyAlignment="1" applyProtection="1">
      <alignment horizontal="center"/>
      <protection/>
    </xf>
    <xf numFmtId="173" fontId="13" fillId="0" borderId="47" xfId="68" applyNumberFormat="1" applyFont="1" applyBorder="1" applyAlignment="1" applyProtection="1">
      <alignment horizontal="center"/>
      <protection/>
    </xf>
    <xf numFmtId="0" fontId="30" fillId="0" borderId="16" xfId="68" applyFont="1" applyBorder="1" applyAlignment="1" applyProtection="1" quotePrefix="1">
      <alignment horizontal="center" vertical="center" wrapText="1"/>
      <protection/>
    </xf>
    <xf numFmtId="0" fontId="0" fillId="0" borderId="17" xfId="58" applyBorder="1" applyAlignment="1">
      <alignment horizontal="center" vertical="center" wrapText="1"/>
      <protection/>
    </xf>
    <xf numFmtId="0" fontId="30" fillId="0" borderId="16" xfId="68" applyFont="1" applyFill="1" applyBorder="1" applyAlignment="1" applyProtection="1" quotePrefix="1">
      <alignment horizontal="center" vertical="center" wrapText="1"/>
      <protection/>
    </xf>
    <xf numFmtId="0" fontId="30" fillId="0" borderId="16" xfId="68" applyFont="1" applyFill="1" applyBorder="1" applyAlignment="1" applyProtection="1">
      <alignment horizontal="center" vertical="center"/>
      <protection/>
    </xf>
    <xf numFmtId="0" fontId="30" fillId="0" borderId="17" xfId="68" applyFont="1" applyFill="1" applyBorder="1" applyAlignment="1" applyProtection="1">
      <alignment horizontal="center" vertical="center"/>
      <protection/>
    </xf>
    <xf numFmtId="0" fontId="13" fillId="0" borderId="74" xfId="68" applyFont="1" applyFill="1" applyBorder="1" applyAlignment="1">
      <alignment horizontal="center"/>
      <protection/>
    </xf>
    <xf numFmtId="0" fontId="13" fillId="0" borderId="70" xfId="68" applyFont="1" applyFill="1" applyBorder="1" applyAlignment="1">
      <alignment horizontal="center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F0711NER" xfId="53"/>
    <cellStyle name="Moneda_F0711NER 3" xfId="54"/>
    <cellStyle name="Moneda_F0911NER" xfId="55"/>
    <cellStyle name="Moneda_F0911NER 2" xfId="56"/>
    <cellStyle name="Neutral" xfId="57"/>
    <cellStyle name="Normal 2" xfId="58"/>
    <cellStyle name="Normal_A0101 ANEXO I NEA 2" xfId="59"/>
    <cellStyle name="Normal_A0101 ANEXO I NEA 2 2" xfId="60"/>
    <cellStyle name="Normal_Comahue" xfId="61"/>
    <cellStyle name="Normal_EDENOR9604 2" xfId="62"/>
    <cellStyle name="Normal_EDENOR9604 3" xfId="63"/>
    <cellStyle name="Normal_EDENOR9604 4" xfId="64"/>
    <cellStyle name="Normal_F0711NER" xfId="65"/>
    <cellStyle name="Normal_F0711NER 2" xfId="66"/>
    <cellStyle name="Normal_F0711NER 3" xfId="67"/>
    <cellStyle name="Normal_F0911NER" xfId="68"/>
    <cellStyle name="Normal_F0911NER 2" xfId="69"/>
    <cellStyle name="Normal_TRANS" xfId="70"/>
    <cellStyle name="Normal_TRANS 2 2" xfId="71"/>
    <cellStyle name="Normal_Transener_V8" xfId="72"/>
    <cellStyle name="Normal_Transener_V8 2" xfId="73"/>
    <cellStyle name="Normal_Transener_V8 2 2" xfId="74"/>
    <cellStyle name="Normal_Transener_V8 2 2 2" xfId="75"/>
    <cellStyle name="Normal_Transener_V8_1" xfId="76"/>
    <cellStyle name="Normal_Transener_V8_1 3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314325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3340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0</xdr:rowOff>
    </xdr:from>
    <xdr:to>
      <xdr:col>0</xdr:col>
      <xdr:colOff>1133475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1304925</xdr:colOff>
      <xdr:row>0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8102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581025</xdr:colOff>
      <xdr:row>0</xdr:row>
      <xdr:rowOff>0</xdr:rowOff>
    </xdr:from>
    <xdr:to>
      <xdr:col>0</xdr:col>
      <xdr:colOff>1085850</xdr:colOff>
      <xdr:row>2</xdr:row>
      <xdr:rowOff>361950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1152525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3340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0</xdr:rowOff>
    </xdr:from>
    <xdr:to>
      <xdr:col>0</xdr:col>
      <xdr:colOff>1143000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267075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342900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1</xdr:col>
      <xdr:colOff>76200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0</xdr:rowOff>
    </xdr:from>
    <xdr:to>
      <xdr:col>1</xdr:col>
      <xdr:colOff>314325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342900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28575</xdr:rowOff>
    </xdr:from>
    <xdr:to>
      <xdr:col>3</xdr:col>
      <xdr:colOff>400050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0</xdr:rowOff>
    </xdr:from>
    <xdr:to>
      <xdr:col>3</xdr:col>
      <xdr:colOff>428625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409575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266700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4953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333375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411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LARC~1.ENR\AppData\Local\Temp\notesE4D4F8\F0915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LARC~1.ENR\AppData\Local\Temp\notesE4D4F8\F0815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7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6 (1)"/>
      <sheetName val="F0711NER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411"/>
      <sheetName val="LI-04 (1)"/>
      <sheetName val="LI-04 (2)"/>
      <sheetName val="LI-LINSA-04 (1)"/>
      <sheetName val="LI-INTESAR 2-04 (1)"/>
      <sheetName val="TR-04 (1)"/>
      <sheetName val="TR-TIBA-04 (1)"/>
      <sheetName val="TR-INTESAR 4-04 (1)"/>
      <sheetName val="TR-LINSA-04 (1)"/>
      <sheetName val="SA-04 (1)"/>
      <sheetName val="SA-04 (2)"/>
      <sheetName val="SA-TIBA-04 (1)"/>
      <sheetName val="SA-ENECOR-04 (1)"/>
      <sheetName val="SA-LINSA-04 (1)"/>
      <sheetName val="SA-INTESAR 4-04 (1)"/>
      <sheetName val="RE-04 (1)"/>
      <sheetName val="RE-LINSA-04 (1)"/>
      <sheetName val="CAUSAS-VST-04 (1)"/>
      <sheetName val="SUP-LINSA"/>
      <sheetName val="SUP-TIBA"/>
      <sheetName val="SUP-ENECOR"/>
      <sheetName val="SUP-INTESAR 2 (1)"/>
      <sheetName val="SUP-INTESAR 4 (1)"/>
      <sheetName val="TASA FALLA"/>
      <sheetName val="DATO"/>
      <sheetName val="F0411NER"/>
    </sheetNames>
    <definedNames>
      <definedName name="Actualizar_Referencia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915"/>
      <sheetName val="LI-09 (1)"/>
      <sheetName val="LI-INTESA4-09 (1)"/>
      <sheetName val="LI-INTESA3-09 (1)"/>
      <sheetName val="LI-INTESAR 7-09 (1)"/>
      <sheetName val="Hoja1"/>
      <sheetName val="LI-TRANSPORTEL-09 (1)"/>
      <sheetName val="LI-YACY-09 (1)"/>
      <sheetName val="TR-09 (1)"/>
      <sheetName val="TR-COBRA-09 (1)"/>
      <sheetName val="TR-ENECOR-09 (1)"/>
      <sheetName val="TR-INTESA4-09 (1)"/>
      <sheetName val="TR-LITSA SG-09 (1)"/>
      <sheetName val="TR-TIBA-09 (1)"/>
      <sheetName val="SA-09 (1)"/>
      <sheetName val="SA-09 (2)"/>
      <sheetName val="SA-TIBA-09 (1)"/>
      <sheetName val="SA-TRANSPORTEL-09 (1)"/>
      <sheetName val="RE-09 (1)"/>
      <sheetName val="RE-INTESAR 4-09 (1)"/>
      <sheetName val="RE-LINSA-09 (1)"/>
      <sheetName val="RE-YACY-09 (1)"/>
      <sheetName val="VST-09 (1)"/>
      <sheetName val="SUP-ENECOR "/>
      <sheetName val="SUP-LINSA"/>
      <sheetName val="SUP-LITSA T. SG"/>
      <sheetName val="SUP-TIBA"/>
      <sheetName val="SUP-ENECOR"/>
      <sheetName val="DATO"/>
      <sheetName val="SUP-YACYLEC"/>
      <sheetName val="Hoja2"/>
    </sheetNames>
    <definedNames>
      <definedName name="Actualizar_Referencia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815"/>
      <sheetName val="LI-08 (1)"/>
      <sheetName val="LI-INTESAR 4-08 (1)"/>
      <sheetName val="LI-INTESAR 5-08 (2)"/>
      <sheetName val="LI-LITSA-08 (1)"/>
      <sheetName val="TR-08 (1)"/>
      <sheetName val="TR-ENECOR-08 (1)"/>
      <sheetName val="TR-INTESAR 1-08 (1)"/>
      <sheetName val="TR-LITSA-08 (1)"/>
      <sheetName val="Hoja1"/>
      <sheetName val="SA-08 (1)"/>
      <sheetName val="SA-08 (2)"/>
      <sheetName val="SA-LINSA-08 (1)"/>
      <sheetName val="SA-LITSA-08 (1)"/>
      <sheetName val="Hoja2"/>
      <sheetName val="SA-TESA-08 (1)"/>
      <sheetName val="Hoja3"/>
      <sheetName val="SA-TIBA-08 (1)"/>
      <sheetName val="Hoja4"/>
      <sheetName val="RE-08 (1)"/>
      <sheetName val="RE-YACY-08 (1)"/>
      <sheetName val="SUP-ENECOR"/>
      <sheetName val="SUP-INTESAR 5"/>
      <sheetName val="SUP-INTESAR"/>
      <sheetName val="SUP-LITSA"/>
      <sheetName val="SUP-LINSA"/>
      <sheetName val="SUP-TESA"/>
      <sheetName val="SUP-TIBA"/>
      <sheetName val="SUP-YACYLEC"/>
      <sheetName val="DATO"/>
      <sheetName val="F0815NER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0"/>
  <sheetViews>
    <sheetView tabSelected="1" zoomScale="85" zoomScaleNormal="85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12.7109375" style="8" customWidth="1"/>
    <col min="6" max="6" width="17.00390625" style="8" customWidth="1"/>
    <col min="7" max="7" width="42.140625" style="8" customWidth="1"/>
    <col min="8" max="8" width="11.140625" style="8" customWidth="1"/>
    <col min="9" max="9" width="24.00390625" style="8" customWidth="1"/>
    <col min="10" max="10" width="12.2812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484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0.25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0.25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480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tr">
        <f>DATO!F14</f>
        <v>Desde el 01 al 31 de diciembre de 2015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>
      <c r="B16" s="43"/>
      <c r="C16" s="49" t="s">
        <v>4</v>
      </c>
      <c r="D16" s="45" t="s">
        <v>5</v>
      </c>
      <c r="E16" s="46"/>
      <c r="F16" s="47"/>
      <c r="G16" s="47"/>
      <c r="H16" s="47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49"/>
      <c r="D17" s="45">
        <v>11</v>
      </c>
      <c r="E17" s="51" t="s">
        <v>6</v>
      </c>
      <c r="F17" s="47"/>
      <c r="G17" s="47"/>
      <c r="H17" s="47"/>
      <c r="I17" s="50">
        <f>'LI-12 (2)'!AE43</f>
        <v>63285.69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49"/>
      <c r="D18" s="45"/>
      <c r="E18" s="51" t="s">
        <v>483</v>
      </c>
      <c r="F18" s="47"/>
      <c r="G18" s="47"/>
      <c r="H18" s="47"/>
      <c r="I18" s="50">
        <f>+Incendio!AD32</f>
        <v>13353.44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49"/>
      <c r="D19" s="45" t="s">
        <v>355</v>
      </c>
      <c r="E19" s="51" t="s">
        <v>9</v>
      </c>
      <c r="F19" s="47"/>
      <c r="G19" s="47"/>
      <c r="H19" s="47"/>
      <c r="I19" s="50">
        <f>'LI-INTESAR 4-12 (1)'!AE41</f>
        <v>588.52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.75" customHeight="1">
      <c r="A20" s="34"/>
      <c r="B20" s="55"/>
      <c r="C20" s="56"/>
      <c r="D20" s="45"/>
      <c r="E20" s="57"/>
      <c r="F20" s="58"/>
      <c r="G20" s="58"/>
      <c r="H20" s="58"/>
      <c r="I20" s="59"/>
      <c r="J20" s="60"/>
      <c r="K20" s="42"/>
      <c r="L20" s="11"/>
      <c r="M20" s="11"/>
      <c r="N20" s="11"/>
      <c r="O20" s="11"/>
      <c r="P20" s="11"/>
      <c r="Q20" s="11"/>
      <c r="R20" s="11"/>
      <c r="S20" s="11"/>
    </row>
    <row r="21" spans="2:19" s="34" customFormat="1" ht="19.5">
      <c r="B21" s="43"/>
      <c r="C21" s="49" t="s">
        <v>10</v>
      </c>
      <c r="D21" s="61" t="s">
        <v>11</v>
      </c>
      <c r="E21" s="62"/>
      <c r="F21" s="53"/>
      <c r="G21" s="53"/>
      <c r="H21" s="53"/>
      <c r="I21" s="54"/>
      <c r="J21" s="48"/>
      <c r="K21" s="42"/>
      <c r="L21" s="42"/>
      <c r="M21" s="42"/>
      <c r="N21" s="42"/>
      <c r="O21" s="42"/>
      <c r="P21" s="42"/>
      <c r="Q21" s="42"/>
      <c r="R21" s="42"/>
      <c r="S21" s="42"/>
    </row>
    <row r="22" spans="2:19" s="34" customFormat="1" ht="19.5">
      <c r="B22" s="43"/>
      <c r="C22" s="49"/>
      <c r="D22" s="45">
        <v>21</v>
      </c>
      <c r="E22" s="52" t="s">
        <v>12</v>
      </c>
      <c r="F22" s="53"/>
      <c r="G22" s="53"/>
      <c r="H22" s="53"/>
      <c r="I22" s="54"/>
      <c r="J22" s="48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34" customFormat="1" ht="19.5">
      <c r="B23" s="43"/>
      <c r="C23" s="49"/>
      <c r="D23" s="45"/>
      <c r="E23" s="63">
        <v>211</v>
      </c>
      <c r="F23" s="64" t="s">
        <v>6</v>
      </c>
      <c r="G23" s="53"/>
      <c r="H23" s="53"/>
      <c r="I23" s="54">
        <f>'TR-12 (1)'!AC43</f>
        <v>79996.41</v>
      </c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34" customFormat="1" ht="19.5">
      <c r="B24" s="43"/>
      <c r="C24" s="49"/>
      <c r="D24" s="45"/>
      <c r="E24" s="63">
        <v>212</v>
      </c>
      <c r="F24" s="64" t="s">
        <v>8</v>
      </c>
      <c r="G24" s="53"/>
      <c r="H24" s="53"/>
      <c r="I24" s="54">
        <f>'TR-LINSA-12 (1)'!AD42</f>
        <v>282.37</v>
      </c>
      <c r="J24" s="48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4" customFormat="1" ht="19.5">
      <c r="B25" s="43"/>
      <c r="C25" s="49"/>
      <c r="D25" s="45"/>
      <c r="E25" s="63">
        <v>213</v>
      </c>
      <c r="F25" s="64" t="s">
        <v>416</v>
      </c>
      <c r="G25" s="53"/>
      <c r="H25" s="53"/>
      <c r="I25" s="54">
        <f>'TR-LITSA TRANSF. S.I.-12 (1)'!AD43</f>
        <v>3222.55</v>
      </c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>
      <c r="B26" s="43"/>
      <c r="C26" s="49"/>
      <c r="D26" s="45"/>
      <c r="E26" s="65">
        <v>214</v>
      </c>
      <c r="F26" s="4" t="s">
        <v>13</v>
      </c>
      <c r="G26" s="53"/>
      <c r="H26" s="53"/>
      <c r="I26" s="54">
        <f>'TR-TIBA-12 (1)'!AC41</f>
        <v>10072.84</v>
      </c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2" customHeight="1">
      <c r="B27" s="43"/>
      <c r="C27" s="42"/>
      <c r="D27" s="42"/>
      <c r="E27" s="42"/>
      <c r="F27" s="42"/>
      <c r="G27" s="42"/>
      <c r="H27" s="42"/>
      <c r="I27" s="42"/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>
      <c r="B28" s="43"/>
      <c r="C28" s="49"/>
      <c r="D28" s="45">
        <v>22</v>
      </c>
      <c r="E28" s="51" t="s">
        <v>14</v>
      </c>
      <c r="F28" s="47"/>
      <c r="G28" s="47"/>
      <c r="H28" s="47"/>
      <c r="I28" s="50"/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>
      <c r="B29" s="43"/>
      <c r="C29" s="49"/>
      <c r="D29" s="45"/>
      <c r="E29" s="65">
        <v>221</v>
      </c>
      <c r="F29" s="4" t="s">
        <v>6</v>
      </c>
      <c r="G29" s="47"/>
      <c r="H29" s="47"/>
      <c r="I29" s="50">
        <f>'SA-12 (2)'!V46</f>
        <v>199004.21</v>
      </c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>
      <c r="B30" s="43"/>
      <c r="C30" s="49"/>
      <c r="D30" s="45"/>
      <c r="E30" s="65">
        <v>222</v>
      </c>
      <c r="F30" s="4" t="s">
        <v>354</v>
      </c>
      <c r="G30" s="47"/>
      <c r="H30" s="47"/>
      <c r="I30" s="50">
        <f>'SA-LITSA-12 (1)'!V45</f>
        <v>4133.96</v>
      </c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34" customFormat="1" ht="19.5">
      <c r="B31" s="43"/>
      <c r="C31" s="49"/>
      <c r="D31" s="45"/>
      <c r="E31" s="65">
        <v>223</v>
      </c>
      <c r="F31" s="4" t="s">
        <v>13</v>
      </c>
      <c r="G31" s="47"/>
      <c r="H31" s="47"/>
      <c r="I31" s="50">
        <f>'SA-TIBA-11 (1)'!V43</f>
        <v>9140.88</v>
      </c>
      <c r="J31" s="48"/>
      <c r="K31" s="42"/>
      <c r="L31" s="42"/>
      <c r="M31" s="42"/>
      <c r="N31" s="42"/>
      <c r="O31" s="42"/>
      <c r="P31" s="42"/>
      <c r="Q31" s="42"/>
      <c r="R31" s="42"/>
      <c r="S31" s="42"/>
    </row>
    <row r="32" spans="2:19" s="34" customFormat="1" ht="19.5">
      <c r="B32" s="43"/>
      <c r="C32" s="49"/>
      <c r="D32" s="45"/>
      <c r="E32" s="65"/>
      <c r="F32" s="4"/>
      <c r="G32" s="47"/>
      <c r="H32" s="47"/>
      <c r="I32" s="50"/>
      <c r="J32" s="48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.75" customHeight="1">
      <c r="A33" s="34"/>
      <c r="B33" s="55"/>
      <c r="C33" s="56"/>
      <c r="D33" s="45"/>
      <c r="E33" s="66"/>
      <c r="F33" s="67"/>
      <c r="G33" s="67"/>
      <c r="H33" s="67"/>
      <c r="I33" s="68"/>
      <c r="J33" s="60"/>
      <c r="K33" s="42"/>
      <c r="L33" s="11"/>
      <c r="M33" s="11"/>
      <c r="N33" s="11"/>
      <c r="O33" s="11"/>
      <c r="P33" s="11"/>
      <c r="Q33" s="11"/>
      <c r="R33" s="11"/>
      <c r="S33" s="11"/>
    </row>
    <row r="34" spans="2:19" s="34" customFormat="1" ht="19.5">
      <c r="B34" s="43"/>
      <c r="C34" s="49" t="s">
        <v>15</v>
      </c>
      <c r="D34" s="61" t="s">
        <v>16</v>
      </c>
      <c r="E34" s="46"/>
      <c r="F34" s="47"/>
      <c r="G34" s="47"/>
      <c r="H34" s="47"/>
      <c r="I34" s="50"/>
      <c r="J34" s="48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34" customFormat="1" ht="19.5">
      <c r="B35" s="43"/>
      <c r="C35" s="49"/>
      <c r="D35" s="45">
        <v>31</v>
      </c>
      <c r="E35" s="51" t="s">
        <v>6</v>
      </c>
      <c r="F35" s="47"/>
      <c r="G35" s="47"/>
      <c r="H35" s="47"/>
      <c r="I35" s="50">
        <f>'RE-12 (1)'!Z43</f>
        <v>1015195.89</v>
      </c>
      <c r="J35" s="48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34" customFormat="1" ht="19.5">
      <c r="B36" s="43"/>
      <c r="C36" s="49"/>
      <c r="D36" s="45">
        <v>32</v>
      </c>
      <c r="E36" s="51" t="s">
        <v>7</v>
      </c>
      <c r="F36" s="47"/>
      <c r="G36" s="47"/>
      <c r="H36" s="47"/>
      <c r="I36" s="50">
        <f>'RE-YACY-11 (1)'!Z43</f>
        <v>37973.76</v>
      </c>
      <c r="J36" s="48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34" customFormat="1" ht="12.75" customHeight="1">
      <c r="B37" s="43"/>
      <c r="C37" s="49"/>
      <c r="D37" s="45"/>
      <c r="E37" s="51"/>
      <c r="F37" s="47"/>
      <c r="G37" s="47"/>
      <c r="H37" s="47"/>
      <c r="I37" s="50"/>
      <c r="J37" s="48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34" customFormat="1" ht="19.5">
      <c r="B38" s="43"/>
      <c r="C38" s="49" t="s">
        <v>17</v>
      </c>
      <c r="D38" s="61" t="s">
        <v>18</v>
      </c>
      <c r="E38" s="46"/>
      <c r="F38" s="47"/>
      <c r="G38" s="47"/>
      <c r="H38" s="47"/>
      <c r="I38" s="50"/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>
      <c r="B39" s="43"/>
      <c r="C39" s="49"/>
      <c r="D39" s="45">
        <v>41</v>
      </c>
      <c r="E39" s="51" t="s">
        <v>354</v>
      </c>
      <c r="F39" s="47"/>
      <c r="G39" s="47"/>
      <c r="H39" s="47"/>
      <c r="I39" s="50">
        <f>'SUP-LITSA'!K93</f>
        <v>1033.49</v>
      </c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9.5">
      <c r="B40" s="43"/>
      <c r="C40" s="49"/>
      <c r="D40" s="45">
        <v>42</v>
      </c>
      <c r="E40" s="51" t="s">
        <v>8</v>
      </c>
      <c r="F40" s="47"/>
      <c r="G40" s="47"/>
      <c r="H40" s="47"/>
      <c r="I40" s="50">
        <f>'SUP-LINSA'!K95</f>
        <v>115.71375161367774</v>
      </c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19.5">
      <c r="B41" s="43"/>
      <c r="C41" s="49"/>
      <c r="D41" s="45">
        <v>43</v>
      </c>
      <c r="E41" s="51" t="s">
        <v>417</v>
      </c>
      <c r="F41" s="47"/>
      <c r="G41" s="47"/>
      <c r="H41" s="47"/>
      <c r="I41" s="50">
        <f>'SUP-LITSA ET S.I.'!K73</f>
        <v>805.6380000000001</v>
      </c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>
      <c r="B42" s="43"/>
      <c r="C42" s="49"/>
      <c r="D42" s="45">
        <v>44</v>
      </c>
      <c r="E42" s="51" t="s">
        <v>13</v>
      </c>
      <c r="F42" s="47"/>
      <c r="G42" s="47"/>
      <c r="H42" s="47"/>
      <c r="I42" s="50">
        <f>'SUP-TIBA'!J75</f>
        <v>11103.327349288242</v>
      </c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19.5">
      <c r="B43" s="43"/>
      <c r="C43" s="49"/>
      <c r="D43" s="45">
        <v>45</v>
      </c>
      <c r="E43" s="51" t="s">
        <v>7</v>
      </c>
      <c r="F43" s="47"/>
      <c r="G43" s="47"/>
      <c r="H43" s="47"/>
      <c r="I43" s="50">
        <f>'SUP-YACYLEC'!K81</f>
        <v>26938.543692138384</v>
      </c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1.25" customHeight="1">
      <c r="B44" s="43"/>
      <c r="C44" s="49"/>
      <c r="D44" s="45"/>
      <c r="E44" s="51"/>
      <c r="F44" s="47"/>
      <c r="G44" s="47"/>
      <c r="H44" s="69"/>
      <c r="I44" s="50"/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20.25" thickBot="1">
      <c r="B45" s="43"/>
      <c r="C45" s="44"/>
      <c r="D45" s="45"/>
      <c r="E45" s="46"/>
      <c r="F45" s="47"/>
      <c r="G45" s="47"/>
      <c r="H45" s="47"/>
      <c r="I45" s="42"/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20.25" thickBot="1" thickTop="1">
      <c r="B46" s="43"/>
      <c r="C46" s="49"/>
      <c r="D46" s="49"/>
      <c r="F46" s="70" t="s">
        <v>19</v>
      </c>
      <c r="G46" s="71">
        <f>SUM(I16:I44)</f>
        <v>1476247.23279304</v>
      </c>
      <c r="H46" s="72"/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9.75" customHeight="1" thickTop="1">
      <c r="B47" s="43"/>
      <c r="C47" s="49"/>
      <c r="D47" s="49"/>
      <c r="F47" s="73"/>
      <c r="G47" s="72"/>
      <c r="H47" s="72"/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18.75">
      <c r="B48" s="43"/>
      <c r="C48" s="1114" t="s">
        <v>482</v>
      </c>
      <c r="D48" s="49"/>
      <c r="F48" s="73"/>
      <c r="G48" s="72"/>
      <c r="H48" s="72"/>
      <c r="I48" s="74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27" customFormat="1" ht="10.5" customHeight="1" thickBot="1">
      <c r="B49" s="75"/>
      <c r="C49" s="76"/>
      <c r="D49" s="76"/>
      <c r="E49" s="77"/>
      <c r="F49" s="77"/>
      <c r="G49" s="77"/>
      <c r="H49" s="77"/>
      <c r="I49" s="77"/>
      <c r="J49" s="78"/>
      <c r="K49" s="29"/>
      <c r="L49" s="29"/>
      <c r="M49" s="79"/>
      <c r="N49" s="80"/>
      <c r="O49" s="80"/>
      <c r="P49" s="81"/>
      <c r="Q49" s="82"/>
      <c r="R49" s="29"/>
      <c r="S49" s="29"/>
    </row>
    <row r="50" spans="4:19" ht="13.5" thickTop="1">
      <c r="D50" s="11"/>
      <c r="F50" s="11"/>
      <c r="G50" s="11"/>
      <c r="H50" s="11"/>
      <c r="I50" s="11"/>
      <c r="J50" s="11"/>
      <c r="K50" s="11"/>
      <c r="L50" s="11"/>
      <c r="M50" s="83"/>
      <c r="N50" s="84"/>
      <c r="O50" s="84"/>
      <c r="P50" s="11"/>
      <c r="Q50" s="85"/>
      <c r="R50" s="11"/>
      <c r="S50" s="11"/>
    </row>
    <row r="51" spans="4:19" ht="12.75">
      <c r="D51" s="11"/>
      <c r="F51" s="11"/>
      <c r="G51" s="11"/>
      <c r="H51" s="11"/>
      <c r="I51" s="11"/>
      <c r="J51" s="11"/>
      <c r="K51" s="11"/>
      <c r="L51" s="11"/>
      <c r="M51" s="11"/>
      <c r="N51" s="86"/>
      <c r="O51" s="86"/>
      <c r="P51" s="87"/>
      <c r="Q51" s="85"/>
      <c r="R51" s="11"/>
      <c r="S51" s="11"/>
    </row>
    <row r="52" spans="4:19" ht="12.75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86"/>
      <c r="O52" s="86"/>
      <c r="P52" s="87"/>
      <c r="Q52" s="85"/>
      <c r="R52" s="11"/>
      <c r="S52" s="11"/>
    </row>
    <row r="53" spans="4:19" ht="12.75">
      <c r="D53" s="11"/>
      <c r="E53" s="11"/>
      <c r="L53" s="11"/>
      <c r="M53" s="11"/>
      <c r="N53" s="11"/>
      <c r="O53" s="11"/>
      <c r="P53" s="11"/>
      <c r="Q53" s="11"/>
      <c r="R53" s="11"/>
      <c r="S53" s="11"/>
    </row>
    <row r="54" spans="4:19" ht="12.75">
      <c r="D54" s="11"/>
      <c r="E54" s="11"/>
      <c r="P54" s="11"/>
      <c r="Q54" s="11"/>
      <c r="R54" s="11"/>
      <c r="S54" s="11"/>
    </row>
    <row r="55" spans="4:19" ht="12.75">
      <c r="D55" s="11"/>
      <c r="E55" s="11"/>
      <c r="P55" s="11"/>
      <c r="Q55" s="11"/>
      <c r="R55" s="11"/>
      <c r="S55" s="11"/>
    </row>
    <row r="56" spans="4:19" ht="12.75">
      <c r="D56" s="11"/>
      <c r="E56" s="11"/>
      <c r="P56" s="11"/>
      <c r="Q56" s="11"/>
      <c r="R56" s="11"/>
      <c r="S56" s="11"/>
    </row>
    <row r="57" spans="4:19" ht="12.75">
      <c r="D57" s="11"/>
      <c r="E57" s="11"/>
      <c r="P57" s="11"/>
      <c r="Q57" s="11"/>
      <c r="R57" s="11"/>
      <c r="S57" s="11"/>
    </row>
    <row r="58" spans="4:19" ht="12.75">
      <c r="D58" s="11"/>
      <c r="E58" s="11"/>
      <c r="P58" s="11"/>
      <c r="Q58" s="11"/>
      <c r="R58" s="11"/>
      <c r="S58" s="11"/>
    </row>
    <row r="59" spans="16:19" ht="12.75">
      <c r="P59" s="11"/>
      <c r="Q59" s="11"/>
      <c r="R59" s="11"/>
      <c r="S59" s="11"/>
    </row>
    <row r="60" spans="16:19" ht="12.75">
      <c r="P60" s="11"/>
      <c r="Q60" s="11"/>
      <c r="R60" s="11"/>
      <c r="S60" s="1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portrait" paperSize="9" scale="58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60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7.421875" style="9" hidden="1" customWidth="1"/>
    <col min="10" max="11" width="15.7109375" style="9" customWidth="1"/>
    <col min="12" max="14" width="9.7109375" style="9" customWidth="1"/>
    <col min="15" max="15" width="5.421875" style="9" bestFit="1" customWidth="1"/>
    <col min="16" max="16" width="4.8515625" style="9" hidden="1" customWidth="1"/>
    <col min="17" max="17" width="11.8515625" style="9" hidden="1" customWidth="1"/>
    <col min="18" max="19" width="4.7109375" style="9" hidden="1" customWidth="1"/>
    <col min="20" max="20" width="11.57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+'TOT-1215'!B2</f>
        <v>ANEXO I al Memorándum D.T.E.E. N°  231  / 2017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19"/>
    </row>
    <row r="8" spans="2:23" s="18" customFormat="1" ht="20.25">
      <c r="B8" s="95"/>
      <c r="C8" s="23"/>
      <c r="D8" s="23"/>
      <c r="E8" s="23"/>
      <c r="F8" s="420" t="s">
        <v>20</v>
      </c>
      <c r="N8" s="283"/>
      <c r="O8" s="283"/>
      <c r="P8" s="285"/>
      <c r="Q8" s="23"/>
      <c r="R8" s="23"/>
      <c r="S8" s="23"/>
      <c r="T8" s="23"/>
      <c r="U8" s="23"/>
      <c r="V8" s="23"/>
      <c r="W8" s="421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22" t="s">
        <v>62</v>
      </c>
      <c r="G10" s="423"/>
      <c r="H10" s="283"/>
      <c r="I10" s="424"/>
      <c r="K10" s="424"/>
      <c r="L10" s="424"/>
      <c r="M10" s="424"/>
      <c r="N10" s="424"/>
      <c r="O10" s="424"/>
      <c r="P10" s="424"/>
      <c r="Q10" s="23"/>
      <c r="R10" s="23"/>
      <c r="S10" s="23"/>
      <c r="T10" s="23"/>
      <c r="U10" s="23"/>
      <c r="V10" s="23"/>
      <c r="W10" s="421"/>
    </row>
    <row r="11" spans="2:23" s="8" customFormat="1" ht="13.5">
      <c r="B11" s="55"/>
      <c r="C11" s="11"/>
      <c r="D11" s="11"/>
      <c r="E11" s="11"/>
      <c r="F11" s="425"/>
      <c r="G11" s="425"/>
      <c r="H11" s="89"/>
      <c r="I11" s="426"/>
      <c r="J11" s="67"/>
      <c r="K11" s="426"/>
      <c r="L11" s="426"/>
      <c r="M11" s="426"/>
      <c r="N11" s="426"/>
      <c r="O11" s="426"/>
      <c r="P11" s="426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22" t="s">
        <v>63</v>
      </c>
      <c r="G12" s="423"/>
      <c r="H12" s="283"/>
      <c r="I12" s="424"/>
      <c r="K12" s="424"/>
      <c r="L12" s="424"/>
      <c r="M12" s="424"/>
      <c r="N12" s="424"/>
      <c r="O12" s="424"/>
      <c r="P12" s="424"/>
      <c r="Q12" s="23"/>
      <c r="R12" s="23"/>
      <c r="S12" s="23"/>
      <c r="T12" s="23"/>
      <c r="U12" s="23"/>
      <c r="V12" s="23"/>
      <c r="W12" s="421"/>
    </row>
    <row r="13" spans="2:23" s="8" customFormat="1" ht="13.5">
      <c r="B13" s="55"/>
      <c r="C13" s="11"/>
      <c r="D13" s="11"/>
      <c r="E13" s="11"/>
      <c r="F13" s="425"/>
      <c r="G13" s="425"/>
      <c r="H13" s="89"/>
      <c r="I13" s="426"/>
      <c r="J13" s="67"/>
      <c r="K13" s="426"/>
      <c r="L13" s="426"/>
      <c r="M13" s="426"/>
      <c r="N13" s="426"/>
      <c r="O13" s="426"/>
      <c r="P13" s="426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'TOT-1215'!B14</f>
        <v>Desde el 01 al 31 de diciembre de 2015</v>
      </c>
      <c r="C14" s="39"/>
      <c r="D14" s="39"/>
      <c r="E14" s="39"/>
      <c r="F14" s="39"/>
      <c r="G14" s="39"/>
      <c r="H14" s="39"/>
      <c r="I14" s="427"/>
      <c r="J14" s="427"/>
      <c r="K14" s="427"/>
      <c r="L14" s="427"/>
      <c r="M14" s="427"/>
      <c r="N14" s="427"/>
      <c r="O14" s="427"/>
      <c r="P14" s="427"/>
      <c r="Q14" s="39"/>
      <c r="R14" s="39"/>
      <c r="S14" s="39"/>
      <c r="T14" s="39"/>
      <c r="U14" s="39"/>
      <c r="V14" s="39"/>
      <c r="W14" s="428"/>
    </row>
    <row r="15" spans="2:23" s="8" customFormat="1" ht="14.25" thickBot="1">
      <c r="B15" s="429"/>
      <c r="C15" s="430"/>
      <c r="D15" s="430"/>
      <c r="E15" s="430"/>
      <c r="F15" s="430"/>
      <c r="G15" s="430"/>
      <c r="H15" s="430"/>
      <c r="I15" s="431"/>
      <c r="J15" s="431"/>
      <c r="K15" s="431"/>
      <c r="L15" s="431"/>
      <c r="M15" s="431"/>
      <c r="N15" s="431"/>
      <c r="O15" s="431"/>
      <c r="P15" s="431"/>
      <c r="Q15" s="430"/>
      <c r="R15" s="430"/>
      <c r="S15" s="430"/>
      <c r="T15" s="430"/>
      <c r="U15" s="430"/>
      <c r="V15" s="430"/>
      <c r="W15" s="432"/>
    </row>
    <row r="16" spans="2:23" s="8" customFormat="1" ht="15" thickBot="1" thickTop="1">
      <c r="B16" s="55"/>
      <c r="C16" s="11"/>
      <c r="D16" s="11"/>
      <c r="E16" s="11"/>
      <c r="F16" s="433"/>
      <c r="G16" s="433"/>
      <c r="H16" s="434" t="s">
        <v>64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35" t="s">
        <v>65</v>
      </c>
      <c r="G17" s="436">
        <v>276.033</v>
      </c>
      <c r="H17" s="437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38" t="s">
        <v>66</v>
      </c>
      <c r="G18" s="439">
        <v>248.394</v>
      </c>
      <c r="H18" s="437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40" t="s">
        <v>67</v>
      </c>
      <c r="G19" s="439">
        <v>220.831</v>
      </c>
      <c r="H19" s="437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17" t="s">
        <v>25</v>
      </c>
      <c r="D21" s="111" t="s">
        <v>26</v>
      </c>
      <c r="E21" s="111" t="s">
        <v>27</v>
      </c>
      <c r="F21" s="114" t="s">
        <v>54</v>
      </c>
      <c r="G21" s="441" t="s">
        <v>55</v>
      </c>
      <c r="H21" s="442" t="s">
        <v>28</v>
      </c>
      <c r="I21" s="322" t="s">
        <v>32</v>
      </c>
      <c r="J21" s="112" t="s">
        <v>33</v>
      </c>
      <c r="K21" s="441" t="s">
        <v>34</v>
      </c>
      <c r="L21" s="443" t="s">
        <v>35</v>
      </c>
      <c r="M21" s="443" t="s">
        <v>36</v>
      </c>
      <c r="N21" s="119" t="s">
        <v>321</v>
      </c>
      <c r="O21" s="118" t="s">
        <v>39</v>
      </c>
      <c r="P21" s="444" t="s">
        <v>31</v>
      </c>
      <c r="Q21" s="445" t="s">
        <v>68</v>
      </c>
      <c r="R21" s="446" t="s">
        <v>69</v>
      </c>
      <c r="S21" s="447"/>
      <c r="T21" s="448" t="s">
        <v>44</v>
      </c>
      <c r="U21" s="130" t="s">
        <v>46</v>
      </c>
      <c r="V21" s="321" t="s">
        <v>47</v>
      </c>
      <c r="W21" s="60"/>
    </row>
    <row r="22" spans="2:23" s="8" customFormat="1" ht="16.5" customHeight="1" thickTop="1">
      <c r="B22" s="55"/>
      <c r="C22" s="331"/>
      <c r="D22" s="331"/>
      <c r="E22" s="331"/>
      <c r="F22" s="449"/>
      <c r="G22" s="449"/>
      <c r="H22" s="449"/>
      <c r="I22" s="272"/>
      <c r="J22" s="449"/>
      <c r="K22" s="449"/>
      <c r="L22" s="449"/>
      <c r="M22" s="449"/>
      <c r="N22" s="449"/>
      <c r="O22" s="449"/>
      <c r="P22" s="450"/>
      <c r="Q22" s="451"/>
      <c r="R22" s="452"/>
      <c r="S22" s="453"/>
      <c r="T22" s="454"/>
      <c r="U22" s="449"/>
      <c r="V22" s="455"/>
      <c r="W22" s="60"/>
    </row>
    <row r="23" spans="2:23" s="8" customFormat="1" ht="16.5" customHeight="1">
      <c r="B23" s="55"/>
      <c r="C23" s="150"/>
      <c r="D23" s="150"/>
      <c r="E23" s="150"/>
      <c r="F23" s="456"/>
      <c r="G23" s="456"/>
      <c r="H23" s="456"/>
      <c r="I23" s="457"/>
      <c r="J23" s="456"/>
      <c r="K23" s="456"/>
      <c r="L23" s="456"/>
      <c r="M23" s="456"/>
      <c r="N23" s="456"/>
      <c r="O23" s="456"/>
      <c r="P23" s="458"/>
      <c r="Q23" s="459"/>
      <c r="R23" s="460"/>
      <c r="S23" s="461"/>
      <c r="T23" s="462"/>
      <c r="U23" s="456"/>
      <c r="V23" s="463"/>
      <c r="W23" s="60"/>
    </row>
    <row r="24" spans="2:23" s="8" customFormat="1" ht="16.5" customHeight="1">
      <c r="B24" s="55"/>
      <c r="C24" s="150">
        <v>38</v>
      </c>
      <c r="D24" s="150">
        <v>295422</v>
      </c>
      <c r="E24" s="169">
        <v>2805</v>
      </c>
      <c r="F24" s="464" t="s">
        <v>410</v>
      </c>
      <c r="G24" s="464" t="s">
        <v>448</v>
      </c>
      <c r="H24" s="465">
        <v>132</v>
      </c>
      <c r="I24" s="466">
        <f aca="true" t="shared" si="0" ref="I24:I44">IF(H24=500,$G$17,IF(H24=220,$G$18,$G$19))</f>
        <v>220.831</v>
      </c>
      <c r="J24" s="467">
        <v>42339.23888888889</v>
      </c>
      <c r="K24" s="468">
        <v>42339.6125</v>
      </c>
      <c r="L24" s="469">
        <f aca="true" t="shared" si="1" ref="L24:L44">IF(F24="","",(K24-J24)*24)</f>
        <v>8.966666666732635</v>
      </c>
      <c r="M24" s="470">
        <f aca="true" t="shared" si="2" ref="M24:M44">IF(F24="","",ROUND((K24-J24)*24*60,0))</f>
        <v>538</v>
      </c>
      <c r="N24" s="178" t="s">
        <v>332</v>
      </c>
      <c r="O24" s="180" t="str">
        <f aca="true" t="shared" si="3" ref="O24:O44">IF(F24="","",IF(N24="P","--","NO"))</f>
        <v>--</v>
      </c>
      <c r="P24" s="471">
        <f aca="true" t="shared" si="4" ref="P24:P44">IF(H24=500,$H$17,IF(H24=220,$H$18,$H$19))</f>
        <v>40</v>
      </c>
      <c r="Q24" s="472">
        <f aca="true" t="shared" si="5" ref="Q24:Q44">IF(N24="P",I24*P24*ROUND(M24/60,2)*0.1,"--")</f>
        <v>7923.416280000001</v>
      </c>
      <c r="R24" s="460" t="str">
        <f aca="true" t="shared" si="6" ref="R24:R44">IF(AND(N24="F",O24="NO"),I24*P24,"--")</f>
        <v>--</v>
      </c>
      <c r="S24" s="461" t="str">
        <f aca="true" t="shared" si="7" ref="S24:S44">IF(N24="F",I24*P24*ROUND(M24/60,2),"--")</f>
        <v>--</v>
      </c>
      <c r="T24" s="462" t="str">
        <f aca="true" t="shared" si="8" ref="T24:T44">IF(N24="RF",I24*P24*ROUND(M24/60,2),"--")</f>
        <v>--</v>
      </c>
      <c r="U24" s="180" t="str">
        <f aca="true" t="shared" si="9" ref="U24:U43">IF(F24="","","SI")</f>
        <v>SI</v>
      </c>
      <c r="V24" s="473">
        <v>0</v>
      </c>
      <c r="W24" s="60"/>
    </row>
    <row r="25" spans="2:23" s="8" customFormat="1" ht="16.5" customHeight="1">
      <c r="B25" s="55"/>
      <c r="C25" s="150">
        <v>39</v>
      </c>
      <c r="D25" s="150">
        <v>295440</v>
      </c>
      <c r="E25" s="150">
        <v>125</v>
      </c>
      <c r="F25" s="464" t="s">
        <v>449</v>
      </c>
      <c r="G25" s="464" t="s">
        <v>450</v>
      </c>
      <c r="H25" s="465">
        <v>220</v>
      </c>
      <c r="I25" s="466">
        <f t="shared" si="0"/>
        <v>248.394</v>
      </c>
      <c r="J25" s="467">
        <v>42344.319444444445</v>
      </c>
      <c r="K25" s="468">
        <v>42344.73611111111</v>
      </c>
      <c r="L25" s="469">
        <f t="shared" si="1"/>
        <v>9.999999999941792</v>
      </c>
      <c r="M25" s="470">
        <f t="shared" si="2"/>
        <v>600</v>
      </c>
      <c r="N25" s="178" t="s">
        <v>332</v>
      </c>
      <c r="O25" s="180" t="str">
        <f t="shared" si="3"/>
        <v>--</v>
      </c>
      <c r="P25" s="471">
        <f t="shared" si="4"/>
        <v>100</v>
      </c>
      <c r="Q25" s="472">
        <f t="shared" si="5"/>
        <v>24839.4</v>
      </c>
      <c r="R25" s="460" t="str">
        <f t="shared" si="6"/>
        <v>--</v>
      </c>
      <c r="S25" s="461" t="str">
        <f t="shared" si="7"/>
        <v>--</v>
      </c>
      <c r="T25" s="462" t="str">
        <f t="shared" si="8"/>
        <v>--</v>
      </c>
      <c r="U25" s="180" t="str">
        <f t="shared" si="9"/>
        <v>SI</v>
      </c>
      <c r="V25" s="473">
        <v>0</v>
      </c>
      <c r="W25" s="60"/>
    </row>
    <row r="26" spans="2:23" s="8" customFormat="1" ht="16.5" customHeight="1">
      <c r="B26" s="55"/>
      <c r="C26" s="150">
        <v>40</v>
      </c>
      <c r="D26" s="150">
        <v>295610</v>
      </c>
      <c r="E26" s="169">
        <v>2601</v>
      </c>
      <c r="F26" s="464" t="s">
        <v>467</v>
      </c>
      <c r="G26" s="464" t="s">
        <v>451</v>
      </c>
      <c r="H26" s="596">
        <v>500</v>
      </c>
      <c r="I26" s="466">
        <f t="shared" si="0"/>
        <v>276.033</v>
      </c>
      <c r="J26" s="467">
        <v>42345.37430555555</v>
      </c>
      <c r="K26" s="468">
        <v>42345.65902777778</v>
      </c>
      <c r="L26" s="469">
        <f t="shared" si="1"/>
        <v>6.833333333430346</v>
      </c>
      <c r="M26" s="470">
        <f t="shared" si="2"/>
        <v>410</v>
      </c>
      <c r="N26" s="178" t="s">
        <v>332</v>
      </c>
      <c r="O26" s="180" t="str">
        <f t="shared" si="3"/>
        <v>--</v>
      </c>
      <c r="P26" s="471">
        <f t="shared" si="4"/>
        <v>200</v>
      </c>
      <c r="Q26" s="472">
        <f t="shared" si="5"/>
        <v>37706.107800000005</v>
      </c>
      <c r="R26" s="460" t="str">
        <f t="shared" si="6"/>
        <v>--</v>
      </c>
      <c r="S26" s="461" t="str">
        <f t="shared" si="7"/>
        <v>--</v>
      </c>
      <c r="T26" s="462" t="str">
        <f t="shared" si="8"/>
        <v>--</v>
      </c>
      <c r="U26" s="180" t="str">
        <f t="shared" si="9"/>
        <v>SI</v>
      </c>
      <c r="V26" s="473">
        <f>IF(F26="","",SUM(Q26:T26)*IF(U26="SI",1,2))</f>
        <v>37706.107800000005</v>
      </c>
      <c r="W26" s="60"/>
    </row>
    <row r="27" spans="2:23" s="8" customFormat="1" ht="16.5" customHeight="1">
      <c r="B27" s="55"/>
      <c r="C27" s="150">
        <v>41</v>
      </c>
      <c r="D27" s="150">
        <v>295614</v>
      </c>
      <c r="E27" s="169">
        <v>2601</v>
      </c>
      <c r="F27" s="464" t="s">
        <v>467</v>
      </c>
      <c r="G27" s="464" t="s">
        <v>451</v>
      </c>
      <c r="H27" s="596">
        <v>500</v>
      </c>
      <c r="I27" s="466">
        <f t="shared" si="0"/>
        <v>276.033</v>
      </c>
      <c r="J27" s="467">
        <v>42346.319444444445</v>
      </c>
      <c r="K27" s="468">
        <v>42346.47083333333</v>
      </c>
      <c r="L27" s="469">
        <f>IF(F27="","",(K27-J27)*24)</f>
        <v>3.6333333333022892</v>
      </c>
      <c r="M27" s="470">
        <f>IF(F27="","",ROUND((K27-J27)*24*60,0))</f>
        <v>218</v>
      </c>
      <c r="N27" s="178" t="s">
        <v>332</v>
      </c>
      <c r="O27" s="180" t="str">
        <f t="shared" si="3"/>
        <v>--</v>
      </c>
      <c r="P27" s="471">
        <f>IF(H27=500,$H$17,IF(H27=220,$H$18,$H$19))</f>
        <v>200</v>
      </c>
      <c r="Q27" s="472">
        <f>IF(N27="P",I27*P27*ROUND(M27/60,2)*0.1,"--")</f>
        <v>20039.995800000004</v>
      </c>
      <c r="R27" s="460" t="str">
        <f>IF(AND(N27="F",O27="NO"),I27*P27,"--")</f>
        <v>--</v>
      </c>
      <c r="S27" s="461" t="str">
        <f>IF(N27="F",I27*P27*ROUND(M27/60,2),"--")</f>
        <v>--</v>
      </c>
      <c r="T27" s="462" t="str">
        <f>IF(N27="RF",I27*P27*ROUND(M27/60,2),"--")</f>
        <v>--</v>
      </c>
      <c r="U27" s="180" t="str">
        <f t="shared" si="9"/>
        <v>SI</v>
      </c>
      <c r="V27" s="473">
        <f>IF(F27="","",SUM(Q27:T27)*IF(U27="SI",1,2))</f>
        <v>20039.995800000004</v>
      </c>
      <c r="W27" s="60"/>
    </row>
    <row r="28" spans="2:23" s="8" customFormat="1" ht="16.5" customHeight="1">
      <c r="B28" s="55"/>
      <c r="C28" s="150">
        <v>42</v>
      </c>
      <c r="D28" s="150">
        <v>295617</v>
      </c>
      <c r="E28" s="150">
        <v>4919</v>
      </c>
      <c r="F28" s="464" t="s">
        <v>345</v>
      </c>
      <c r="G28" s="464" t="s">
        <v>452</v>
      </c>
      <c r="H28" s="465">
        <v>132</v>
      </c>
      <c r="I28" s="466">
        <f t="shared" si="0"/>
        <v>220.831</v>
      </c>
      <c r="J28" s="467">
        <v>42346.37847222222</v>
      </c>
      <c r="K28" s="468">
        <v>42346.39375</v>
      </c>
      <c r="L28" s="469">
        <f t="shared" si="1"/>
        <v>0.3666666668141261</v>
      </c>
      <c r="M28" s="470">
        <f t="shared" si="2"/>
        <v>22</v>
      </c>
      <c r="N28" s="178" t="s">
        <v>332</v>
      </c>
      <c r="O28" s="180" t="str">
        <f t="shared" si="3"/>
        <v>--</v>
      </c>
      <c r="P28" s="471">
        <f t="shared" si="4"/>
        <v>40</v>
      </c>
      <c r="Q28" s="472">
        <f t="shared" si="5"/>
        <v>326.82988</v>
      </c>
      <c r="R28" s="460" t="str">
        <f t="shared" si="6"/>
        <v>--</v>
      </c>
      <c r="S28" s="461" t="str">
        <f t="shared" si="7"/>
        <v>--</v>
      </c>
      <c r="T28" s="462" t="str">
        <f t="shared" si="8"/>
        <v>--</v>
      </c>
      <c r="U28" s="180" t="str">
        <f t="shared" si="9"/>
        <v>SI</v>
      </c>
      <c r="V28" s="473">
        <v>0</v>
      </c>
      <c r="W28" s="60"/>
    </row>
    <row r="29" spans="2:23" s="8" customFormat="1" ht="16.5" customHeight="1">
      <c r="B29" s="55"/>
      <c r="C29" s="150">
        <v>43</v>
      </c>
      <c r="D29" s="150">
        <v>295619</v>
      </c>
      <c r="E29" s="169">
        <v>3677</v>
      </c>
      <c r="F29" s="464" t="s">
        <v>340</v>
      </c>
      <c r="G29" s="464" t="s">
        <v>343</v>
      </c>
      <c r="H29" s="465">
        <v>132</v>
      </c>
      <c r="I29" s="466">
        <f t="shared" si="0"/>
        <v>220.831</v>
      </c>
      <c r="J29" s="467">
        <v>42347.361805555556</v>
      </c>
      <c r="K29" s="468">
        <v>42347.60972222222</v>
      </c>
      <c r="L29" s="469">
        <f t="shared" si="1"/>
        <v>5.9500000000116415</v>
      </c>
      <c r="M29" s="470">
        <f t="shared" si="2"/>
        <v>357</v>
      </c>
      <c r="N29" s="178" t="s">
        <v>332</v>
      </c>
      <c r="O29" s="180" t="str">
        <f t="shared" si="3"/>
        <v>--</v>
      </c>
      <c r="P29" s="471">
        <f t="shared" si="4"/>
        <v>40</v>
      </c>
      <c r="Q29" s="472">
        <f t="shared" si="5"/>
        <v>5255.7778</v>
      </c>
      <c r="R29" s="460" t="str">
        <f t="shared" si="6"/>
        <v>--</v>
      </c>
      <c r="S29" s="461" t="str">
        <f t="shared" si="7"/>
        <v>--</v>
      </c>
      <c r="T29" s="462" t="str">
        <f t="shared" si="8"/>
        <v>--</v>
      </c>
      <c r="U29" s="180" t="str">
        <f t="shared" si="9"/>
        <v>SI</v>
      </c>
      <c r="V29" s="473">
        <v>0</v>
      </c>
      <c r="W29" s="60"/>
    </row>
    <row r="30" spans="2:23" s="8" customFormat="1" ht="16.5" customHeight="1">
      <c r="B30" s="55"/>
      <c r="C30" s="150">
        <v>44</v>
      </c>
      <c r="D30" s="150">
        <v>295621</v>
      </c>
      <c r="E30" s="150">
        <v>132</v>
      </c>
      <c r="F30" s="464" t="s">
        <v>340</v>
      </c>
      <c r="G30" s="464" t="s">
        <v>453</v>
      </c>
      <c r="H30" s="465">
        <v>132</v>
      </c>
      <c r="I30" s="466">
        <f t="shared" si="0"/>
        <v>220.831</v>
      </c>
      <c r="J30" s="467">
        <v>42348.35555555556</v>
      </c>
      <c r="K30" s="468">
        <v>42348.625</v>
      </c>
      <c r="L30" s="469">
        <f t="shared" si="1"/>
        <v>6.46666666661622</v>
      </c>
      <c r="M30" s="470">
        <f t="shared" si="2"/>
        <v>388</v>
      </c>
      <c r="N30" s="178" t="s">
        <v>332</v>
      </c>
      <c r="O30" s="180" t="str">
        <f t="shared" si="3"/>
        <v>--</v>
      </c>
      <c r="P30" s="471">
        <f t="shared" si="4"/>
        <v>40</v>
      </c>
      <c r="Q30" s="472">
        <f t="shared" si="5"/>
        <v>5715.10628</v>
      </c>
      <c r="R30" s="460" t="str">
        <f t="shared" si="6"/>
        <v>--</v>
      </c>
      <c r="S30" s="461" t="str">
        <f t="shared" si="7"/>
        <v>--</v>
      </c>
      <c r="T30" s="462" t="str">
        <f t="shared" si="8"/>
        <v>--</v>
      </c>
      <c r="U30" s="180" t="str">
        <f t="shared" si="9"/>
        <v>SI</v>
      </c>
      <c r="V30" s="473">
        <v>0</v>
      </c>
      <c r="W30" s="60"/>
    </row>
    <row r="31" spans="2:23" s="8" customFormat="1" ht="16.5" customHeight="1">
      <c r="B31" s="55"/>
      <c r="C31" s="150">
        <v>45</v>
      </c>
      <c r="D31" s="150">
        <v>295625</v>
      </c>
      <c r="E31" s="169">
        <v>131</v>
      </c>
      <c r="F31" s="464" t="s">
        <v>340</v>
      </c>
      <c r="G31" s="464" t="s">
        <v>454</v>
      </c>
      <c r="H31" s="465">
        <v>132</v>
      </c>
      <c r="I31" s="466">
        <f t="shared" si="0"/>
        <v>220.831</v>
      </c>
      <c r="J31" s="467">
        <v>42350.35555555556</v>
      </c>
      <c r="K31" s="468">
        <v>42350.66527777778</v>
      </c>
      <c r="L31" s="469">
        <f t="shared" si="1"/>
        <v>7.433333333290648</v>
      </c>
      <c r="M31" s="470">
        <f t="shared" si="2"/>
        <v>446</v>
      </c>
      <c r="N31" s="178" t="s">
        <v>332</v>
      </c>
      <c r="O31" s="180" t="str">
        <f t="shared" si="3"/>
        <v>--</v>
      </c>
      <c r="P31" s="471">
        <f t="shared" si="4"/>
        <v>40</v>
      </c>
      <c r="Q31" s="472">
        <f t="shared" si="5"/>
        <v>6563.09732</v>
      </c>
      <c r="R31" s="460" t="str">
        <f t="shared" si="6"/>
        <v>--</v>
      </c>
      <c r="S31" s="461" t="str">
        <f t="shared" si="7"/>
        <v>--</v>
      </c>
      <c r="T31" s="462" t="str">
        <f t="shared" si="8"/>
        <v>--</v>
      </c>
      <c r="U31" s="180" t="str">
        <f t="shared" si="9"/>
        <v>SI</v>
      </c>
      <c r="V31" s="473">
        <f>IF(F31="","",SUM(Q31:T31)*IF(U31="SI",1,2))</f>
        <v>6563.09732</v>
      </c>
      <c r="W31" s="60"/>
    </row>
    <row r="32" spans="2:23" s="8" customFormat="1" ht="16.5" customHeight="1">
      <c r="B32" s="55"/>
      <c r="C32" s="150">
        <v>46</v>
      </c>
      <c r="D32" s="150">
        <v>295627</v>
      </c>
      <c r="E32" s="150">
        <v>3664</v>
      </c>
      <c r="F32" s="464" t="s">
        <v>346</v>
      </c>
      <c r="G32" s="464" t="s">
        <v>455</v>
      </c>
      <c r="H32" s="465">
        <v>132</v>
      </c>
      <c r="I32" s="466">
        <f t="shared" si="0"/>
        <v>220.831</v>
      </c>
      <c r="J32" s="467">
        <v>42350.525</v>
      </c>
      <c r="K32" s="468">
        <v>42350.54236111111</v>
      </c>
      <c r="L32" s="469">
        <f t="shared" si="1"/>
        <v>0.41666666662786156</v>
      </c>
      <c r="M32" s="470">
        <f t="shared" si="2"/>
        <v>25</v>
      </c>
      <c r="N32" s="178" t="s">
        <v>335</v>
      </c>
      <c r="O32" s="180" t="str">
        <f t="shared" si="3"/>
        <v>NO</v>
      </c>
      <c r="P32" s="471">
        <f t="shared" si="4"/>
        <v>40</v>
      </c>
      <c r="Q32" s="472" t="str">
        <f t="shared" si="5"/>
        <v>--</v>
      </c>
      <c r="R32" s="460">
        <f t="shared" si="6"/>
        <v>8833.24</v>
      </c>
      <c r="S32" s="461">
        <f t="shared" si="7"/>
        <v>3709.9608</v>
      </c>
      <c r="T32" s="462" t="str">
        <f t="shared" si="8"/>
        <v>--</v>
      </c>
      <c r="U32" s="180" t="str">
        <f t="shared" si="9"/>
        <v>SI</v>
      </c>
      <c r="V32" s="473">
        <f>IF(F32="","",SUM(Q32:T32)*IF(U32="SI",1,2))</f>
        <v>12543.200799999999</v>
      </c>
      <c r="W32" s="60"/>
    </row>
    <row r="33" spans="2:23" s="8" customFormat="1" ht="16.5" customHeight="1">
      <c r="B33" s="55"/>
      <c r="C33" s="150">
        <v>47</v>
      </c>
      <c r="D33" s="150">
        <v>295626</v>
      </c>
      <c r="E33" s="169">
        <v>3777</v>
      </c>
      <c r="F33" s="464" t="s">
        <v>346</v>
      </c>
      <c r="G33" s="464" t="s">
        <v>456</v>
      </c>
      <c r="H33" s="465">
        <v>132</v>
      </c>
      <c r="I33" s="466">
        <f t="shared" si="0"/>
        <v>220.831</v>
      </c>
      <c r="J33" s="467">
        <v>42350.525</v>
      </c>
      <c r="K33" s="468">
        <v>42350.55902777778</v>
      </c>
      <c r="L33" s="469">
        <f t="shared" si="1"/>
        <v>0.8166666667093523</v>
      </c>
      <c r="M33" s="470">
        <f t="shared" si="2"/>
        <v>49</v>
      </c>
      <c r="N33" s="178" t="s">
        <v>335</v>
      </c>
      <c r="O33" s="180" t="str">
        <f t="shared" si="3"/>
        <v>NO</v>
      </c>
      <c r="P33" s="471">
        <f t="shared" si="4"/>
        <v>40</v>
      </c>
      <c r="Q33" s="472" t="str">
        <f t="shared" si="5"/>
        <v>--</v>
      </c>
      <c r="R33" s="460">
        <f t="shared" si="6"/>
        <v>8833.24</v>
      </c>
      <c r="S33" s="461">
        <f t="shared" si="7"/>
        <v>7243.256799999999</v>
      </c>
      <c r="T33" s="462" t="str">
        <f t="shared" si="8"/>
        <v>--</v>
      </c>
      <c r="U33" s="180" t="str">
        <f t="shared" si="9"/>
        <v>SI</v>
      </c>
      <c r="V33" s="473">
        <f>IF(F33="","",SUM(Q33:T33)*IF(U33="SI",1,2))</f>
        <v>16076.496799999999</v>
      </c>
      <c r="W33" s="60"/>
    </row>
    <row r="34" spans="2:23" s="8" customFormat="1" ht="16.5" customHeight="1">
      <c r="B34" s="55"/>
      <c r="C34" s="150"/>
      <c r="D34" s="150"/>
      <c r="E34" s="150"/>
      <c r="F34" s="464"/>
      <c r="G34" s="464"/>
      <c r="H34" s="465"/>
      <c r="I34" s="466"/>
      <c r="J34" s="467"/>
      <c r="K34" s="468"/>
      <c r="L34" s="469"/>
      <c r="M34" s="470"/>
      <c r="N34" s="178"/>
      <c r="O34" s="180"/>
      <c r="P34" s="471"/>
      <c r="Q34" s="472"/>
      <c r="R34" s="460"/>
      <c r="S34" s="461"/>
      <c r="T34" s="462"/>
      <c r="U34" s="180"/>
      <c r="V34" s="473"/>
      <c r="W34" s="60"/>
    </row>
    <row r="35" spans="2:23" s="8" customFormat="1" ht="16.5" customHeight="1">
      <c r="B35" s="55"/>
      <c r="C35" s="150">
        <v>49</v>
      </c>
      <c r="D35" s="150">
        <v>296005</v>
      </c>
      <c r="E35" s="169">
        <v>128</v>
      </c>
      <c r="F35" s="464" t="s">
        <v>449</v>
      </c>
      <c r="G35" s="464" t="s">
        <v>457</v>
      </c>
      <c r="H35" s="465">
        <v>132</v>
      </c>
      <c r="I35" s="466">
        <f t="shared" si="0"/>
        <v>220.831</v>
      </c>
      <c r="J35" s="467">
        <v>42356.04305555556</v>
      </c>
      <c r="K35" s="468">
        <v>42356.13680555556</v>
      </c>
      <c r="L35" s="469">
        <f t="shared" si="1"/>
        <v>2.25</v>
      </c>
      <c r="M35" s="470">
        <f t="shared" si="2"/>
        <v>135</v>
      </c>
      <c r="N35" s="178" t="s">
        <v>332</v>
      </c>
      <c r="O35" s="180" t="str">
        <f t="shared" si="3"/>
        <v>--</v>
      </c>
      <c r="P35" s="471">
        <f t="shared" si="4"/>
        <v>40</v>
      </c>
      <c r="Q35" s="472">
        <f t="shared" si="5"/>
        <v>1987.4790000000003</v>
      </c>
      <c r="R35" s="460" t="str">
        <f t="shared" si="6"/>
        <v>--</v>
      </c>
      <c r="S35" s="461" t="str">
        <f t="shared" si="7"/>
        <v>--</v>
      </c>
      <c r="T35" s="462" t="str">
        <f t="shared" si="8"/>
        <v>--</v>
      </c>
      <c r="U35" s="180" t="str">
        <f t="shared" si="9"/>
        <v>SI</v>
      </c>
      <c r="V35" s="473">
        <v>0</v>
      </c>
      <c r="W35" s="60"/>
    </row>
    <row r="36" spans="2:23" s="8" customFormat="1" ht="16.5" customHeight="1">
      <c r="B36" s="55"/>
      <c r="C36" s="150">
        <v>50</v>
      </c>
      <c r="D36" s="150">
        <v>296006</v>
      </c>
      <c r="E36" s="150">
        <v>129</v>
      </c>
      <c r="F36" s="464" t="s">
        <v>449</v>
      </c>
      <c r="G36" s="464" t="s">
        <v>458</v>
      </c>
      <c r="H36" s="465">
        <v>132</v>
      </c>
      <c r="I36" s="466">
        <f t="shared" si="0"/>
        <v>220.831</v>
      </c>
      <c r="J36" s="467">
        <v>42356.138194444444</v>
      </c>
      <c r="K36" s="468">
        <v>42356.228472222225</v>
      </c>
      <c r="L36" s="469">
        <f t="shared" si="1"/>
        <v>2.166666666744277</v>
      </c>
      <c r="M36" s="470">
        <f t="shared" si="2"/>
        <v>130</v>
      </c>
      <c r="N36" s="178" t="s">
        <v>332</v>
      </c>
      <c r="O36" s="180" t="str">
        <f t="shared" si="3"/>
        <v>--</v>
      </c>
      <c r="P36" s="471">
        <f t="shared" si="4"/>
        <v>40</v>
      </c>
      <c r="Q36" s="472">
        <f t="shared" si="5"/>
        <v>1916.81308</v>
      </c>
      <c r="R36" s="460" t="str">
        <f t="shared" si="6"/>
        <v>--</v>
      </c>
      <c r="S36" s="461" t="str">
        <f t="shared" si="7"/>
        <v>--</v>
      </c>
      <c r="T36" s="462" t="str">
        <f t="shared" si="8"/>
        <v>--</v>
      </c>
      <c r="U36" s="180" t="str">
        <f t="shared" si="9"/>
        <v>SI</v>
      </c>
      <c r="V36" s="473">
        <v>0</v>
      </c>
      <c r="W36" s="60"/>
    </row>
    <row r="37" spans="2:23" s="8" customFormat="1" ht="16.5" customHeight="1">
      <c r="B37" s="55"/>
      <c r="C37" s="150">
        <v>51</v>
      </c>
      <c r="D37" s="150">
        <v>296008</v>
      </c>
      <c r="E37" s="169">
        <v>85</v>
      </c>
      <c r="F37" s="464" t="s">
        <v>459</v>
      </c>
      <c r="G37" s="464" t="s">
        <v>460</v>
      </c>
      <c r="H37" s="465">
        <v>500</v>
      </c>
      <c r="I37" s="466">
        <f t="shared" si="0"/>
        <v>276.033</v>
      </c>
      <c r="J37" s="467">
        <v>42357.083333333336</v>
      </c>
      <c r="K37" s="468">
        <v>42357.5</v>
      </c>
      <c r="L37" s="469">
        <f t="shared" si="1"/>
        <v>9.999999999941792</v>
      </c>
      <c r="M37" s="470">
        <f t="shared" si="2"/>
        <v>600</v>
      </c>
      <c r="N37" s="178" t="s">
        <v>332</v>
      </c>
      <c r="O37" s="180" t="str">
        <f t="shared" si="3"/>
        <v>--</v>
      </c>
      <c r="P37" s="471">
        <f t="shared" si="4"/>
        <v>200</v>
      </c>
      <c r="Q37" s="472">
        <f t="shared" si="5"/>
        <v>55206.600000000006</v>
      </c>
      <c r="R37" s="460" t="str">
        <f t="shared" si="6"/>
        <v>--</v>
      </c>
      <c r="S37" s="461" t="str">
        <f t="shared" si="7"/>
        <v>--</v>
      </c>
      <c r="T37" s="462" t="str">
        <f t="shared" si="8"/>
        <v>--</v>
      </c>
      <c r="U37" s="180" t="str">
        <f t="shared" si="9"/>
        <v>SI</v>
      </c>
      <c r="V37" s="473">
        <v>0</v>
      </c>
      <c r="W37" s="60"/>
    </row>
    <row r="38" spans="2:23" s="8" customFormat="1" ht="16.5" customHeight="1">
      <c r="B38" s="55"/>
      <c r="C38" s="150">
        <v>52</v>
      </c>
      <c r="D38" s="150">
        <v>296013</v>
      </c>
      <c r="E38" s="150">
        <v>3664</v>
      </c>
      <c r="F38" s="464" t="s">
        <v>346</v>
      </c>
      <c r="G38" s="464" t="s">
        <v>455</v>
      </c>
      <c r="H38" s="465">
        <v>132</v>
      </c>
      <c r="I38" s="466">
        <f t="shared" si="0"/>
        <v>220.831</v>
      </c>
      <c r="J38" s="467">
        <v>42358.236805555556</v>
      </c>
      <c r="K38" s="468">
        <v>42358.50555555556</v>
      </c>
      <c r="L38" s="469">
        <f t="shared" si="1"/>
        <v>6.450000000069849</v>
      </c>
      <c r="M38" s="470">
        <f t="shared" si="2"/>
        <v>387</v>
      </c>
      <c r="N38" s="178" t="s">
        <v>332</v>
      </c>
      <c r="O38" s="180" t="str">
        <f t="shared" si="3"/>
        <v>--</v>
      </c>
      <c r="P38" s="471">
        <f t="shared" si="4"/>
        <v>40</v>
      </c>
      <c r="Q38" s="472">
        <f t="shared" si="5"/>
        <v>5697.4398</v>
      </c>
      <c r="R38" s="460" t="str">
        <f t="shared" si="6"/>
        <v>--</v>
      </c>
      <c r="S38" s="461" t="str">
        <f t="shared" si="7"/>
        <v>--</v>
      </c>
      <c r="T38" s="462" t="str">
        <f t="shared" si="8"/>
        <v>--</v>
      </c>
      <c r="U38" s="180" t="str">
        <f t="shared" si="9"/>
        <v>SI</v>
      </c>
      <c r="V38" s="473">
        <f>IF(F38="","",SUM(Q38:T38)*IF(U38="SI",1,2))</f>
        <v>5697.4398</v>
      </c>
      <c r="W38" s="60"/>
    </row>
    <row r="39" spans="2:23" s="8" customFormat="1" ht="16.5" customHeight="1">
      <c r="B39" s="55"/>
      <c r="C39" s="150">
        <v>53</v>
      </c>
      <c r="D39" s="150">
        <v>296014</v>
      </c>
      <c r="E39" s="169">
        <v>4265</v>
      </c>
      <c r="F39" s="464" t="s">
        <v>411</v>
      </c>
      <c r="G39" s="464" t="s">
        <v>461</v>
      </c>
      <c r="H39" s="596">
        <v>132</v>
      </c>
      <c r="I39" s="466">
        <f t="shared" si="0"/>
        <v>220.831</v>
      </c>
      <c r="J39" s="467">
        <v>42358.313888888886</v>
      </c>
      <c r="K39" s="468">
        <v>42358.41458333333</v>
      </c>
      <c r="L39" s="469">
        <f t="shared" si="1"/>
        <v>2.416666666686069</v>
      </c>
      <c r="M39" s="470">
        <f t="shared" si="2"/>
        <v>145</v>
      </c>
      <c r="N39" s="178" t="s">
        <v>332</v>
      </c>
      <c r="O39" s="180" t="str">
        <f t="shared" si="3"/>
        <v>--</v>
      </c>
      <c r="P39" s="471">
        <f t="shared" si="4"/>
        <v>40</v>
      </c>
      <c r="Q39" s="472">
        <f t="shared" si="5"/>
        <v>2137.64408</v>
      </c>
      <c r="R39" s="460" t="str">
        <f t="shared" si="6"/>
        <v>--</v>
      </c>
      <c r="S39" s="461" t="str">
        <f t="shared" si="7"/>
        <v>--</v>
      </c>
      <c r="T39" s="462" t="str">
        <f t="shared" si="8"/>
        <v>--</v>
      </c>
      <c r="U39" s="180" t="str">
        <f t="shared" si="9"/>
        <v>SI</v>
      </c>
      <c r="V39" s="473">
        <v>0</v>
      </c>
      <c r="W39" s="60"/>
    </row>
    <row r="40" spans="2:23" s="8" customFormat="1" ht="16.5" customHeight="1">
      <c r="B40" s="55"/>
      <c r="C40" s="150">
        <v>54</v>
      </c>
      <c r="D40" s="150">
        <v>296016</v>
      </c>
      <c r="E40" s="150">
        <v>3266</v>
      </c>
      <c r="F40" s="464" t="s">
        <v>462</v>
      </c>
      <c r="G40" s="464" t="s">
        <v>463</v>
      </c>
      <c r="H40" s="465">
        <v>132</v>
      </c>
      <c r="I40" s="466">
        <f t="shared" si="0"/>
        <v>220.831</v>
      </c>
      <c r="J40" s="467">
        <v>42358.339583333334</v>
      </c>
      <c r="K40" s="468">
        <v>42358.42986111111</v>
      </c>
      <c r="L40" s="469">
        <f t="shared" si="1"/>
        <v>2.166666666569654</v>
      </c>
      <c r="M40" s="470">
        <f t="shared" si="2"/>
        <v>130</v>
      </c>
      <c r="N40" s="178" t="s">
        <v>332</v>
      </c>
      <c r="O40" s="180" t="str">
        <f t="shared" si="3"/>
        <v>--</v>
      </c>
      <c r="P40" s="471">
        <f t="shared" si="4"/>
        <v>40</v>
      </c>
      <c r="Q40" s="472">
        <f t="shared" si="5"/>
        <v>1916.81308</v>
      </c>
      <c r="R40" s="460" t="str">
        <f t="shared" si="6"/>
        <v>--</v>
      </c>
      <c r="S40" s="461" t="str">
        <f t="shared" si="7"/>
        <v>--</v>
      </c>
      <c r="T40" s="462" t="str">
        <f t="shared" si="8"/>
        <v>--</v>
      </c>
      <c r="U40" s="180" t="str">
        <f t="shared" si="9"/>
        <v>SI</v>
      </c>
      <c r="V40" s="473">
        <v>0</v>
      </c>
      <c r="W40" s="60"/>
    </row>
    <row r="41" spans="2:23" s="8" customFormat="1" ht="16.5" customHeight="1">
      <c r="B41" s="55"/>
      <c r="C41" s="150">
        <v>55</v>
      </c>
      <c r="D41" s="150">
        <v>296264</v>
      </c>
      <c r="E41" s="169">
        <v>88</v>
      </c>
      <c r="F41" s="464" t="s">
        <v>464</v>
      </c>
      <c r="G41" s="464" t="s">
        <v>465</v>
      </c>
      <c r="H41" s="596">
        <v>500</v>
      </c>
      <c r="I41" s="466">
        <f t="shared" si="0"/>
        <v>276.033</v>
      </c>
      <c r="J41" s="467">
        <v>42360.51527777778</v>
      </c>
      <c r="K41" s="468">
        <v>42360.53055555555</v>
      </c>
      <c r="L41" s="469">
        <f t="shared" si="1"/>
        <v>0.3666666666395031</v>
      </c>
      <c r="M41" s="470">
        <f t="shared" si="2"/>
        <v>22</v>
      </c>
      <c r="N41" s="178" t="s">
        <v>335</v>
      </c>
      <c r="O41" s="180" t="s">
        <v>77</v>
      </c>
      <c r="P41" s="471">
        <f t="shared" si="4"/>
        <v>200</v>
      </c>
      <c r="Q41" s="472" t="str">
        <f t="shared" si="5"/>
        <v>--</v>
      </c>
      <c r="R41" s="460" t="str">
        <f t="shared" si="6"/>
        <v>--</v>
      </c>
      <c r="S41" s="461">
        <f t="shared" si="7"/>
        <v>20426.442000000003</v>
      </c>
      <c r="T41" s="462" t="str">
        <f t="shared" si="8"/>
        <v>--</v>
      </c>
      <c r="U41" s="180" t="str">
        <f t="shared" si="9"/>
        <v>SI</v>
      </c>
      <c r="V41" s="473">
        <f>IF(F41="","",SUM(Q41:T41)*IF(U41="SI",1,2))</f>
        <v>20426.442000000003</v>
      </c>
      <c r="W41" s="60"/>
    </row>
    <row r="42" spans="2:23" s="8" customFormat="1" ht="16.5" customHeight="1">
      <c r="B42" s="55"/>
      <c r="C42" s="150">
        <v>56</v>
      </c>
      <c r="D42" s="150">
        <v>296271</v>
      </c>
      <c r="E42" s="150">
        <v>3455</v>
      </c>
      <c r="F42" s="464" t="s">
        <v>340</v>
      </c>
      <c r="G42" s="464" t="s">
        <v>466</v>
      </c>
      <c r="H42" s="465">
        <v>132</v>
      </c>
      <c r="I42" s="466">
        <f t="shared" si="0"/>
        <v>220.831</v>
      </c>
      <c r="J42" s="467">
        <v>42365.23472222222</v>
      </c>
      <c r="K42" s="468">
        <v>42365.472916666666</v>
      </c>
      <c r="L42" s="469">
        <f t="shared" si="1"/>
        <v>5.71666666661622</v>
      </c>
      <c r="M42" s="470">
        <f t="shared" si="2"/>
        <v>343</v>
      </c>
      <c r="N42" s="178" t="s">
        <v>335</v>
      </c>
      <c r="O42" s="180" t="str">
        <f t="shared" si="3"/>
        <v>NO</v>
      </c>
      <c r="P42" s="471">
        <f t="shared" si="4"/>
        <v>40</v>
      </c>
      <c r="Q42" s="472" t="str">
        <f t="shared" si="5"/>
        <v>--</v>
      </c>
      <c r="R42" s="460">
        <f t="shared" si="6"/>
        <v>8833.24</v>
      </c>
      <c r="S42" s="461">
        <f t="shared" si="7"/>
        <v>50526.1328</v>
      </c>
      <c r="T42" s="462" t="str">
        <f t="shared" si="8"/>
        <v>--</v>
      </c>
      <c r="U42" s="180" t="str">
        <f t="shared" si="9"/>
        <v>SI</v>
      </c>
      <c r="V42" s="473">
        <f>IF(F42="","",SUM(Q42:T42)*IF(U42="SI",1,2))</f>
        <v>59359.3728</v>
      </c>
      <c r="W42" s="60"/>
    </row>
    <row r="43" spans="2:23" s="8" customFormat="1" ht="16.5" customHeight="1">
      <c r="B43" s="55"/>
      <c r="C43" s="150">
        <v>57</v>
      </c>
      <c r="D43" s="150">
        <v>296274</v>
      </c>
      <c r="E43" s="169">
        <v>88</v>
      </c>
      <c r="F43" s="464" t="s">
        <v>464</v>
      </c>
      <c r="G43" s="464" t="s">
        <v>465</v>
      </c>
      <c r="H43" s="596">
        <v>500</v>
      </c>
      <c r="I43" s="466">
        <f t="shared" si="0"/>
        <v>276.033</v>
      </c>
      <c r="J43" s="467">
        <v>42365.49375</v>
      </c>
      <c r="K43" s="468">
        <v>42365.649305555555</v>
      </c>
      <c r="L43" s="469">
        <f t="shared" si="1"/>
        <v>3.733333333279006</v>
      </c>
      <c r="M43" s="470">
        <f t="shared" si="2"/>
        <v>224</v>
      </c>
      <c r="N43" s="178" t="s">
        <v>332</v>
      </c>
      <c r="O43" s="180" t="str">
        <f t="shared" si="3"/>
        <v>--</v>
      </c>
      <c r="P43" s="471">
        <f t="shared" si="4"/>
        <v>200</v>
      </c>
      <c r="Q43" s="472">
        <f t="shared" si="5"/>
        <v>20592.061800000003</v>
      </c>
      <c r="R43" s="460" t="str">
        <f t="shared" si="6"/>
        <v>--</v>
      </c>
      <c r="S43" s="461" t="str">
        <f t="shared" si="7"/>
        <v>--</v>
      </c>
      <c r="T43" s="462" t="str">
        <f t="shared" si="8"/>
        <v>--</v>
      </c>
      <c r="U43" s="180" t="str">
        <f t="shared" si="9"/>
        <v>SI</v>
      </c>
      <c r="V43" s="473">
        <f>IF(F43="","",SUM(Q43:T43)*IF(U43="SI",1,2))</f>
        <v>20592.061800000003</v>
      </c>
      <c r="W43" s="60"/>
    </row>
    <row r="44" spans="2:23" s="8" customFormat="1" ht="16.5" customHeight="1">
      <c r="B44" s="55"/>
      <c r="C44" s="150"/>
      <c r="D44" s="150"/>
      <c r="E44" s="150"/>
      <c r="F44" s="464"/>
      <c r="G44" s="464"/>
      <c r="H44" s="465"/>
      <c r="I44" s="466">
        <f t="shared" si="0"/>
        <v>220.831</v>
      </c>
      <c r="J44" s="467"/>
      <c r="K44" s="468"/>
      <c r="L44" s="469">
        <f t="shared" si="1"/>
      </c>
      <c r="M44" s="470">
        <f t="shared" si="2"/>
      </c>
      <c r="N44" s="178"/>
      <c r="O44" s="180">
        <f t="shared" si="3"/>
      </c>
      <c r="P44" s="471">
        <f t="shared" si="4"/>
        <v>40</v>
      </c>
      <c r="Q44" s="472" t="str">
        <f t="shared" si="5"/>
        <v>--</v>
      </c>
      <c r="R44" s="460" t="str">
        <f t="shared" si="6"/>
        <v>--</v>
      </c>
      <c r="S44" s="461" t="str">
        <f t="shared" si="7"/>
        <v>--</v>
      </c>
      <c r="T44" s="462" t="str">
        <f t="shared" si="8"/>
        <v>--</v>
      </c>
      <c r="U44" s="180">
        <f>IF(F44="","","SI")</f>
      </c>
      <c r="V44" s="473">
        <f>IF(F44="","",SUM(Q44:T44)*IF(U44="SI",1,2))</f>
      </c>
      <c r="W44" s="60"/>
    </row>
    <row r="45" spans="2:23" s="8" customFormat="1" ht="16.5" customHeight="1" thickBot="1">
      <c r="B45" s="55"/>
      <c r="C45" s="208"/>
      <c r="D45" s="208"/>
      <c r="E45" s="208"/>
      <c r="F45" s="208"/>
      <c r="G45" s="208"/>
      <c r="H45" s="208"/>
      <c r="I45" s="382"/>
      <c r="J45" s="474"/>
      <c r="K45" s="474"/>
      <c r="L45" s="475"/>
      <c r="M45" s="475"/>
      <c r="N45" s="474"/>
      <c r="O45" s="215"/>
      <c r="P45" s="476"/>
      <c r="Q45" s="477"/>
      <c r="R45" s="478"/>
      <c r="S45" s="479"/>
      <c r="T45" s="480"/>
      <c r="U45" s="215"/>
      <c r="V45" s="481"/>
      <c r="W45" s="60"/>
    </row>
    <row r="46" spans="2:23" s="8" customFormat="1" ht="16.5" customHeight="1" thickBot="1" thickTop="1">
      <c r="B46" s="55"/>
      <c r="C46" s="229" t="s">
        <v>322</v>
      </c>
      <c r="D46" s="270" t="s">
        <v>366</v>
      </c>
      <c r="E46" s="229"/>
      <c r="F46" s="230"/>
      <c r="G46" s="9"/>
      <c r="H46" s="11"/>
      <c r="I46" s="11"/>
      <c r="J46" s="11"/>
      <c r="K46" s="11"/>
      <c r="L46" s="11"/>
      <c r="M46" s="11"/>
      <c r="N46" s="11"/>
      <c r="O46" s="11"/>
      <c r="P46" s="11"/>
      <c r="Q46" s="482">
        <f>SUM(Q22:Q45)</f>
        <v>197824.58200000002</v>
      </c>
      <c r="R46" s="483">
        <f>SUM(R22:R45)</f>
        <v>26499.72</v>
      </c>
      <c r="S46" s="484">
        <f>SUM(S22:S45)</f>
        <v>81905.7924</v>
      </c>
      <c r="T46" s="485">
        <f>SUM(T22:T45)</f>
        <v>0</v>
      </c>
      <c r="U46" s="486"/>
      <c r="V46" s="487">
        <f>ROUND(SUM(V22:V45),2)</f>
        <v>199004.21</v>
      </c>
      <c r="W46" s="60"/>
    </row>
    <row r="47" spans="2:23" s="8" customFormat="1" ht="16.5" customHeight="1" thickBot="1" thickTop="1"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</row>
    <row r="48" spans="23:25" ht="16.5" customHeight="1" thickTop="1">
      <c r="W48" s="413"/>
      <c r="X48" s="413"/>
      <c r="Y48" s="413"/>
    </row>
    <row r="49" spans="23:25" ht="16.5" customHeight="1">
      <c r="W49" s="413"/>
      <c r="X49" s="413"/>
      <c r="Y49" s="413"/>
    </row>
    <row r="50" spans="23:25" ht="16.5" customHeight="1">
      <c r="W50" s="413"/>
      <c r="X50" s="413"/>
      <c r="Y50" s="413"/>
    </row>
    <row r="51" spans="23:25" ht="16.5" customHeight="1">
      <c r="W51" s="413"/>
      <c r="X51" s="413"/>
      <c r="Y51" s="413"/>
    </row>
    <row r="52" spans="23:25" ht="16.5" customHeight="1">
      <c r="W52" s="413"/>
      <c r="X52" s="413"/>
      <c r="Y52" s="413"/>
    </row>
    <row r="53" spans="6:25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</row>
    <row r="54" spans="6:25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</row>
    <row r="55" spans="6:25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</row>
    <row r="56" spans="6:25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6:25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</row>
    <row r="58" spans="6:25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6:25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</row>
    <row r="60" spans="6:25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</row>
    <row r="61" spans="6:25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</row>
    <row r="62" spans="6:25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</row>
    <row r="63" spans="6:25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</row>
    <row r="64" spans="6:25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6:25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6:25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</row>
    <row r="67" spans="6:25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</row>
    <row r="68" spans="6:25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</row>
    <row r="69" spans="6:25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</row>
    <row r="70" spans="6:25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</row>
    <row r="71" spans="6:25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</row>
    <row r="72" spans="6:25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</row>
    <row r="73" spans="6:25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</row>
    <row r="74" spans="6:25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</row>
    <row r="75" spans="6:25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6:25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</row>
    <row r="77" spans="6:25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</row>
    <row r="78" spans="6:25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</row>
    <row r="79" spans="6:25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</row>
    <row r="80" spans="6:25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</row>
    <row r="81" spans="6:25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</row>
    <row r="82" spans="6:25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</row>
    <row r="83" spans="6:25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</row>
    <row r="84" spans="6:25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</row>
    <row r="85" spans="6:25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</row>
    <row r="86" spans="6:25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</row>
    <row r="87" spans="6:25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</row>
    <row r="88" spans="6:25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</row>
    <row r="89" spans="6:25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</row>
    <row r="90" spans="6:25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</row>
    <row r="91" spans="6:25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</row>
    <row r="92" spans="6:25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</row>
    <row r="93" spans="6:25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</row>
    <row r="94" spans="6:25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</row>
    <row r="95" spans="6:25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</row>
    <row r="96" spans="6:25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</row>
    <row r="97" spans="6:25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</row>
    <row r="98" spans="6:25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</row>
    <row r="99" spans="6:25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</row>
    <row r="100" spans="6:25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</row>
    <row r="101" spans="6:25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</row>
    <row r="102" spans="6:25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</row>
    <row r="103" spans="6:25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</row>
    <row r="104" spans="6:25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</row>
    <row r="105" spans="6:25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</row>
    <row r="106" spans="6:25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</row>
    <row r="107" spans="6:25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</row>
    <row r="108" spans="6:25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</row>
    <row r="109" spans="6:25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</row>
    <row r="110" spans="6:25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</row>
    <row r="111" spans="6:25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</row>
    <row r="112" spans="6:25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</row>
    <row r="113" spans="6:25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</row>
    <row r="114" spans="6:25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</row>
    <row r="115" spans="6:25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</row>
    <row r="116" spans="6:25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</row>
    <row r="117" spans="6:25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</row>
    <row r="118" spans="6:25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</row>
    <row r="119" spans="6:25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</row>
    <row r="120" spans="6:25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</row>
    <row r="121" spans="6:25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</row>
    <row r="122" spans="6:25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</row>
    <row r="123" spans="6:25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</row>
    <row r="124" spans="6:25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</row>
    <row r="125" spans="6:25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</row>
    <row r="126" spans="6:25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</row>
    <row r="127" spans="6:25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</row>
    <row r="128" spans="6:25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</row>
    <row r="129" spans="6:25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</row>
    <row r="130" spans="6:25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</row>
    <row r="131" spans="6:25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</row>
    <row r="132" spans="6:25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</row>
    <row r="133" spans="6:25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</row>
    <row r="134" spans="6:25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</row>
    <row r="135" spans="6:25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</row>
    <row r="136" spans="6:25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</row>
    <row r="137" spans="6:25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</row>
    <row r="138" spans="6:25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</row>
    <row r="139" spans="6:25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</row>
    <row r="140" spans="6:25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</row>
    <row r="141" spans="6:25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</row>
    <row r="142" spans="6:25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</row>
    <row r="143" spans="6:25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</row>
    <row r="144" spans="6:25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</row>
    <row r="145" spans="6:25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</row>
    <row r="146" spans="6:25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</row>
    <row r="147" spans="6:25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</row>
    <row r="148" spans="6:25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</row>
    <row r="149" spans="6:25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</row>
    <row r="150" spans="6:25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</row>
    <row r="151" spans="6:25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</row>
    <row r="152" spans="6:25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</row>
    <row r="153" spans="6:25" ht="16.5" customHeight="1"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</row>
    <row r="154" spans="6:25" ht="16.5" customHeight="1"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  <c r="Y154" s="413"/>
    </row>
    <row r="155" spans="6:25" ht="16.5" customHeight="1"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</row>
    <row r="156" spans="6:25" ht="16.5" customHeight="1"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  <c r="Y156" s="413"/>
    </row>
    <row r="157" spans="6:25" ht="16.5" customHeight="1"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</row>
    <row r="158" spans="6:25" ht="16.5" customHeight="1">
      <c r="F158" s="413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3"/>
      <c r="T158" s="413"/>
      <c r="U158" s="413"/>
      <c r="V158" s="413"/>
      <c r="W158" s="413"/>
      <c r="X158" s="413"/>
      <c r="Y158" s="413"/>
    </row>
    <row r="159" spans="6:25" ht="16.5" customHeight="1"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</row>
    <row r="160" spans="6:25" ht="16.5" customHeight="1">
      <c r="F160" s="413"/>
      <c r="G160" s="413"/>
      <c r="H160" s="413"/>
      <c r="I160" s="413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  <c r="T160" s="413"/>
      <c r="U160" s="413"/>
      <c r="V160" s="413"/>
      <c r="W160" s="413"/>
      <c r="X160" s="413"/>
      <c r="Y160" s="413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9" scale="62" r:id="rId4"/>
  <headerFooter alignWithMargins="0">
    <oddFooter>&amp;L&amp;"Times New Roman,Normal"&amp;8&amp;Z&amp;F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60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7.421875" style="9" hidden="1" customWidth="1"/>
    <col min="10" max="11" width="15.7109375" style="9" customWidth="1"/>
    <col min="12" max="14" width="9.7109375" style="9" customWidth="1"/>
    <col min="15" max="15" width="5.421875" style="9" bestFit="1" customWidth="1"/>
    <col min="16" max="16" width="4.8515625" style="9" hidden="1" customWidth="1"/>
    <col min="17" max="17" width="11.8515625" style="9" hidden="1" customWidth="1"/>
    <col min="18" max="19" width="9.421875" style="9" hidden="1" customWidth="1"/>
    <col min="20" max="20" width="11.57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+'TOT-1215'!B2</f>
        <v>ANEXO I al Memorándum D.T.E.E. N°  231  / 2017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19"/>
    </row>
    <row r="8" spans="2:23" s="18" customFormat="1" ht="20.25">
      <c r="B8" s="95"/>
      <c r="C8" s="23"/>
      <c r="D8" s="23"/>
      <c r="E8" s="23"/>
      <c r="F8" s="420" t="s">
        <v>20</v>
      </c>
      <c r="N8" s="283"/>
      <c r="O8" s="283"/>
      <c r="P8" s="285"/>
      <c r="Q8" s="23"/>
      <c r="R8" s="23"/>
      <c r="S8" s="23"/>
      <c r="T8" s="23"/>
      <c r="U8" s="23"/>
      <c r="V8" s="23"/>
      <c r="W8" s="421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22" t="s">
        <v>62</v>
      </c>
      <c r="G10" s="423"/>
      <c r="H10" s="283"/>
      <c r="I10" s="424"/>
      <c r="K10" s="424"/>
      <c r="L10" s="424"/>
      <c r="M10" s="424"/>
      <c r="N10" s="424"/>
      <c r="O10" s="424"/>
      <c r="P10" s="424"/>
      <c r="Q10" s="23"/>
      <c r="R10" s="23"/>
      <c r="S10" s="23"/>
      <c r="T10" s="23"/>
      <c r="U10" s="23"/>
      <c r="V10" s="23"/>
      <c r="W10" s="421"/>
    </row>
    <row r="11" spans="2:23" s="8" customFormat="1" ht="13.5">
      <c r="B11" s="55"/>
      <c r="C11" s="11"/>
      <c r="D11" s="11"/>
      <c r="E11" s="11"/>
      <c r="F11" s="425"/>
      <c r="G11" s="425"/>
      <c r="H11" s="89"/>
      <c r="I11" s="426"/>
      <c r="J11" s="67"/>
      <c r="K11" s="426"/>
      <c r="L11" s="426"/>
      <c r="M11" s="426"/>
      <c r="N11" s="426"/>
      <c r="O11" s="426"/>
      <c r="P11" s="426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22" t="s">
        <v>63</v>
      </c>
      <c r="G12" s="423"/>
      <c r="H12" s="283"/>
      <c r="I12" s="424"/>
      <c r="K12" s="424"/>
      <c r="L12" s="424"/>
      <c r="M12" s="424"/>
      <c r="N12" s="424"/>
      <c r="O12" s="424"/>
      <c r="P12" s="424"/>
      <c r="Q12" s="23"/>
      <c r="R12" s="23"/>
      <c r="S12" s="23"/>
      <c r="T12" s="23"/>
      <c r="U12" s="23"/>
      <c r="V12" s="23"/>
      <c r="W12" s="421"/>
    </row>
    <row r="13" spans="2:23" s="8" customFormat="1" ht="13.5">
      <c r="B13" s="55"/>
      <c r="C13" s="11"/>
      <c r="D13" s="11"/>
      <c r="E13" s="11"/>
      <c r="F13" s="425"/>
      <c r="G13" s="425"/>
      <c r="H13" s="89"/>
      <c r="I13" s="426"/>
      <c r="J13" s="67"/>
      <c r="K13" s="426"/>
      <c r="L13" s="426"/>
      <c r="M13" s="426"/>
      <c r="N13" s="426"/>
      <c r="O13" s="426"/>
      <c r="P13" s="426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'TOT-1215'!B14</f>
        <v>Desde el 01 al 31 de diciembre de 2015</v>
      </c>
      <c r="C14" s="39"/>
      <c r="D14" s="39"/>
      <c r="E14" s="39"/>
      <c r="F14" s="39"/>
      <c r="G14" s="39"/>
      <c r="H14" s="39"/>
      <c r="I14" s="427"/>
      <c r="J14" s="427"/>
      <c r="K14" s="427"/>
      <c r="L14" s="427"/>
      <c r="M14" s="427"/>
      <c r="N14" s="427"/>
      <c r="O14" s="427"/>
      <c r="P14" s="427"/>
      <c r="Q14" s="39"/>
      <c r="R14" s="39"/>
      <c r="S14" s="39"/>
      <c r="T14" s="39"/>
      <c r="U14" s="39"/>
      <c r="V14" s="39"/>
      <c r="W14" s="428"/>
    </row>
    <row r="15" spans="2:23" s="8" customFormat="1" ht="14.25" thickBot="1">
      <c r="B15" s="429"/>
      <c r="C15" s="430"/>
      <c r="D15" s="430"/>
      <c r="E15" s="430"/>
      <c r="F15" s="430"/>
      <c r="G15" s="430"/>
      <c r="H15" s="430"/>
      <c r="I15" s="431"/>
      <c r="J15" s="431"/>
      <c r="K15" s="431"/>
      <c r="L15" s="431"/>
      <c r="M15" s="431"/>
      <c r="N15" s="431"/>
      <c r="O15" s="431"/>
      <c r="P15" s="431"/>
      <c r="Q15" s="430"/>
      <c r="R15" s="430"/>
      <c r="S15" s="430"/>
      <c r="T15" s="430"/>
      <c r="U15" s="430"/>
      <c r="V15" s="430"/>
      <c r="W15" s="432"/>
    </row>
    <row r="16" spans="2:23" s="8" customFormat="1" ht="15" thickBot="1" thickTop="1">
      <c r="B16" s="55"/>
      <c r="C16" s="11"/>
      <c r="D16" s="11"/>
      <c r="E16" s="11"/>
      <c r="F16" s="433"/>
      <c r="G16" s="433"/>
      <c r="H16" s="434" t="s">
        <v>64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35" t="s">
        <v>65</v>
      </c>
      <c r="G17" s="436">
        <v>276.033</v>
      </c>
      <c r="H17" s="437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38" t="s">
        <v>66</v>
      </c>
      <c r="G18" s="439">
        <v>248.394</v>
      </c>
      <c r="H18" s="437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40" t="s">
        <v>67</v>
      </c>
      <c r="G19" s="439">
        <v>220.831</v>
      </c>
      <c r="H19" s="437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17" t="s">
        <v>25</v>
      </c>
      <c r="D21" s="111" t="s">
        <v>26</v>
      </c>
      <c r="E21" s="111" t="s">
        <v>27</v>
      </c>
      <c r="F21" s="114" t="s">
        <v>54</v>
      </c>
      <c r="G21" s="441" t="s">
        <v>55</v>
      </c>
      <c r="H21" s="442" t="s">
        <v>28</v>
      </c>
      <c r="I21" s="322" t="s">
        <v>32</v>
      </c>
      <c r="J21" s="112" t="s">
        <v>33</v>
      </c>
      <c r="K21" s="441" t="s">
        <v>34</v>
      </c>
      <c r="L21" s="443" t="s">
        <v>35</v>
      </c>
      <c r="M21" s="443" t="s">
        <v>36</v>
      </c>
      <c r="N21" s="119" t="s">
        <v>321</v>
      </c>
      <c r="O21" s="118" t="s">
        <v>39</v>
      </c>
      <c r="P21" s="444" t="s">
        <v>31</v>
      </c>
      <c r="Q21" s="445" t="s">
        <v>68</v>
      </c>
      <c r="R21" s="446" t="s">
        <v>69</v>
      </c>
      <c r="S21" s="447"/>
      <c r="T21" s="448" t="s">
        <v>44</v>
      </c>
      <c r="U21" s="130" t="s">
        <v>46</v>
      </c>
      <c r="V21" s="321" t="s">
        <v>47</v>
      </c>
      <c r="W21" s="60"/>
    </row>
    <row r="22" spans="2:23" s="8" customFormat="1" ht="16.5" customHeight="1" thickTop="1">
      <c r="B22" s="55"/>
      <c r="C22" s="331"/>
      <c r="D22" s="331"/>
      <c r="E22" s="331"/>
      <c r="F22" s="449"/>
      <c r="G22" s="449"/>
      <c r="H22" s="449"/>
      <c r="I22" s="272"/>
      <c r="J22" s="449"/>
      <c r="K22" s="449"/>
      <c r="L22" s="449"/>
      <c r="M22" s="449"/>
      <c r="N22" s="449"/>
      <c r="O22" s="449"/>
      <c r="P22" s="450"/>
      <c r="Q22" s="451"/>
      <c r="R22" s="452"/>
      <c r="S22" s="453"/>
      <c r="T22" s="454"/>
      <c r="U22" s="449"/>
      <c r="V22" s="455">
        <f>'SA-12 (1)'!V46</f>
        <v>199004.21</v>
      </c>
      <c r="W22" s="60"/>
    </row>
    <row r="23" spans="2:23" s="8" customFormat="1" ht="16.5" customHeight="1">
      <c r="B23" s="55"/>
      <c r="C23" s="150"/>
      <c r="D23" s="150"/>
      <c r="E23" s="150"/>
      <c r="F23" s="456"/>
      <c r="G23" s="456"/>
      <c r="H23" s="456"/>
      <c r="I23" s="457"/>
      <c r="J23" s="456"/>
      <c r="K23" s="456"/>
      <c r="L23" s="456"/>
      <c r="M23" s="456"/>
      <c r="N23" s="456"/>
      <c r="O23" s="456"/>
      <c r="P23" s="458"/>
      <c r="Q23" s="459"/>
      <c r="R23" s="460"/>
      <c r="S23" s="461"/>
      <c r="T23" s="462"/>
      <c r="U23" s="456"/>
      <c r="V23" s="463"/>
      <c r="W23" s="60"/>
    </row>
    <row r="24" spans="2:23" s="8" customFormat="1" ht="16.5" customHeight="1">
      <c r="B24" s="55"/>
      <c r="C24" s="150"/>
      <c r="D24" s="150"/>
      <c r="E24" s="169"/>
      <c r="F24" s="464"/>
      <c r="G24" s="464"/>
      <c r="H24" s="465"/>
      <c r="I24" s="466"/>
      <c r="J24" s="467"/>
      <c r="K24" s="468"/>
      <c r="L24" s="469"/>
      <c r="M24" s="470"/>
      <c r="N24" s="178"/>
      <c r="O24" s="180"/>
      <c r="P24" s="471"/>
      <c r="Q24" s="472"/>
      <c r="R24" s="460"/>
      <c r="S24" s="461"/>
      <c r="T24" s="462"/>
      <c r="U24" s="180"/>
      <c r="V24" s="473"/>
      <c r="W24" s="60"/>
    </row>
    <row r="25" spans="2:23" s="8" customFormat="1" ht="16.5" customHeight="1">
      <c r="B25" s="55"/>
      <c r="C25" s="150">
        <v>59</v>
      </c>
      <c r="D25" s="150">
        <v>296582</v>
      </c>
      <c r="E25" s="150">
        <v>125</v>
      </c>
      <c r="F25" s="464" t="s">
        <v>449</v>
      </c>
      <c r="G25" s="464" t="s">
        <v>450</v>
      </c>
      <c r="H25" s="465">
        <v>220</v>
      </c>
      <c r="I25" s="466">
        <f aca="true" t="shared" si="0" ref="I25:I44">IF(H25=500,$G$17,IF(H25=220,$G$18,$G$19))</f>
        <v>248.394</v>
      </c>
      <c r="J25" s="467">
        <v>42367.402083333334</v>
      </c>
      <c r="K25" s="468">
        <v>42367.64861111111</v>
      </c>
      <c r="L25" s="469">
        <f aca="true" t="shared" si="1" ref="L25:L44">IF(F25="","",(K25-J25)*24)</f>
        <v>5.916666666569654</v>
      </c>
      <c r="M25" s="470">
        <f aca="true" t="shared" si="2" ref="M25:M44">IF(F25="","",ROUND((K25-J25)*24*60,0))</f>
        <v>355</v>
      </c>
      <c r="N25" s="178" t="s">
        <v>332</v>
      </c>
      <c r="O25" s="180" t="str">
        <f aca="true" t="shared" si="3" ref="O25:O44">IF(F25="","",IF(N25="P","--","NO"))</f>
        <v>--</v>
      </c>
      <c r="P25" s="471">
        <f aca="true" t="shared" si="4" ref="P25:P44">IF(H25=500,$H$17,IF(H25=220,$H$18,$H$19))</f>
        <v>100</v>
      </c>
      <c r="Q25" s="472">
        <f aca="true" t="shared" si="5" ref="Q25:Q44">IF(N25="P",I25*P25*ROUND(M25/60,2)*0.1,"--")</f>
        <v>14704.9248</v>
      </c>
      <c r="R25" s="460" t="str">
        <f aca="true" t="shared" si="6" ref="R25:R44">IF(AND(N25="F",O25="NO"),I25*P25,"--")</f>
        <v>--</v>
      </c>
      <c r="S25" s="461" t="str">
        <f aca="true" t="shared" si="7" ref="S25:S44">IF(N25="F",I25*P25*ROUND(M25/60,2),"--")</f>
        <v>--</v>
      </c>
      <c r="T25" s="462" t="str">
        <f aca="true" t="shared" si="8" ref="T25:T44">IF(N25="RF",I25*P25*ROUND(M25/60,2),"--")</f>
        <v>--</v>
      </c>
      <c r="U25" s="180" t="str">
        <f aca="true" t="shared" si="9" ref="U25:U36">IF(F25="","","SI")</f>
        <v>SI</v>
      </c>
      <c r="V25" s="473">
        <v>0</v>
      </c>
      <c r="W25" s="60"/>
    </row>
    <row r="26" spans="2:23" s="8" customFormat="1" ht="16.5" customHeight="1">
      <c r="B26" s="55"/>
      <c r="C26" s="150"/>
      <c r="D26" s="150"/>
      <c r="E26" s="169"/>
      <c r="F26" s="464"/>
      <c r="G26" s="464"/>
      <c r="H26" s="465"/>
      <c r="I26" s="466">
        <f t="shared" si="0"/>
        <v>220.831</v>
      </c>
      <c r="J26" s="467"/>
      <c r="K26" s="468"/>
      <c r="L26" s="469">
        <f t="shared" si="1"/>
      </c>
      <c r="M26" s="470">
        <f t="shared" si="2"/>
      </c>
      <c r="N26" s="178"/>
      <c r="O26" s="180">
        <f t="shared" si="3"/>
      </c>
      <c r="P26" s="471">
        <f t="shared" si="4"/>
        <v>40</v>
      </c>
      <c r="Q26" s="472" t="str">
        <f t="shared" si="5"/>
        <v>--</v>
      </c>
      <c r="R26" s="460" t="str">
        <f t="shared" si="6"/>
        <v>--</v>
      </c>
      <c r="S26" s="461" t="str">
        <f t="shared" si="7"/>
        <v>--</v>
      </c>
      <c r="T26" s="462" t="str">
        <f t="shared" si="8"/>
        <v>--</v>
      </c>
      <c r="U26" s="180">
        <f t="shared" si="9"/>
      </c>
      <c r="V26" s="473">
        <f aca="true" t="shared" si="10" ref="V26:V44">IF(F26="","",SUM(Q26:T26)*IF(U26="SI",1,2))</f>
      </c>
      <c r="W26" s="60"/>
    </row>
    <row r="27" spans="2:23" s="8" customFormat="1" ht="16.5" customHeight="1">
      <c r="B27" s="55"/>
      <c r="C27" s="150"/>
      <c r="D27" s="150"/>
      <c r="E27" s="150"/>
      <c r="F27" s="464"/>
      <c r="G27" s="464"/>
      <c r="H27" s="465"/>
      <c r="I27" s="466">
        <f t="shared" si="0"/>
        <v>220.831</v>
      </c>
      <c r="J27" s="467"/>
      <c r="K27" s="468"/>
      <c r="L27" s="469">
        <f t="shared" si="1"/>
      </c>
      <c r="M27" s="470">
        <f t="shared" si="2"/>
      </c>
      <c r="N27" s="178"/>
      <c r="O27" s="180">
        <f t="shared" si="3"/>
      </c>
      <c r="P27" s="471">
        <f t="shared" si="4"/>
        <v>40</v>
      </c>
      <c r="Q27" s="472" t="str">
        <f t="shared" si="5"/>
        <v>--</v>
      </c>
      <c r="R27" s="460" t="str">
        <f t="shared" si="6"/>
        <v>--</v>
      </c>
      <c r="S27" s="461" t="str">
        <f t="shared" si="7"/>
        <v>--</v>
      </c>
      <c r="T27" s="462" t="str">
        <f t="shared" si="8"/>
        <v>--</v>
      </c>
      <c r="U27" s="180">
        <f t="shared" si="9"/>
      </c>
      <c r="V27" s="473">
        <f t="shared" si="10"/>
      </c>
      <c r="W27" s="60"/>
    </row>
    <row r="28" spans="2:23" s="8" customFormat="1" ht="16.5" customHeight="1">
      <c r="B28" s="55"/>
      <c r="C28" s="150"/>
      <c r="D28" s="150"/>
      <c r="E28" s="169"/>
      <c r="F28" s="464"/>
      <c r="G28" s="464"/>
      <c r="H28" s="465"/>
      <c r="I28" s="466">
        <f t="shared" si="0"/>
        <v>220.831</v>
      </c>
      <c r="J28" s="467"/>
      <c r="K28" s="468"/>
      <c r="L28" s="469">
        <f t="shared" si="1"/>
      </c>
      <c r="M28" s="470">
        <f t="shared" si="2"/>
      </c>
      <c r="N28" s="178"/>
      <c r="O28" s="180">
        <f t="shared" si="3"/>
      </c>
      <c r="P28" s="471">
        <f t="shared" si="4"/>
        <v>40</v>
      </c>
      <c r="Q28" s="472" t="str">
        <f t="shared" si="5"/>
        <v>--</v>
      </c>
      <c r="R28" s="460" t="str">
        <f t="shared" si="6"/>
        <v>--</v>
      </c>
      <c r="S28" s="461" t="str">
        <f t="shared" si="7"/>
        <v>--</v>
      </c>
      <c r="T28" s="462" t="str">
        <f t="shared" si="8"/>
        <v>--</v>
      </c>
      <c r="U28" s="180">
        <f t="shared" si="9"/>
      </c>
      <c r="V28" s="473">
        <f t="shared" si="10"/>
      </c>
      <c r="W28" s="60"/>
    </row>
    <row r="29" spans="2:23" s="8" customFormat="1" ht="16.5" customHeight="1">
      <c r="B29" s="55"/>
      <c r="C29" s="150"/>
      <c r="D29" s="150"/>
      <c r="E29" s="150"/>
      <c r="F29" s="464"/>
      <c r="G29" s="464"/>
      <c r="H29" s="465"/>
      <c r="I29" s="466">
        <f t="shared" si="0"/>
        <v>220.831</v>
      </c>
      <c r="J29" s="467"/>
      <c r="K29" s="468"/>
      <c r="L29" s="469">
        <f t="shared" si="1"/>
      </c>
      <c r="M29" s="470">
        <f t="shared" si="2"/>
      </c>
      <c r="N29" s="178"/>
      <c r="O29" s="180">
        <f t="shared" si="3"/>
      </c>
      <c r="P29" s="471">
        <f t="shared" si="4"/>
        <v>40</v>
      </c>
      <c r="Q29" s="472" t="str">
        <f t="shared" si="5"/>
        <v>--</v>
      </c>
      <c r="R29" s="460" t="str">
        <f t="shared" si="6"/>
        <v>--</v>
      </c>
      <c r="S29" s="461" t="str">
        <f t="shared" si="7"/>
        <v>--</v>
      </c>
      <c r="T29" s="462" t="str">
        <f t="shared" si="8"/>
        <v>--</v>
      </c>
      <c r="U29" s="180">
        <f t="shared" si="9"/>
      </c>
      <c r="V29" s="473">
        <f t="shared" si="10"/>
      </c>
      <c r="W29" s="60"/>
    </row>
    <row r="30" spans="2:23" s="8" customFormat="1" ht="16.5" customHeight="1">
      <c r="B30" s="55"/>
      <c r="C30" s="150"/>
      <c r="D30" s="150"/>
      <c r="E30" s="169"/>
      <c r="F30" s="464"/>
      <c r="G30" s="464"/>
      <c r="H30" s="465"/>
      <c r="I30" s="466">
        <f t="shared" si="0"/>
        <v>220.831</v>
      </c>
      <c r="J30" s="467"/>
      <c r="K30" s="468"/>
      <c r="L30" s="469">
        <f t="shared" si="1"/>
      </c>
      <c r="M30" s="470">
        <f t="shared" si="2"/>
      </c>
      <c r="N30" s="178"/>
      <c r="O30" s="180">
        <f t="shared" si="3"/>
      </c>
      <c r="P30" s="471">
        <f t="shared" si="4"/>
        <v>40</v>
      </c>
      <c r="Q30" s="472" t="str">
        <f>IF(N30="P",I31*P30*ROUND(M30/60,2)*0.1,"--")</f>
        <v>--</v>
      </c>
      <c r="R30" s="460" t="str">
        <f>IF(AND(N30="F",O30="NO"),I31*P30,"--")</f>
        <v>--</v>
      </c>
      <c r="S30" s="461" t="str">
        <f>IF(N30="F",I31*P30*ROUND(M30/60,2),"--")</f>
        <v>--</v>
      </c>
      <c r="T30" s="462" t="str">
        <f>IF(N30="RF",I31*P30*ROUND(M30/60,2),"--")</f>
        <v>--</v>
      </c>
      <c r="U30" s="180">
        <f t="shared" si="9"/>
      </c>
      <c r="V30" s="473">
        <f t="shared" si="10"/>
      </c>
      <c r="W30" s="60"/>
    </row>
    <row r="31" spans="2:23" s="8" customFormat="1" ht="16.5" customHeight="1">
      <c r="B31" s="55"/>
      <c r="C31" s="150"/>
      <c r="D31" s="150"/>
      <c r="E31" s="169"/>
      <c r="F31" s="464"/>
      <c r="G31" s="464"/>
      <c r="H31" s="465"/>
      <c r="I31" s="466">
        <f>IF(H30=500,$G$17,IF(H30=220,$G$18,$G$19))</f>
        <v>220.831</v>
      </c>
      <c r="J31" s="468"/>
      <c r="K31" s="468"/>
      <c r="L31" s="469">
        <f>IF(F31="","",(K31-J31)*24)</f>
      </c>
      <c r="M31" s="470">
        <f>IF(F31="","",ROUND((K31-J31)*24*60,0))</f>
      </c>
      <c r="N31" s="178"/>
      <c r="O31" s="180">
        <f>IF(F31="","",IF(N31="P","--","NO"))</f>
      </c>
      <c r="P31" s="471">
        <f>IF(H31=500,$H$17,IF(H31=220,$H$18,$H$19))</f>
        <v>40</v>
      </c>
      <c r="Q31" s="472" t="str">
        <f>IF(N31="P",I32*P31*ROUND(M31/60,2)*0.1,"--")</f>
        <v>--</v>
      </c>
      <c r="R31" s="460" t="str">
        <f>IF(AND(N31="F",O31="NO"),#REF!*P31,"--")</f>
        <v>--</v>
      </c>
      <c r="S31" s="461" t="str">
        <f>IF(N31="F",#REF!*P31*ROUND(M31/60,2),"--")</f>
        <v>--</v>
      </c>
      <c r="T31" s="462" t="str">
        <f>IF(N31="RF",#REF!*P31*ROUND(M31/60,2),"--")</f>
        <v>--</v>
      </c>
      <c r="U31" s="180">
        <f t="shared" si="9"/>
      </c>
      <c r="V31" s="473">
        <f>IF(F31="","",SUM(Q31:T31)*IF(U31="SI",1,2))</f>
      </c>
      <c r="W31" s="60"/>
    </row>
    <row r="32" spans="2:23" s="8" customFormat="1" ht="16.5" customHeight="1">
      <c r="B32" s="55"/>
      <c r="C32" s="150"/>
      <c r="D32" s="150"/>
      <c r="E32" s="150"/>
      <c r="F32" s="464"/>
      <c r="G32" s="464"/>
      <c r="H32" s="465"/>
      <c r="I32" s="466">
        <f t="shared" si="0"/>
        <v>220.831</v>
      </c>
      <c r="J32" s="467"/>
      <c r="K32" s="468"/>
      <c r="L32" s="469">
        <f t="shared" si="1"/>
      </c>
      <c r="M32" s="470">
        <f t="shared" si="2"/>
      </c>
      <c r="N32" s="178"/>
      <c r="O32" s="180">
        <f t="shared" si="3"/>
      </c>
      <c r="P32" s="471">
        <f t="shared" si="4"/>
        <v>40</v>
      </c>
      <c r="Q32" s="472" t="str">
        <f t="shared" si="5"/>
        <v>--</v>
      </c>
      <c r="R32" s="460" t="str">
        <f t="shared" si="6"/>
        <v>--</v>
      </c>
      <c r="S32" s="461" t="str">
        <f t="shared" si="7"/>
        <v>--</v>
      </c>
      <c r="T32" s="462" t="str">
        <f t="shared" si="8"/>
        <v>--</v>
      </c>
      <c r="U32" s="180">
        <f t="shared" si="9"/>
      </c>
      <c r="V32" s="473">
        <f t="shared" si="10"/>
      </c>
      <c r="W32" s="60"/>
    </row>
    <row r="33" spans="2:23" s="8" customFormat="1" ht="16.5" customHeight="1">
      <c r="B33" s="55"/>
      <c r="C33" s="150"/>
      <c r="D33" s="150"/>
      <c r="E33" s="169"/>
      <c r="F33" s="464"/>
      <c r="G33" s="464"/>
      <c r="H33" s="465"/>
      <c r="I33" s="466">
        <f t="shared" si="0"/>
        <v>220.831</v>
      </c>
      <c r="J33" s="467"/>
      <c r="K33" s="468"/>
      <c r="L33" s="469">
        <f t="shared" si="1"/>
      </c>
      <c r="M33" s="470">
        <f t="shared" si="2"/>
      </c>
      <c r="N33" s="178"/>
      <c r="O33" s="180">
        <f t="shared" si="3"/>
      </c>
      <c r="P33" s="471">
        <f t="shared" si="4"/>
        <v>40</v>
      </c>
      <c r="Q33" s="472" t="str">
        <f t="shared" si="5"/>
        <v>--</v>
      </c>
      <c r="R33" s="460" t="str">
        <f t="shared" si="6"/>
        <v>--</v>
      </c>
      <c r="S33" s="461" t="str">
        <f t="shared" si="7"/>
        <v>--</v>
      </c>
      <c r="T33" s="462" t="str">
        <f t="shared" si="8"/>
        <v>--</v>
      </c>
      <c r="U33" s="180">
        <f t="shared" si="9"/>
      </c>
      <c r="V33" s="473">
        <f t="shared" si="10"/>
      </c>
      <c r="W33" s="60"/>
    </row>
    <row r="34" spans="2:23" s="8" customFormat="1" ht="16.5" customHeight="1">
      <c r="B34" s="55"/>
      <c r="C34" s="150"/>
      <c r="D34" s="150"/>
      <c r="E34" s="150"/>
      <c r="F34" s="464"/>
      <c r="G34" s="464"/>
      <c r="H34" s="465"/>
      <c r="I34" s="466">
        <f t="shared" si="0"/>
        <v>220.831</v>
      </c>
      <c r="J34" s="467"/>
      <c r="K34" s="468"/>
      <c r="L34" s="469">
        <f t="shared" si="1"/>
      </c>
      <c r="M34" s="470">
        <f t="shared" si="2"/>
      </c>
      <c r="N34" s="178"/>
      <c r="O34" s="180">
        <f t="shared" si="3"/>
      </c>
      <c r="P34" s="471">
        <f t="shared" si="4"/>
        <v>40</v>
      </c>
      <c r="Q34" s="472" t="str">
        <f t="shared" si="5"/>
        <v>--</v>
      </c>
      <c r="R34" s="460" t="str">
        <f t="shared" si="6"/>
        <v>--</v>
      </c>
      <c r="S34" s="461" t="str">
        <f t="shared" si="7"/>
        <v>--</v>
      </c>
      <c r="T34" s="462" t="str">
        <f t="shared" si="8"/>
        <v>--</v>
      </c>
      <c r="U34" s="180">
        <f t="shared" si="9"/>
      </c>
      <c r="V34" s="473">
        <f t="shared" si="10"/>
      </c>
      <c r="W34" s="60"/>
    </row>
    <row r="35" spans="2:23" s="8" customFormat="1" ht="16.5" customHeight="1">
      <c r="B35" s="55"/>
      <c r="C35" s="150"/>
      <c r="D35" s="150"/>
      <c r="E35" s="169"/>
      <c r="F35" s="464"/>
      <c r="G35" s="464"/>
      <c r="H35" s="465"/>
      <c r="I35" s="466">
        <f t="shared" si="0"/>
        <v>220.831</v>
      </c>
      <c r="J35" s="467"/>
      <c r="K35" s="468"/>
      <c r="L35" s="469">
        <f t="shared" si="1"/>
      </c>
      <c r="M35" s="470">
        <f t="shared" si="2"/>
      </c>
      <c r="N35" s="178"/>
      <c r="O35" s="180">
        <f t="shared" si="3"/>
      </c>
      <c r="P35" s="471">
        <f t="shared" si="4"/>
        <v>40</v>
      </c>
      <c r="Q35" s="472" t="str">
        <f t="shared" si="5"/>
        <v>--</v>
      </c>
      <c r="R35" s="460" t="str">
        <f t="shared" si="6"/>
        <v>--</v>
      </c>
      <c r="S35" s="461" t="str">
        <f t="shared" si="7"/>
        <v>--</v>
      </c>
      <c r="T35" s="462" t="str">
        <f t="shared" si="8"/>
        <v>--</v>
      </c>
      <c r="U35" s="180">
        <f t="shared" si="9"/>
      </c>
      <c r="V35" s="473">
        <f t="shared" si="10"/>
      </c>
      <c r="W35" s="60"/>
    </row>
    <row r="36" spans="2:23" s="8" customFormat="1" ht="16.5" customHeight="1">
      <c r="B36" s="55"/>
      <c r="C36" s="150"/>
      <c r="D36" s="150"/>
      <c r="E36" s="150"/>
      <c r="F36" s="464"/>
      <c r="G36" s="464"/>
      <c r="H36" s="465"/>
      <c r="I36" s="466">
        <f t="shared" si="0"/>
        <v>220.831</v>
      </c>
      <c r="J36" s="467"/>
      <c r="K36" s="468"/>
      <c r="L36" s="469">
        <f t="shared" si="1"/>
      </c>
      <c r="M36" s="470">
        <f t="shared" si="2"/>
      </c>
      <c r="N36" s="178"/>
      <c r="O36" s="180">
        <f t="shared" si="3"/>
      </c>
      <c r="P36" s="471">
        <f t="shared" si="4"/>
        <v>40</v>
      </c>
      <c r="Q36" s="472" t="str">
        <f t="shared" si="5"/>
        <v>--</v>
      </c>
      <c r="R36" s="460" t="str">
        <f t="shared" si="6"/>
        <v>--</v>
      </c>
      <c r="S36" s="461" t="str">
        <f t="shared" si="7"/>
        <v>--</v>
      </c>
      <c r="T36" s="462" t="str">
        <f t="shared" si="8"/>
        <v>--</v>
      </c>
      <c r="U36" s="180">
        <f t="shared" si="9"/>
      </c>
      <c r="V36" s="473">
        <f t="shared" si="10"/>
      </c>
      <c r="W36" s="60"/>
    </row>
    <row r="37" spans="2:23" s="8" customFormat="1" ht="16.5" customHeight="1">
      <c r="B37" s="55"/>
      <c r="C37" s="150"/>
      <c r="D37" s="150"/>
      <c r="E37" s="169"/>
      <c r="F37" s="464"/>
      <c r="G37" s="464"/>
      <c r="H37" s="465"/>
      <c r="I37" s="466">
        <f t="shared" si="0"/>
        <v>220.831</v>
      </c>
      <c r="J37" s="467"/>
      <c r="K37" s="468"/>
      <c r="L37" s="469">
        <f t="shared" si="1"/>
      </c>
      <c r="M37" s="470">
        <f t="shared" si="2"/>
      </c>
      <c r="N37" s="178"/>
      <c r="O37" s="180">
        <f t="shared" si="3"/>
      </c>
      <c r="P37" s="471">
        <f t="shared" si="4"/>
        <v>40</v>
      </c>
      <c r="Q37" s="472" t="str">
        <f t="shared" si="5"/>
        <v>--</v>
      </c>
      <c r="R37" s="460" t="str">
        <f t="shared" si="6"/>
        <v>--</v>
      </c>
      <c r="S37" s="461" t="str">
        <f t="shared" si="7"/>
        <v>--</v>
      </c>
      <c r="T37" s="462" t="str">
        <f t="shared" si="8"/>
        <v>--</v>
      </c>
      <c r="U37" s="180">
        <f aca="true" t="shared" si="11" ref="U37:U44">IF(F37="","","SI")</f>
      </c>
      <c r="V37" s="473">
        <f t="shared" si="10"/>
      </c>
      <c r="W37" s="60"/>
    </row>
    <row r="38" spans="2:23" s="8" customFormat="1" ht="16.5" customHeight="1">
      <c r="B38" s="55"/>
      <c r="C38" s="150"/>
      <c r="D38" s="150"/>
      <c r="E38" s="150"/>
      <c r="F38" s="464"/>
      <c r="G38" s="464"/>
      <c r="H38" s="465"/>
      <c r="I38" s="466">
        <f t="shared" si="0"/>
        <v>220.831</v>
      </c>
      <c r="J38" s="467"/>
      <c r="K38" s="468"/>
      <c r="L38" s="469">
        <f t="shared" si="1"/>
      </c>
      <c r="M38" s="470">
        <f t="shared" si="2"/>
      </c>
      <c r="N38" s="178"/>
      <c r="O38" s="180">
        <f t="shared" si="3"/>
      </c>
      <c r="P38" s="471">
        <f t="shared" si="4"/>
        <v>40</v>
      </c>
      <c r="Q38" s="472" t="str">
        <f t="shared" si="5"/>
        <v>--</v>
      </c>
      <c r="R38" s="460" t="str">
        <f t="shared" si="6"/>
        <v>--</v>
      </c>
      <c r="S38" s="461" t="str">
        <f t="shared" si="7"/>
        <v>--</v>
      </c>
      <c r="T38" s="462" t="str">
        <f t="shared" si="8"/>
        <v>--</v>
      </c>
      <c r="U38" s="180">
        <f t="shared" si="11"/>
      </c>
      <c r="V38" s="473">
        <f t="shared" si="10"/>
      </c>
      <c r="W38" s="60"/>
    </row>
    <row r="39" spans="2:23" s="8" customFormat="1" ht="16.5" customHeight="1">
      <c r="B39" s="55"/>
      <c r="C39" s="150"/>
      <c r="D39" s="150"/>
      <c r="E39" s="169"/>
      <c r="F39" s="464"/>
      <c r="G39" s="464"/>
      <c r="H39" s="465"/>
      <c r="I39" s="466">
        <f t="shared" si="0"/>
        <v>220.831</v>
      </c>
      <c r="J39" s="467"/>
      <c r="K39" s="468"/>
      <c r="L39" s="469">
        <f t="shared" si="1"/>
      </c>
      <c r="M39" s="470">
        <f t="shared" si="2"/>
      </c>
      <c r="N39" s="178"/>
      <c r="O39" s="180">
        <f t="shared" si="3"/>
      </c>
      <c r="P39" s="471">
        <f t="shared" si="4"/>
        <v>40</v>
      </c>
      <c r="Q39" s="472" t="str">
        <f t="shared" si="5"/>
        <v>--</v>
      </c>
      <c r="R39" s="460" t="str">
        <f t="shared" si="6"/>
        <v>--</v>
      </c>
      <c r="S39" s="461" t="str">
        <f t="shared" si="7"/>
        <v>--</v>
      </c>
      <c r="T39" s="462" t="str">
        <f t="shared" si="8"/>
        <v>--</v>
      </c>
      <c r="U39" s="180">
        <f t="shared" si="11"/>
      </c>
      <c r="V39" s="473">
        <f t="shared" si="10"/>
      </c>
      <c r="W39" s="60"/>
    </row>
    <row r="40" spans="2:23" s="8" customFormat="1" ht="16.5" customHeight="1">
      <c r="B40" s="55"/>
      <c r="C40" s="150"/>
      <c r="D40" s="150"/>
      <c r="E40" s="150"/>
      <c r="F40" s="464"/>
      <c r="G40" s="464"/>
      <c r="H40" s="465"/>
      <c r="I40" s="466">
        <f t="shared" si="0"/>
        <v>220.831</v>
      </c>
      <c r="J40" s="467"/>
      <c r="K40" s="468"/>
      <c r="L40" s="469">
        <f t="shared" si="1"/>
      </c>
      <c r="M40" s="470">
        <f t="shared" si="2"/>
      </c>
      <c r="N40" s="178"/>
      <c r="O40" s="180">
        <f t="shared" si="3"/>
      </c>
      <c r="P40" s="471">
        <f t="shared" si="4"/>
        <v>40</v>
      </c>
      <c r="Q40" s="472" t="str">
        <f t="shared" si="5"/>
        <v>--</v>
      </c>
      <c r="R40" s="460" t="str">
        <f t="shared" si="6"/>
        <v>--</v>
      </c>
      <c r="S40" s="461" t="str">
        <f t="shared" si="7"/>
        <v>--</v>
      </c>
      <c r="T40" s="462" t="str">
        <f t="shared" si="8"/>
        <v>--</v>
      </c>
      <c r="U40" s="180">
        <f t="shared" si="11"/>
      </c>
      <c r="V40" s="473">
        <f t="shared" si="10"/>
      </c>
      <c r="W40" s="60"/>
    </row>
    <row r="41" spans="2:23" s="8" customFormat="1" ht="16.5" customHeight="1">
      <c r="B41" s="55"/>
      <c r="C41" s="150"/>
      <c r="D41" s="150"/>
      <c r="E41" s="169"/>
      <c r="F41" s="464"/>
      <c r="G41" s="464"/>
      <c r="H41" s="465"/>
      <c r="I41" s="466">
        <f t="shared" si="0"/>
        <v>220.831</v>
      </c>
      <c r="J41" s="467"/>
      <c r="K41" s="468"/>
      <c r="L41" s="469">
        <f t="shared" si="1"/>
      </c>
      <c r="M41" s="470">
        <f t="shared" si="2"/>
      </c>
      <c r="N41" s="178"/>
      <c r="O41" s="180">
        <f t="shared" si="3"/>
      </c>
      <c r="P41" s="471">
        <f t="shared" si="4"/>
        <v>40</v>
      </c>
      <c r="Q41" s="472" t="str">
        <f t="shared" si="5"/>
        <v>--</v>
      </c>
      <c r="R41" s="460" t="str">
        <f t="shared" si="6"/>
        <v>--</v>
      </c>
      <c r="S41" s="461" t="str">
        <f t="shared" si="7"/>
        <v>--</v>
      </c>
      <c r="T41" s="462" t="str">
        <f t="shared" si="8"/>
        <v>--</v>
      </c>
      <c r="U41" s="180">
        <f t="shared" si="11"/>
      </c>
      <c r="V41" s="473">
        <f t="shared" si="10"/>
      </c>
      <c r="W41" s="60"/>
    </row>
    <row r="42" spans="2:23" s="8" customFormat="1" ht="16.5" customHeight="1">
      <c r="B42" s="55"/>
      <c r="C42" s="150"/>
      <c r="D42" s="150"/>
      <c r="E42" s="150"/>
      <c r="F42" s="464"/>
      <c r="G42" s="464"/>
      <c r="H42" s="465"/>
      <c r="I42" s="466">
        <f t="shared" si="0"/>
        <v>220.831</v>
      </c>
      <c r="J42" s="467"/>
      <c r="K42" s="468"/>
      <c r="L42" s="469">
        <f t="shared" si="1"/>
      </c>
      <c r="M42" s="470">
        <f t="shared" si="2"/>
      </c>
      <c r="N42" s="178"/>
      <c r="O42" s="180">
        <f t="shared" si="3"/>
      </c>
      <c r="P42" s="471">
        <f t="shared" si="4"/>
        <v>40</v>
      </c>
      <c r="Q42" s="472" t="str">
        <f t="shared" si="5"/>
        <v>--</v>
      </c>
      <c r="R42" s="460" t="str">
        <f t="shared" si="6"/>
        <v>--</v>
      </c>
      <c r="S42" s="461" t="str">
        <f t="shared" si="7"/>
        <v>--</v>
      </c>
      <c r="T42" s="462" t="str">
        <f t="shared" si="8"/>
        <v>--</v>
      </c>
      <c r="U42" s="180">
        <f t="shared" si="11"/>
      </c>
      <c r="V42" s="473">
        <f t="shared" si="10"/>
      </c>
      <c r="W42" s="60"/>
    </row>
    <row r="43" spans="2:23" s="8" customFormat="1" ht="16.5" customHeight="1">
      <c r="B43" s="55"/>
      <c r="C43" s="150"/>
      <c r="D43" s="150"/>
      <c r="E43" s="169"/>
      <c r="F43" s="464"/>
      <c r="G43" s="464"/>
      <c r="H43" s="465"/>
      <c r="I43" s="466">
        <f t="shared" si="0"/>
        <v>220.831</v>
      </c>
      <c r="J43" s="467"/>
      <c r="K43" s="468"/>
      <c r="L43" s="469">
        <f t="shared" si="1"/>
      </c>
      <c r="M43" s="470">
        <f t="shared" si="2"/>
      </c>
      <c r="N43" s="178"/>
      <c r="O43" s="180">
        <f t="shared" si="3"/>
      </c>
      <c r="P43" s="471">
        <f t="shared" si="4"/>
        <v>40</v>
      </c>
      <c r="Q43" s="472" t="str">
        <f t="shared" si="5"/>
        <v>--</v>
      </c>
      <c r="R43" s="460" t="str">
        <f t="shared" si="6"/>
        <v>--</v>
      </c>
      <c r="S43" s="461" t="str">
        <f t="shared" si="7"/>
        <v>--</v>
      </c>
      <c r="T43" s="462" t="str">
        <f t="shared" si="8"/>
        <v>--</v>
      </c>
      <c r="U43" s="180">
        <f t="shared" si="11"/>
      </c>
      <c r="V43" s="473">
        <f t="shared" si="10"/>
      </c>
      <c r="W43" s="60"/>
    </row>
    <row r="44" spans="2:23" s="8" customFormat="1" ht="16.5" customHeight="1">
      <c r="B44" s="55"/>
      <c r="C44" s="150"/>
      <c r="D44" s="150"/>
      <c r="E44" s="150"/>
      <c r="F44" s="464"/>
      <c r="G44" s="464"/>
      <c r="H44" s="465"/>
      <c r="I44" s="466">
        <f t="shared" si="0"/>
        <v>220.831</v>
      </c>
      <c r="J44" s="467"/>
      <c r="K44" s="468"/>
      <c r="L44" s="469">
        <f t="shared" si="1"/>
      </c>
      <c r="M44" s="470">
        <f t="shared" si="2"/>
      </c>
      <c r="N44" s="178"/>
      <c r="O44" s="180">
        <f t="shared" si="3"/>
      </c>
      <c r="P44" s="471">
        <f t="shared" si="4"/>
        <v>40</v>
      </c>
      <c r="Q44" s="472" t="str">
        <f t="shared" si="5"/>
        <v>--</v>
      </c>
      <c r="R44" s="460" t="str">
        <f t="shared" si="6"/>
        <v>--</v>
      </c>
      <c r="S44" s="461" t="str">
        <f t="shared" si="7"/>
        <v>--</v>
      </c>
      <c r="T44" s="462" t="str">
        <f t="shared" si="8"/>
        <v>--</v>
      </c>
      <c r="U44" s="180">
        <f t="shared" si="11"/>
      </c>
      <c r="V44" s="473">
        <f t="shared" si="10"/>
      </c>
      <c r="W44" s="60"/>
    </row>
    <row r="45" spans="2:23" s="8" customFormat="1" ht="16.5" customHeight="1" thickBot="1">
      <c r="B45" s="55"/>
      <c r="C45" s="208"/>
      <c r="D45" s="208"/>
      <c r="E45" s="208"/>
      <c r="F45" s="208"/>
      <c r="G45" s="208"/>
      <c r="H45" s="208"/>
      <c r="I45" s="382"/>
      <c r="J45" s="474"/>
      <c r="K45" s="474"/>
      <c r="L45" s="475"/>
      <c r="M45" s="475"/>
      <c r="N45" s="474"/>
      <c r="O45" s="215"/>
      <c r="P45" s="476"/>
      <c r="Q45" s="477"/>
      <c r="R45" s="478"/>
      <c r="S45" s="479"/>
      <c r="T45" s="480"/>
      <c r="U45" s="215"/>
      <c r="V45" s="481"/>
      <c r="W45" s="60"/>
    </row>
    <row r="46" spans="2:23" s="8" customFormat="1" ht="16.5" customHeight="1" thickBot="1" thickTop="1">
      <c r="B46" s="55"/>
      <c r="C46" s="229" t="s">
        <v>322</v>
      </c>
      <c r="D46" s="270" t="s">
        <v>366</v>
      </c>
      <c r="E46" s="229"/>
      <c r="F46" s="230"/>
      <c r="G46" s="9"/>
      <c r="H46" s="11"/>
      <c r="I46" s="11"/>
      <c r="J46" s="11"/>
      <c r="K46" s="11"/>
      <c r="L46" s="11"/>
      <c r="M46" s="11"/>
      <c r="N46" s="11"/>
      <c r="O46" s="11"/>
      <c r="P46" s="11"/>
      <c r="Q46" s="482">
        <f>SUM(Q22:Q45)</f>
        <v>14704.9248</v>
      </c>
      <c r="R46" s="483">
        <f>SUM(R22:R45)</f>
        <v>0</v>
      </c>
      <c r="S46" s="484">
        <f>SUM(S22:S45)</f>
        <v>0</v>
      </c>
      <c r="T46" s="485">
        <f>SUM(T22:T45)</f>
        <v>0</v>
      </c>
      <c r="U46" s="486"/>
      <c r="V46" s="487">
        <f>ROUND(SUM(V22:V45),2)</f>
        <v>199004.21</v>
      </c>
      <c r="W46" s="60"/>
    </row>
    <row r="47" spans="2:23" s="8" customFormat="1" ht="16.5" customHeight="1" thickBot="1" thickTop="1"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</row>
    <row r="48" spans="23:25" ht="16.5" customHeight="1" thickTop="1">
      <c r="W48" s="413"/>
      <c r="X48" s="413"/>
      <c r="Y48" s="413"/>
    </row>
    <row r="49" spans="23:25" ht="16.5" customHeight="1">
      <c r="W49" s="413"/>
      <c r="X49" s="413"/>
      <c r="Y49" s="413"/>
    </row>
    <row r="50" spans="23:25" ht="16.5" customHeight="1">
      <c r="W50" s="413"/>
      <c r="X50" s="413"/>
      <c r="Y50" s="413"/>
    </row>
    <row r="51" spans="23:25" ht="16.5" customHeight="1">
      <c r="W51" s="413"/>
      <c r="X51" s="413"/>
      <c r="Y51" s="413"/>
    </row>
    <row r="52" spans="23:25" ht="16.5" customHeight="1">
      <c r="W52" s="413"/>
      <c r="X52" s="413"/>
      <c r="Y52" s="413"/>
    </row>
    <row r="53" spans="6:25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</row>
    <row r="54" spans="6:25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</row>
    <row r="55" spans="6:25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</row>
    <row r="56" spans="6:25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6:25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</row>
    <row r="58" spans="6:25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6:25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</row>
    <row r="60" spans="6:25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</row>
    <row r="61" spans="6:25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</row>
    <row r="62" spans="6:25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</row>
    <row r="63" spans="6:25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</row>
    <row r="64" spans="6:25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6:25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6:25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</row>
    <row r="67" spans="6:25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</row>
    <row r="68" spans="6:25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</row>
    <row r="69" spans="6:25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</row>
    <row r="70" spans="6:25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</row>
    <row r="71" spans="6:25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</row>
    <row r="72" spans="6:25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</row>
    <row r="73" spans="6:25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</row>
    <row r="74" spans="6:25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</row>
    <row r="75" spans="6:25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6:25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</row>
    <row r="77" spans="6:25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</row>
    <row r="78" spans="6:25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</row>
    <row r="79" spans="6:25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</row>
    <row r="80" spans="6:25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</row>
    <row r="81" spans="6:25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</row>
    <row r="82" spans="6:25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</row>
    <row r="83" spans="6:25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</row>
    <row r="84" spans="6:25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</row>
    <row r="85" spans="6:25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</row>
    <row r="86" spans="6:25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</row>
    <row r="87" spans="6:25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</row>
    <row r="88" spans="6:25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</row>
    <row r="89" spans="6:25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</row>
    <row r="90" spans="6:25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</row>
    <row r="91" spans="6:25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</row>
    <row r="92" spans="6:25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</row>
    <row r="93" spans="6:25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</row>
    <row r="94" spans="6:25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</row>
    <row r="95" spans="6:25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</row>
    <row r="96" spans="6:25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</row>
    <row r="97" spans="6:25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</row>
    <row r="98" spans="6:25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</row>
    <row r="99" spans="6:25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</row>
    <row r="100" spans="6:25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</row>
    <row r="101" spans="6:25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</row>
    <row r="102" spans="6:25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</row>
    <row r="103" spans="6:25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</row>
    <row r="104" spans="6:25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</row>
    <row r="105" spans="6:25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</row>
    <row r="106" spans="6:25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</row>
    <row r="107" spans="6:25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</row>
    <row r="108" spans="6:25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</row>
    <row r="109" spans="6:25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</row>
    <row r="110" spans="6:25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</row>
    <row r="111" spans="6:25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</row>
    <row r="112" spans="6:25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</row>
    <row r="113" spans="6:25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</row>
    <row r="114" spans="6:25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</row>
    <row r="115" spans="6:25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</row>
    <row r="116" spans="6:25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</row>
    <row r="117" spans="6:25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</row>
    <row r="118" spans="6:25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</row>
    <row r="119" spans="6:25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</row>
    <row r="120" spans="6:25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</row>
    <row r="121" spans="6:25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</row>
    <row r="122" spans="6:25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</row>
    <row r="123" spans="6:25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</row>
    <row r="124" spans="6:25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</row>
    <row r="125" spans="6:25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</row>
    <row r="126" spans="6:25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</row>
    <row r="127" spans="6:25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</row>
    <row r="128" spans="6:25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</row>
    <row r="129" spans="6:25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</row>
    <row r="130" spans="6:25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</row>
    <row r="131" spans="6:25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</row>
    <row r="132" spans="6:25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</row>
    <row r="133" spans="6:25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</row>
    <row r="134" spans="6:25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</row>
    <row r="135" spans="6:25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</row>
    <row r="136" spans="6:25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</row>
    <row r="137" spans="6:25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</row>
    <row r="138" spans="6:25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</row>
    <row r="139" spans="6:25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</row>
    <row r="140" spans="6:25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</row>
    <row r="141" spans="6:25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</row>
    <row r="142" spans="6:25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</row>
    <row r="143" spans="6:25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</row>
    <row r="144" spans="6:25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</row>
    <row r="145" spans="6:25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</row>
    <row r="146" spans="6:25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</row>
    <row r="147" spans="6:25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</row>
    <row r="148" spans="6:25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</row>
    <row r="149" spans="6:25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</row>
    <row r="150" spans="6:25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</row>
    <row r="151" spans="6:25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</row>
    <row r="152" spans="6:25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</row>
    <row r="153" spans="6:25" ht="16.5" customHeight="1"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</row>
    <row r="154" spans="6:25" ht="16.5" customHeight="1"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  <c r="Y154" s="413"/>
    </row>
    <row r="155" spans="6:25" ht="16.5" customHeight="1"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</row>
    <row r="156" spans="6:25" ht="16.5" customHeight="1"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  <c r="Y156" s="413"/>
    </row>
    <row r="157" spans="6:25" ht="16.5" customHeight="1"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</row>
    <row r="158" spans="6:25" ht="16.5" customHeight="1">
      <c r="F158" s="413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3"/>
      <c r="T158" s="413"/>
      <c r="U158" s="413"/>
      <c r="V158" s="413"/>
      <c r="W158" s="413"/>
      <c r="X158" s="413"/>
      <c r="Y158" s="413"/>
    </row>
    <row r="159" spans="6:25" ht="16.5" customHeight="1"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</row>
    <row r="160" spans="6:25" ht="16.5" customHeight="1">
      <c r="F160" s="413"/>
      <c r="G160" s="413"/>
      <c r="H160" s="413"/>
      <c r="I160" s="413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  <c r="T160" s="413"/>
      <c r="U160" s="413"/>
      <c r="V160" s="413"/>
      <c r="W160" s="413"/>
      <c r="X160" s="413"/>
      <c r="Y160" s="413"/>
    </row>
  </sheetData>
  <sheetProtection/>
  <printOptions horizontalCentered="1"/>
  <pageMargins left="0.25" right="0.25" top="0.75" bottom="0.75" header="0.3" footer="0.3"/>
  <pageSetup fitToHeight="1" fitToWidth="1" horizontalDpi="1200" verticalDpi="1200" orientation="landscape" paperSize="9" scale="61" r:id="rId4"/>
  <headerFooter alignWithMargins="0">
    <oddFooter>&amp;L&amp;"Times New Roman,Normal"&amp;8&amp;Z&amp;F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Y159"/>
  <sheetViews>
    <sheetView zoomScale="80" zoomScaleNormal="80" zoomScalePageLayoutView="0" workbookViewId="0" topLeftCell="A1">
      <selection activeCell="F55" sqref="F55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7.8515625" style="9" hidden="1" customWidth="1"/>
    <col min="10" max="10" width="16.28125" style="9" customWidth="1"/>
    <col min="11" max="11" width="16.421875" style="9" customWidth="1"/>
    <col min="12" max="14" width="9.7109375" style="9" customWidth="1"/>
    <col min="15" max="15" width="6.421875" style="9" customWidth="1"/>
    <col min="16" max="16" width="4.140625" style="9" hidden="1" customWidth="1"/>
    <col min="17" max="17" width="12.28125" style="9" hidden="1" customWidth="1"/>
    <col min="18" max="19" width="5.00390625" style="9" hidden="1" customWidth="1"/>
    <col min="20" max="20" width="11.57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'TOT-1215'!B2</f>
        <v>ANEXO I al Memorándum D.T.E.E. N°  231  / 2017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19"/>
    </row>
    <row r="8" spans="2:23" s="18" customFormat="1" ht="20.25">
      <c r="B8" s="95"/>
      <c r="C8" s="23"/>
      <c r="D8" s="23"/>
      <c r="E8" s="23"/>
      <c r="F8" s="420" t="s">
        <v>20</v>
      </c>
      <c r="N8" s="283"/>
      <c r="O8" s="283"/>
      <c r="P8" s="285"/>
      <c r="Q8" s="23"/>
      <c r="R8" s="23"/>
      <c r="S8" s="23"/>
      <c r="T8" s="23"/>
      <c r="U8" s="23"/>
      <c r="V8" s="23"/>
      <c r="W8" s="421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22" t="s">
        <v>62</v>
      </c>
      <c r="G10" s="423"/>
      <c r="H10" s="283"/>
      <c r="I10" s="424"/>
      <c r="K10" s="424"/>
      <c r="L10" s="424"/>
      <c r="M10" s="424"/>
      <c r="N10" s="424"/>
      <c r="O10" s="424"/>
      <c r="P10" s="424"/>
      <c r="Q10" s="23"/>
      <c r="R10" s="23"/>
      <c r="S10" s="23"/>
      <c r="T10" s="23"/>
      <c r="U10" s="23"/>
      <c r="V10" s="23"/>
      <c r="W10" s="421"/>
    </row>
    <row r="11" spans="2:23" s="8" customFormat="1" ht="13.5">
      <c r="B11" s="55"/>
      <c r="C11" s="11"/>
      <c r="D11" s="11"/>
      <c r="E11" s="11"/>
      <c r="F11" s="425"/>
      <c r="G11" s="425"/>
      <c r="H11" s="89"/>
      <c r="I11" s="426"/>
      <c r="J11" s="67"/>
      <c r="K11" s="426"/>
      <c r="L11" s="426"/>
      <c r="M11" s="426"/>
      <c r="N11" s="426"/>
      <c r="O11" s="426"/>
      <c r="P11" s="426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22" t="s">
        <v>476</v>
      </c>
      <c r="G12" s="423"/>
      <c r="H12" s="283"/>
      <c r="I12" s="424"/>
      <c r="K12" s="424"/>
      <c r="L12" s="424"/>
      <c r="M12" s="424"/>
      <c r="N12" s="424"/>
      <c r="O12" s="424"/>
      <c r="P12" s="424"/>
      <c r="Q12" s="23"/>
      <c r="R12" s="23"/>
      <c r="S12" s="23"/>
      <c r="T12" s="23"/>
      <c r="U12" s="23"/>
      <c r="V12" s="23"/>
      <c r="W12" s="421"/>
    </row>
    <row r="13" spans="2:23" s="8" customFormat="1" ht="13.5">
      <c r="B13" s="55"/>
      <c r="C13" s="11"/>
      <c r="D13" s="11"/>
      <c r="E13" s="11"/>
      <c r="F13" s="425"/>
      <c r="G13" s="425"/>
      <c r="H13" s="89"/>
      <c r="I13" s="426"/>
      <c r="J13" s="67"/>
      <c r="K13" s="426"/>
      <c r="L13" s="426"/>
      <c r="M13" s="426"/>
      <c r="N13" s="426"/>
      <c r="O13" s="426"/>
      <c r="P13" s="426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'TOT-1215'!B14</f>
        <v>Desde el 01 al 31 de diciembre de 2015</v>
      </c>
      <c r="C14" s="39"/>
      <c r="D14" s="39"/>
      <c r="E14" s="39"/>
      <c r="F14" s="39"/>
      <c r="G14" s="39"/>
      <c r="H14" s="39"/>
      <c r="I14" s="427"/>
      <c r="J14" s="427"/>
      <c r="K14" s="427"/>
      <c r="L14" s="427"/>
      <c r="M14" s="427"/>
      <c r="N14" s="427"/>
      <c r="O14" s="427"/>
      <c r="P14" s="427"/>
      <c r="Q14" s="39"/>
      <c r="R14" s="39"/>
      <c r="S14" s="39"/>
      <c r="T14" s="39"/>
      <c r="U14" s="39"/>
      <c r="V14" s="39"/>
      <c r="W14" s="428"/>
    </row>
    <row r="15" spans="2:23" s="8" customFormat="1" ht="14.25" thickBot="1">
      <c r="B15" s="429"/>
      <c r="C15" s="430"/>
      <c r="D15" s="430"/>
      <c r="E15" s="430"/>
      <c r="F15" s="430"/>
      <c r="G15" s="430"/>
      <c r="H15" s="430"/>
      <c r="I15" s="431"/>
      <c r="J15" s="431"/>
      <c r="K15" s="431"/>
      <c r="L15" s="431"/>
      <c r="M15" s="431"/>
      <c r="N15" s="431"/>
      <c r="O15" s="431"/>
      <c r="P15" s="431"/>
      <c r="Q15" s="430"/>
      <c r="R15" s="430"/>
      <c r="S15" s="430"/>
      <c r="T15" s="430"/>
      <c r="U15" s="430"/>
      <c r="V15" s="430"/>
      <c r="W15" s="432"/>
    </row>
    <row r="16" spans="2:23" s="8" customFormat="1" ht="15" thickBot="1" thickTop="1">
      <c r="B16" s="55"/>
      <c r="C16" s="11"/>
      <c r="D16" s="11"/>
      <c r="E16" s="11"/>
      <c r="F16" s="433"/>
      <c r="G16" s="433"/>
      <c r="H16" s="434" t="s">
        <v>64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35" t="s">
        <v>65</v>
      </c>
      <c r="G17" s="436">
        <v>276.033</v>
      </c>
      <c r="H17" s="437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38" t="s">
        <v>66</v>
      </c>
      <c r="G18" s="439" t="s">
        <v>70</v>
      </c>
      <c r="H18" s="437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40" t="s">
        <v>67</v>
      </c>
      <c r="G19" s="439">
        <v>220.831</v>
      </c>
      <c r="H19" s="437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17" t="s">
        <v>25</v>
      </c>
      <c r="D21" s="111" t="s">
        <v>26</v>
      </c>
      <c r="E21" s="111" t="s">
        <v>27</v>
      </c>
      <c r="F21" s="114" t="s">
        <v>54</v>
      </c>
      <c r="G21" s="441" t="s">
        <v>55</v>
      </c>
      <c r="H21" s="442" t="s">
        <v>28</v>
      </c>
      <c r="I21" s="322" t="s">
        <v>32</v>
      </c>
      <c r="J21" s="112" t="s">
        <v>33</v>
      </c>
      <c r="K21" s="441" t="s">
        <v>34</v>
      </c>
      <c r="L21" s="443" t="s">
        <v>35</v>
      </c>
      <c r="M21" s="443" t="s">
        <v>36</v>
      </c>
      <c r="N21" s="119" t="s">
        <v>321</v>
      </c>
      <c r="O21" s="118" t="s">
        <v>39</v>
      </c>
      <c r="P21" s="444" t="s">
        <v>31</v>
      </c>
      <c r="Q21" s="445" t="s">
        <v>68</v>
      </c>
      <c r="R21" s="446" t="s">
        <v>69</v>
      </c>
      <c r="S21" s="447"/>
      <c r="T21" s="448" t="s">
        <v>44</v>
      </c>
      <c r="U21" s="130" t="s">
        <v>46</v>
      </c>
      <c r="V21" s="321" t="s">
        <v>47</v>
      </c>
      <c r="W21" s="60"/>
    </row>
    <row r="22" spans="2:23" s="8" customFormat="1" ht="16.5" customHeight="1" thickTop="1">
      <c r="B22" s="55"/>
      <c r="C22" s="331"/>
      <c r="D22" s="331"/>
      <c r="E22" s="331"/>
      <c r="F22" s="449"/>
      <c r="G22" s="449"/>
      <c r="H22" s="449"/>
      <c r="I22" s="272"/>
      <c r="J22" s="449"/>
      <c r="K22" s="449"/>
      <c r="L22" s="449"/>
      <c r="M22" s="449"/>
      <c r="N22" s="449"/>
      <c r="O22" s="449"/>
      <c r="P22" s="450"/>
      <c r="Q22" s="451"/>
      <c r="R22" s="452"/>
      <c r="S22" s="453"/>
      <c r="T22" s="454"/>
      <c r="U22" s="449"/>
      <c r="V22" s="455"/>
      <c r="W22" s="60"/>
    </row>
    <row r="23" spans="2:23" s="8" customFormat="1" ht="16.5" customHeight="1">
      <c r="B23" s="55"/>
      <c r="C23" s="150"/>
      <c r="D23" s="150"/>
      <c r="E23" s="150"/>
      <c r="F23" s="456"/>
      <c r="G23" s="456"/>
      <c r="H23" s="456"/>
      <c r="I23" s="457"/>
      <c r="J23" s="456"/>
      <c r="K23" s="456"/>
      <c r="L23" s="456"/>
      <c r="M23" s="456"/>
      <c r="N23" s="456"/>
      <c r="O23" s="456"/>
      <c r="P23" s="458"/>
      <c r="Q23" s="459"/>
      <c r="R23" s="460"/>
      <c r="S23" s="461"/>
      <c r="T23" s="462"/>
      <c r="U23" s="456"/>
      <c r="V23" s="463"/>
      <c r="W23" s="60"/>
    </row>
    <row r="24" spans="2:23" s="8" customFormat="1" ht="16.5" customHeight="1">
      <c r="B24" s="55"/>
      <c r="C24" s="150">
        <v>60</v>
      </c>
      <c r="D24" s="150">
        <v>295439</v>
      </c>
      <c r="E24" s="169">
        <v>5020</v>
      </c>
      <c r="F24" s="464" t="s">
        <v>353</v>
      </c>
      <c r="G24" s="464" t="s">
        <v>428</v>
      </c>
      <c r="H24" s="465">
        <v>132</v>
      </c>
      <c r="I24" s="466">
        <f aca="true" t="shared" si="0" ref="I24:I43">IF(H24=500,$G$17,IF(H24=220,$G$18,$G$19))</f>
        <v>220.831</v>
      </c>
      <c r="J24" s="467">
        <v>42344.31527777778</v>
      </c>
      <c r="K24" s="468">
        <v>42344.510416666664</v>
      </c>
      <c r="L24" s="469">
        <f aca="true" t="shared" si="1" ref="L24:L43">IF(F24="","",(K24-J24)*24)</f>
        <v>4.68333333323244</v>
      </c>
      <c r="M24" s="470">
        <f aca="true" t="shared" si="2" ref="M24:M43">IF(F24="","",ROUND((K24-J24)*24*60,0))</f>
        <v>281</v>
      </c>
      <c r="N24" s="178" t="s">
        <v>332</v>
      </c>
      <c r="O24" s="180" t="str">
        <f aca="true" t="shared" si="3" ref="O24:O29">IF(F24="","",IF(N24="P","--","NO"))</f>
        <v>--</v>
      </c>
      <c r="P24" s="471">
        <f aca="true" t="shared" si="4" ref="P24:P43">IF(H24=500,$H$17,IF(H24=220,$H$18,$H$19))</f>
        <v>40</v>
      </c>
      <c r="Q24" s="472">
        <f aca="true" t="shared" si="5" ref="Q24:Q43">IF(N24="P",I24*P24*ROUND(M24/60,2)*0.1,"--")</f>
        <v>4133.95632</v>
      </c>
      <c r="R24" s="460" t="str">
        <f aca="true" t="shared" si="6" ref="R24:R43">IF(AND(N24="F",O24="NO"),I24*P24,"--")</f>
        <v>--</v>
      </c>
      <c r="S24" s="461" t="str">
        <f aca="true" t="shared" si="7" ref="S24:S43">IF(N24="F",I24*P24*ROUND(M24/60,2),"--")</f>
        <v>--</v>
      </c>
      <c r="T24" s="462" t="str">
        <f aca="true" t="shared" si="8" ref="T24:T43">IF(N24="RF",I24*P24*ROUND(M24/60,2),"--")</f>
        <v>--</v>
      </c>
      <c r="U24" s="180" t="str">
        <f aca="true" t="shared" si="9" ref="U24:U43">IF(F24="","","SI")</f>
        <v>SI</v>
      </c>
      <c r="V24" s="473">
        <f aca="true" t="shared" si="10" ref="V24:V43">IF(F24="","",SUM(Q24:T24)*IF(U24="SI",1,2))</f>
        <v>4133.95632</v>
      </c>
      <c r="W24" s="60"/>
    </row>
    <row r="25" spans="2:23" s="8" customFormat="1" ht="16.5" customHeight="1">
      <c r="B25" s="55"/>
      <c r="C25" s="150"/>
      <c r="D25" s="150"/>
      <c r="E25" s="169"/>
      <c r="F25" s="464"/>
      <c r="G25" s="464"/>
      <c r="H25" s="465"/>
      <c r="I25" s="466">
        <f>IF(H25=500,$G$17,IF(H25=220,$G$18,$G$19))</f>
        <v>220.831</v>
      </c>
      <c r="J25" s="467"/>
      <c r="K25" s="468"/>
      <c r="L25" s="469">
        <f>IF(F25="","",(K25-J25)*24)</f>
      </c>
      <c r="M25" s="470">
        <f>IF(F25="","",ROUND((K25-J25)*24*60,0))</f>
      </c>
      <c r="N25" s="178"/>
      <c r="O25" s="180">
        <f t="shared" si="3"/>
      </c>
      <c r="P25" s="471">
        <f>IF(H25=500,$H$17,IF(H25=220,$H$18,$H$19))</f>
        <v>40</v>
      </c>
      <c r="Q25" s="472" t="str">
        <f>IF(N25="P",I25*P25*ROUND(M25/60,2)*0.1,"--")</f>
        <v>--</v>
      </c>
      <c r="R25" s="460" t="str">
        <f>IF(AND(N25="F",O25="NO"),I25*P25,"--")</f>
        <v>--</v>
      </c>
      <c r="S25" s="461" t="str">
        <f>IF(N25="F",I25*P25*ROUND(M25/60,2),"--")</f>
        <v>--</v>
      </c>
      <c r="T25" s="462" t="str">
        <f>IF(N25="RF",I25*P25*ROUND(M25/60,2),"--")</f>
        <v>--</v>
      </c>
      <c r="U25" s="180">
        <f>IF(F25="","","SI")</f>
      </c>
      <c r="V25" s="473">
        <f>IF(F25="","",SUM(Q25:T25)*IF(U25="SI",1,2))</f>
      </c>
      <c r="W25" s="60"/>
    </row>
    <row r="26" spans="2:23" s="8" customFormat="1" ht="16.5" customHeight="1">
      <c r="B26" s="55"/>
      <c r="C26" s="150"/>
      <c r="D26" s="150"/>
      <c r="E26" s="169"/>
      <c r="F26" s="464"/>
      <c r="G26" s="464"/>
      <c r="H26" s="465"/>
      <c r="I26" s="466">
        <f>IF(H26=500,$G$17,IF(H26=220,$G$18,$G$19))</f>
        <v>220.831</v>
      </c>
      <c r="J26" s="467"/>
      <c r="K26" s="468"/>
      <c r="L26" s="469">
        <f>IF(F26="","",(K26-J26)*24)</f>
      </c>
      <c r="M26" s="470">
        <f>IF(F26="","",ROUND((K26-J26)*24*60,0))</f>
      </c>
      <c r="N26" s="178"/>
      <c r="O26" s="180">
        <f t="shared" si="3"/>
      </c>
      <c r="P26" s="471">
        <f>IF(H26=500,$H$17,IF(H26=220,$H$18,$H$19))</f>
        <v>40</v>
      </c>
      <c r="Q26" s="472" t="str">
        <f>IF(N26="P",I26*P26*ROUND(M26/60,2)*0.1,"--")</f>
        <v>--</v>
      </c>
      <c r="R26" s="460" t="str">
        <f>IF(AND(N26="F",O26="NO"),I26*P26,"--")</f>
        <v>--</v>
      </c>
      <c r="S26" s="461" t="str">
        <f>IF(N26="F",I26*P26*ROUND(M26/60,2),"--")</f>
        <v>--</v>
      </c>
      <c r="T26" s="462" t="str">
        <f>IF(N26="RF",I26*P26*ROUND(M26/60,2),"--")</f>
        <v>--</v>
      </c>
      <c r="U26" s="180">
        <f>IF(F26="","","SI")</f>
      </c>
      <c r="V26" s="473">
        <f>IF(F26="","",SUM(Q26:T26)*IF(U26="SI",1,2))</f>
      </c>
      <c r="W26" s="60"/>
    </row>
    <row r="27" spans="2:23" s="8" customFormat="1" ht="16.5" customHeight="1">
      <c r="B27" s="55"/>
      <c r="C27" s="150"/>
      <c r="D27" s="150"/>
      <c r="E27" s="169"/>
      <c r="F27" s="464"/>
      <c r="G27" s="464"/>
      <c r="H27" s="465"/>
      <c r="I27" s="466">
        <f>IF(H27=500,$G$17,IF(H27=220,$G$18,$G$19))</f>
        <v>220.831</v>
      </c>
      <c r="J27" s="467"/>
      <c r="K27" s="468"/>
      <c r="L27" s="469">
        <f>IF(F27="","",(K27-J27)*24)</f>
      </c>
      <c r="M27" s="470">
        <f>IF(F27="","",ROUND((K27-J27)*24*60,0))</f>
      </c>
      <c r="N27" s="178"/>
      <c r="O27" s="180">
        <f t="shared" si="3"/>
      </c>
      <c r="P27" s="471">
        <f>IF(H27=500,$H$17,IF(H27=220,$H$18,$H$19))</f>
        <v>40</v>
      </c>
      <c r="Q27" s="472" t="str">
        <f>IF(N27="P",I27*P27*ROUND(M27/60,2)*0.1,"--")</f>
        <v>--</v>
      </c>
      <c r="R27" s="460" t="str">
        <f>IF(AND(N27="F",O27="NO"),I27*P27,"--")</f>
        <v>--</v>
      </c>
      <c r="S27" s="461" t="str">
        <f>IF(N27="F",I27*P27*ROUND(M27/60,2),"--")</f>
        <v>--</v>
      </c>
      <c r="T27" s="462" t="str">
        <f>IF(N27="RF",I27*P27*ROUND(M27/60,2),"--")</f>
        <v>--</v>
      </c>
      <c r="U27" s="180">
        <f>IF(F27="","","SI")</f>
      </c>
      <c r="V27" s="473">
        <f>IF(F27="","",SUM(Q27:T27)*IF(U27="SI",1,2))</f>
      </c>
      <c r="W27" s="60"/>
    </row>
    <row r="28" spans="2:23" s="8" customFormat="1" ht="16.5" customHeight="1">
      <c r="B28" s="55"/>
      <c r="C28" s="150"/>
      <c r="D28" s="150"/>
      <c r="E28" s="169"/>
      <c r="F28" s="464"/>
      <c r="G28" s="464"/>
      <c r="H28" s="465"/>
      <c r="I28" s="466">
        <f>IF(H28=500,$G$17,IF(H28=220,$G$18,$G$19))</f>
        <v>220.831</v>
      </c>
      <c r="J28" s="467"/>
      <c r="K28" s="468"/>
      <c r="L28" s="469">
        <f>IF(F28="","",(K28-J28)*24)</f>
      </c>
      <c r="M28" s="470">
        <f>IF(F28="","",ROUND((K28-J28)*24*60,0))</f>
      </c>
      <c r="N28" s="178"/>
      <c r="O28" s="180">
        <f t="shared" si="3"/>
      </c>
      <c r="P28" s="471">
        <f>IF(H28=500,$H$17,IF(H28=220,$H$18,$H$19))</f>
        <v>40</v>
      </c>
      <c r="Q28" s="472" t="str">
        <f>IF(N28="P",I28*P28*ROUND(M28/60,2)*0.1,"--")</f>
        <v>--</v>
      </c>
      <c r="R28" s="460" t="str">
        <f>IF(AND(N28="F",O28="NO"),I28*P28,"--")</f>
        <v>--</v>
      </c>
      <c r="S28" s="461" t="str">
        <f>IF(N28="F",I28*P28*ROUND(M28/60,2),"--")</f>
        <v>--</v>
      </c>
      <c r="T28" s="462" t="str">
        <f>IF(N28="RF",I28*P28*ROUND(M28/60,2),"--")</f>
        <v>--</v>
      </c>
      <c r="U28" s="180">
        <f>IF(F28="","","SI")</f>
      </c>
      <c r="V28" s="473">
        <f>IF(F28="","",SUM(Q28:T28)*IF(U28="SI",1,2))</f>
      </c>
      <c r="W28" s="60"/>
    </row>
    <row r="29" spans="2:23" s="8" customFormat="1" ht="16.5" customHeight="1">
      <c r="B29" s="55"/>
      <c r="C29" s="150"/>
      <c r="D29" s="150"/>
      <c r="E29" s="169"/>
      <c r="F29" s="464"/>
      <c r="G29" s="464"/>
      <c r="H29" s="465"/>
      <c r="I29" s="466">
        <f>IF(H29=500,$G$17,IF(H29=220,$G$18,$G$19))</f>
        <v>220.831</v>
      </c>
      <c r="J29" s="467"/>
      <c r="K29" s="468"/>
      <c r="L29" s="469">
        <f>IF(F29="","",(K29-J29)*24)</f>
      </c>
      <c r="M29" s="470">
        <f>IF(F29="","",ROUND((K29-J29)*24*60,0))</f>
      </c>
      <c r="N29" s="178"/>
      <c r="O29" s="180">
        <f t="shared" si="3"/>
      </c>
      <c r="P29" s="471">
        <f>IF(H29=500,$H$17,IF(H29=220,$H$18,$H$19))</f>
        <v>40</v>
      </c>
      <c r="Q29" s="472" t="str">
        <f>IF(N29="P",I29*P29*ROUND(M29/60,2)*0.1,"--")</f>
        <v>--</v>
      </c>
      <c r="R29" s="460" t="str">
        <f>IF(AND(N29="F",O29="NO"),I29*P29,"--")</f>
        <v>--</v>
      </c>
      <c r="S29" s="461" t="str">
        <f>IF(N29="F",I29*P29*ROUND(M29/60,2),"--")</f>
        <v>--</v>
      </c>
      <c r="T29" s="462" t="str">
        <f>IF(N29="RF",I29*P29*ROUND(M29/60,2),"--")</f>
        <v>--</v>
      </c>
      <c r="U29" s="180">
        <f>IF(F29="","","SI")</f>
      </c>
      <c r="V29" s="473">
        <f>IF(F29="","",SUM(Q29:T29)*IF(U29="SI",1,2))</f>
      </c>
      <c r="W29" s="60"/>
    </row>
    <row r="30" spans="2:23" s="8" customFormat="1" ht="16.5" customHeight="1">
      <c r="B30" s="55"/>
      <c r="C30" s="150"/>
      <c r="D30" s="150"/>
      <c r="E30" s="169"/>
      <c r="F30" s="464"/>
      <c r="G30" s="464"/>
      <c r="H30" s="465"/>
      <c r="I30" s="466">
        <f t="shared" si="0"/>
        <v>220.831</v>
      </c>
      <c r="J30" s="467"/>
      <c r="K30" s="468"/>
      <c r="L30" s="469">
        <f t="shared" si="1"/>
      </c>
      <c r="M30" s="470">
        <f t="shared" si="2"/>
      </c>
      <c r="N30" s="178"/>
      <c r="O30" s="180">
        <f aca="true" t="shared" si="11" ref="O30:O43">IF(F30="","",IF(N30="P","--","NO"))</f>
      </c>
      <c r="P30" s="471">
        <f t="shared" si="4"/>
        <v>40</v>
      </c>
      <c r="Q30" s="472" t="str">
        <f t="shared" si="5"/>
        <v>--</v>
      </c>
      <c r="R30" s="460" t="str">
        <f t="shared" si="6"/>
        <v>--</v>
      </c>
      <c r="S30" s="461" t="str">
        <f t="shared" si="7"/>
        <v>--</v>
      </c>
      <c r="T30" s="462" t="str">
        <f t="shared" si="8"/>
        <v>--</v>
      </c>
      <c r="U30" s="180">
        <f t="shared" si="9"/>
      </c>
      <c r="V30" s="473">
        <f t="shared" si="10"/>
      </c>
      <c r="W30" s="60"/>
    </row>
    <row r="31" spans="2:23" s="8" customFormat="1" ht="16.5" customHeight="1">
      <c r="B31" s="55"/>
      <c r="C31" s="150"/>
      <c r="D31" s="150"/>
      <c r="E31" s="150"/>
      <c r="F31" s="464"/>
      <c r="G31" s="464"/>
      <c r="H31" s="465"/>
      <c r="I31" s="466">
        <f t="shared" si="0"/>
        <v>220.831</v>
      </c>
      <c r="J31" s="467"/>
      <c r="K31" s="468"/>
      <c r="L31" s="469">
        <f t="shared" si="1"/>
      </c>
      <c r="M31" s="470">
        <f t="shared" si="2"/>
      </c>
      <c r="N31" s="178"/>
      <c r="O31" s="180">
        <f t="shared" si="11"/>
      </c>
      <c r="P31" s="471">
        <f t="shared" si="4"/>
        <v>40</v>
      </c>
      <c r="Q31" s="472" t="str">
        <f t="shared" si="5"/>
        <v>--</v>
      </c>
      <c r="R31" s="460" t="str">
        <f t="shared" si="6"/>
        <v>--</v>
      </c>
      <c r="S31" s="461" t="str">
        <f t="shared" si="7"/>
        <v>--</v>
      </c>
      <c r="T31" s="462" t="str">
        <f t="shared" si="8"/>
        <v>--</v>
      </c>
      <c r="U31" s="180">
        <f t="shared" si="9"/>
      </c>
      <c r="V31" s="473">
        <f t="shared" si="10"/>
      </c>
      <c r="W31" s="60"/>
    </row>
    <row r="32" spans="2:23" s="8" customFormat="1" ht="16.5" customHeight="1">
      <c r="B32" s="55"/>
      <c r="C32" s="150"/>
      <c r="D32" s="150"/>
      <c r="E32" s="169"/>
      <c r="F32" s="464"/>
      <c r="G32" s="464"/>
      <c r="H32" s="465"/>
      <c r="I32" s="466">
        <f t="shared" si="0"/>
        <v>220.831</v>
      </c>
      <c r="J32" s="467"/>
      <c r="K32" s="468"/>
      <c r="L32" s="469">
        <f t="shared" si="1"/>
      </c>
      <c r="M32" s="470">
        <f t="shared" si="2"/>
      </c>
      <c r="N32" s="178"/>
      <c r="O32" s="180">
        <f t="shared" si="11"/>
      </c>
      <c r="P32" s="471">
        <f t="shared" si="4"/>
        <v>40</v>
      </c>
      <c r="Q32" s="472" t="str">
        <f t="shared" si="5"/>
        <v>--</v>
      </c>
      <c r="R32" s="460" t="str">
        <f t="shared" si="6"/>
        <v>--</v>
      </c>
      <c r="S32" s="461" t="str">
        <f t="shared" si="7"/>
        <v>--</v>
      </c>
      <c r="T32" s="462" t="str">
        <f t="shared" si="8"/>
        <v>--</v>
      </c>
      <c r="U32" s="180">
        <f t="shared" si="9"/>
      </c>
      <c r="V32" s="473">
        <f t="shared" si="10"/>
      </c>
      <c r="W32" s="60"/>
    </row>
    <row r="33" spans="2:23" s="8" customFormat="1" ht="16.5" customHeight="1">
      <c r="B33" s="55"/>
      <c r="C33" s="150"/>
      <c r="D33" s="150"/>
      <c r="E33" s="150"/>
      <c r="F33" s="464"/>
      <c r="G33" s="464"/>
      <c r="H33" s="465"/>
      <c r="I33" s="466">
        <f t="shared" si="0"/>
        <v>220.831</v>
      </c>
      <c r="J33" s="467"/>
      <c r="K33" s="468"/>
      <c r="L33" s="469">
        <f t="shared" si="1"/>
      </c>
      <c r="M33" s="470">
        <f t="shared" si="2"/>
      </c>
      <c r="N33" s="178"/>
      <c r="O33" s="180">
        <f t="shared" si="11"/>
      </c>
      <c r="P33" s="471">
        <f t="shared" si="4"/>
        <v>40</v>
      </c>
      <c r="Q33" s="472" t="str">
        <f t="shared" si="5"/>
        <v>--</v>
      </c>
      <c r="R33" s="460" t="str">
        <f t="shared" si="6"/>
        <v>--</v>
      </c>
      <c r="S33" s="461" t="str">
        <f t="shared" si="7"/>
        <v>--</v>
      </c>
      <c r="T33" s="462" t="str">
        <f t="shared" si="8"/>
        <v>--</v>
      </c>
      <c r="U33" s="180">
        <f t="shared" si="9"/>
      </c>
      <c r="V33" s="473">
        <f t="shared" si="10"/>
      </c>
      <c r="W33" s="60"/>
    </row>
    <row r="34" spans="2:23" s="8" customFormat="1" ht="16.5" customHeight="1">
      <c r="B34" s="55"/>
      <c r="C34" s="150"/>
      <c r="D34" s="150"/>
      <c r="E34" s="169"/>
      <c r="F34" s="464"/>
      <c r="G34" s="464"/>
      <c r="H34" s="465"/>
      <c r="I34" s="466">
        <f t="shared" si="0"/>
        <v>220.831</v>
      </c>
      <c r="J34" s="467"/>
      <c r="K34" s="468"/>
      <c r="L34" s="469">
        <f t="shared" si="1"/>
      </c>
      <c r="M34" s="470">
        <f t="shared" si="2"/>
      </c>
      <c r="N34" s="178"/>
      <c r="O34" s="180">
        <f t="shared" si="11"/>
      </c>
      <c r="P34" s="471">
        <f t="shared" si="4"/>
        <v>40</v>
      </c>
      <c r="Q34" s="472" t="str">
        <f t="shared" si="5"/>
        <v>--</v>
      </c>
      <c r="R34" s="460" t="str">
        <f t="shared" si="6"/>
        <v>--</v>
      </c>
      <c r="S34" s="461" t="str">
        <f t="shared" si="7"/>
        <v>--</v>
      </c>
      <c r="T34" s="462" t="str">
        <f t="shared" si="8"/>
        <v>--</v>
      </c>
      <c r="U34" s="180">
        <f t="shared" si="9"/>
      </c>
      <c r="V34" s="473">
        <f t="shared" si="10"/>
      </c>
      <c r="W34" s="60"/>
    </row>
    <row r="35" spans="2:23" s="8" customFormat="1" ht="16.5" customHeight="1">
      <c r="B35" s="55"/>
      <c r="C35" s="150"/>
      <c r="D35" s="150"/>
      <c r="E35" s="150"/>
      <c r="F35" s="464"/>
      <c r="G35" s="464"/>
      <c r="H35" s="465"/>
      <c r="I35" s="466">
        <f t="shared" si="0"/>
        <v>220.831</v>
      </c>
      <c r="J35" s="467"/>
      <c r="K35" s="468"/>
      <c r="L35" s="469">
        <f t="shared" si="1"/>
      </c>
      <c r="M35" s="470">
        <f t="shared" si="2"/>
      </c>
      <c r="N35" s="178"/>
      <c r="O35" s="180">
        <f t="shared" si="11"/>
      </c>
      <c r="P35" s="471">
        <f t="shared" si="4"/>
        <v>40</v>
      </c>
      <c r="Q35" s="472" t="str">
        <f t="shared" si="5"/>
        <v>--</v>
      </c>
      <c r="R35" s="460" t="str">
        <f t="shared" si="6"/>
        <v>--</v>
      </c>
      <c r="S35" s="461" t="str">
        <f t="shared" si="7"/>
        <v>--</v>
      </c>
      <c r="T35" s="462" t="str">
        <f t="shared" si="8"/>
        <v>--</v>
      </c>
      <c r="U35" s="180">
        <f t="shared" si="9"/>
      </c>
      <c r="V35" s="473">
        <f t="shared" si="10"/>
      </c>
      <c r="W35" s="60"/>
    </row>
    <row r="36" spans="2:23" s="8" customFormat="1" ht="16.5" customHeight="1">
      <c r="B36" s="55"/>
      <c r="C36" s="150"/>
      <c r="D36" s="150"/>
      <c r="E36" s="169"/>
      <c r="F36" s="464"/>
      <c r="G36" s="464"/>
      <c r="H36" s="465"/>
      <c r="I36" s="466">
        <f t="shared" si="0"/>
        <v>220.831</v>
      </c>
      <c r="J36" s="467"/>
      <c r="K36" s="468"/>
      <c r="L36" s="469">
        <f t="shared" si="1"/>
      </c>
      <c r="M36" s="470">
        <f t="shared" si="2"/>
      </c>
      <c r="N36" s="178"/>
      <c r="O36" s="180">
        <f t="shared" si="11"/>
      </c>
      <c r="P36" s="471">
        <f t="shared" si="4"/>
        <v>40</v>
      </c>
      <c r="Q36" s="472" t="str">
        <f t="shared" si="5"/>
        <v>--</v>
      </c>
      <c r="R36" s="460" t="str">
        <f t="shared" si="6"/>
        <v>--</v>
      </c>
      <c r="S36" s="461" t="str">
        <f t="shared" si="7"/>
        <v>--</v>
      </c>
      <c r="T36" s="462" t="str">
        <f t="shared" si="8"/>
        <v>--</v>
      </c>
      <c r="U36" s="180">
        <f t="shared" si="9"/>
      </c>
      <c r="V36" s="473">
        <f t="shared" si="10"/>
      </c>
      <c r="W36" s="60"/>
    </row>
    <row r="37" spans="2:23" s="8" customFormat="1" ht="16.5" customHeight="1">
      <c r="B37" s="55"/>
      <c r="C37" s="150"/>
      <c r="D37" s="150"/>
      <c r="E37" s="150"/>
      <c r="F37" s="464"/>
      <c r="G37" s="464"/>
      <c r="H37" s="465"/>
      <c r="I37" s="466">
        <f t="shared" si="0"/>
        <v>220.831</v>
      </c>
      <c r="J37" s="467"/>
      <c r="K37" s="468"/>
      <c r="L37" s="469">
        <f t="shared" si="1"/>
      </c>
      <c r="M37" s="470">
        <f t="shared" si="2"/>
      </c>
      <c r="N37" s="178"/>
      <c r="O37" s="180">
        <f t="shared" si="11"/>
      </c>
      <c r="P37" s="471">
        <f t="shared" si="4"/>
        <v>40</v>
      </c>
      <c r="Q37" s="472" t="str">
        <f t="shared" si="5"/>
        <v>--</v>
      </c>
      <c r="R37" s="460" t="str">
        <f t="shared" si="6"/>
        <v>--</v>
      </c>
      <c r="S37" s="461" t="str">
        <f t="shared" si="7"/>
        <v>--</v>
      </c>
      <c r="T37" s="462" t="str">
        <f t="shared" si="8"/>
        <v>--</v>
      </c>
      <c r="U37" s="180">
        <f t="shared" si="9"/>
      </c>
      <c r="V37" s="473">
        <f t="shared" si="10"/>
      </c>
      <c r="W37" s="60"/>
    </row>
    <row r="38" spans="2:23" s="8" customFormat="1" ht="16.5" customHeight="1">
      <c r="B38" s="55"/>
      <c r="C38" s="150"/>
      <c r="D38" s="150"/>
      <c r="E38" s="169"/>
      <c r="F38" s="464"/>
      <c r="G38" s="464"/>
      <c r="H38" s="465"/>
      <c r="I38" s="466">
        <f t="shared" si="0"/>
        <v>220.831</v>
      </c>
      <c r="J38" s="467"/>
      <c r="K38" s="468"/>
      <c r="L38" s="469">
        <f t="shared" si="1"/>
      </c>
      <c r="M38" s="470">
        <f t="shared" si="2"/>
      </c>
      <c r="N38" s="178"/>
      <c r="O38" s="180">
        <f t="shared" si="11"/>
      </c>
      <c r="P38" s="471">
        <f t="shared" si="4"/>
        <v>40</v>
      </c>
      <c r="Q38" s="472" t="str">
        <f t="shared" si="5"/>
        <v>--</v>
      </c>
      <c r="R38" s="460" t="str">
        <f t="shared" si="6"/>
        <v>--</v>
      </c>
      <c r="S38" s="461" t="str">
        <f t="shared" si="7"/>
        <v>--</v>
      </c>
      <c r="T38" s="462" t="str">
        <f t="shared" si="8"/>
        <v>--</v>
      </c>
      <c r="U38" s="180">
        <f t="shared" si="9"/>
      </c>
      <c r="V38" s="473">
        <f t="shared" si="10"/>
      </c>
      <c r="W38" s="60"/>
    </row>
    <row r="39" spans="2:23" s="8" customFormat="1" ht="16.5" customHeight="1">
      <c r="B39" s="55"/>
      <c r="C39" s="150"/>
      <c r="D39" s="150"/>
      <c r="E39" s="150"/>
      <c r="F39" s="464"/>
      <c r="G39" s="464"/>
      <c r="H39" s="465"/>
      <c r="I39" s="466">
        <f t="shared" si="0"/>
        <v>220.831</v>
      </c>
      <c r="J39" s="467"/>
      <c r="K39" s="468"/>
      <c r="L39" s="469">
        <f t="shared" si="1"/>
      </c>
      <c r="M39" s="470">
        <f t="shared" si="2"/>
      </c>
      <c r="N39" s="178"/>
      <c r="O39" s="180">
        <f t="shared" si="11"/>
      </c>
      <c r="P39" s="471">
        <f t="shared" si="4"/>
        <v>40</v>
      </c>
      <c r="Q39" s="472" t="str">
        <f t="shared" si="5"/>
        <v>--</v>
      </c>
      <c r="R39" s="460" t="str">
        <f t="shared" si="6"/>
        <v>--</v>
      </c>
      <c r="S39" s="461" t="str">
        <f t="shared" si="7"/>
        <v>--</v>
      </c>
      <c r="T39" s="462" t="str">
        <f t="shared" si="8"/>
        <v>--</v>
      </c>
      <c r="U39" s="180">
        <f t="shared" si="9"/>
      </c>
      <c r="V39" s="473">
        <f t="shared" si="10"/>
      </c>
      <c r="W39" s="60"/>
    </row>
    <row r="40" spans="2:23" s="8" customFormat="1" ht="16.5" customHeight="1">
      <c r="B40" s="55"/>
      <c r="C40" s="150"/>
      <c r="D40" s="150"/>
      <c r="E40" s="169"/>
      <c r="F40" s="464"/>
      <c r="G40" s="464"/>
      <c r="H40" s="465"/>
      <c r="I40" s="466">
        <f t="shared" si="0"/>
        <v>220.831</v>
      </c>
      <c r="J40" s="467"/>
      <c r="K40" s="468"/>
      <c r="L40" s="469">
        <f t="shared" si="1"/>
      </c>
      <c r="M40" s="470">
        <f t="shared" si="2"/>
      </c>
      <c r="N40" s="178"/>
      <c r="O40" s="180">
        <f t="shared" si="11"/>
      </c>
      <c r="P40" s="471">
        <f t="shared" si="4"/>
        <v>40</v>
      </c>
      <c r="Q40" s="472" t="str">
        <f t="shared" si="5"/>
        <v>--</v>
      </c>
      <c r="R40" s="460" t="str">
        <f t="shared" si="6"/>
        <v>--</v>
      </c>
      <c r="S40" s="461" t="str">
        <f t="shared" si="7"/>
        <v>--</v>
      </c>
      <c r="T40" s="462" t="str">
        <f t="shared" si="8"/>
        <v>--</v>
      </c>
      <c r="U40" s="180">
        <f t="shared" si="9"/>
      </c>
      <c r="V40" s="473">
        <f t="shared" si="10"/>
      </c>
      <c r="W40" s="60"/>
    </row>
    <row r="41" spans="2:23" s="8" customFormat="1" ht="16.5" customHeight="1">
      <c r="B41" s="55"/>
      <c r="C41" s="150"/>
      <c r="D41" s="150"/>
      <c r="E41" s="150"/>
      <c r="F41" s="464"/>
      <c r="G41" s="464"/>
      <c r="H41" s="465"/>
      <c r="I41" s="466">
        <f t="shared" si="0"/>
        <v>220.831</v>
      </c>
      <c r="J41" s="467"/>
      <c r="K41" s="468"/>
      <c r="L41" s="469">
        <f t="shared" si="1"/>
      </c>
      <c r="M41" s="470">
        <f t="shared" si="2"/>
      </c>
      <c r="N41" s="178"/>
      <c r="O41" s="180">
        <f t="shared" si="11"/>
      </c>
      <c r="P41" s="471">
        <f t="shared" si="4"/>
        <v>40</v>
      </c>
      <c r="Q41" s="472" t="str">
        <f t="shared" si="5"/>
        <v>--</v>
      </c>
      <c r="R41" s="460" t="str">
        <f t="shared" si="6"/>
        <v>--</v>
      </c>
      <c r="S41" s="461" t="str">
        <f t="shared" si="7"/>
        <v>--</v>
      </c>
      <c r="T41" s="462" t="str">
        <f t="shared" si="8"/>
        <v>--</v>
      </c>
      <c r="U41" s="180">
        <f t="shared" si="9"/>
      </c>
      <c r="V41" s="473">
        <f t="shared" si="10"/>
      </c>
      <c r="W41" s="60"/>
    </row>
    <row r="42" spans="2:23" s="8" customFormat="1" ht="16.5" customHeight="1">
      <c r="B42" s="55"/>
      <c r="C42" s="150"/>
      <c r="D42" s="150"/>
      <c r="E42" s="169"/>
      <c r="F42" s="464"/>
      <c r="G42" s="464"/>
      <c r="H42" s="465"/>
      <c r="I42" s="466">
        <f t="shared" si="0"/>
        <v>220.831</v>
      </c>
      <c r="J42" s="467"/>
      <c r="K42" s="468"/>
      <c r="L42" s="469">
        <f t="shared" si="1"/>
      </c>
      <c r="M42" s="470">
        <f t="shared" si="2"/>
      </c>
      <c r="N42" s="178"/>
      <c r="O42" s="180">
        <f t="shared" si="11"/>
      </c>
      <c r="P42" s="471">
        <f t="shared" si="4"/>
        <v>40</v>
      </c>
      <c r="Q42" s="472" t="str">
        <f t="shared" si="5"/>
        <v>--</v>
      </c>
      <c r="R42" s="460" t="str">
        <f t="shared" si="6"/>
        <v>--</v>
      </c>
      <c r="S42" s="461" t="str">
        <f t="shared" si="7"/>
        <v>--</v>
      </c>
      <c r="T42" s="462" t="str">
        <f t="shared" si="8"/>
        <v>--</v>
      </c>
      <c r="U42" s="180">
        <f t="shared" si="9"/>
      </c>
      <c r="V42" s="473">
        <f t="shared" si="10"/>
      </c>
      <c r="W42" s="60"/>
    </row>
    <row r="43" spans="2:23" s="8" customFormat="1" ht="16.5" customHeight="1">
      <c r="B43" s="55"/>
      <c r="C43" s="150"/>
      <c r="D43" s="150"/>
      <c r="E43" s="150"/>
      <c r="F43" s="464"/>
      <c r="G43" s="464"/>
      <c r="H43" s="465"/>
      <c r="I43" s="466">
        <f t="shared" si="0"/>
        <v>220.831</v>
      </c>
      <c r="J43" s="467"/>
      <c r="K43" s="468"/>
      <c r="L43" s="469">
        <f t="shared" si="1"/>
      </c>
      <c r="M43" s="470">
        <f t="shared" si="2"/>
      </c>
      <c r="N43" s="178"/>
      <c r="O43" s="180">
        <f t="shared" si="11"/>
      </c>
      <c r="P43" s="471">
        <f t="shared" si="4"/>
        <v>40</v>
      </c>
      <c r="Q43" s="472" t="str">
        <f t="shared" si="5"/>
        <v>--</v>
      </c>
      <c r="R43" s="460" t="str">
        <f t="shared" si="6"/>
        <v>--</v>
      </c>
      <c r="S43" s="461" t="str">
        <f t="shared" si="7"/>
        <v>--</v>
      </c>
      <c r="T43" s="462" t="str">
        <f t="shared" si="8"/>
        <v>--</v>
      </c>
      <c r="U43" s="180">
        <f t="shared" si="9"/>
      </c>
      <c r="V43" s="473">
        <f t="shared" si="10"/>
      </c>
      <c r="W43" s="60"/>
    </row>
    <row r="44" spans="2:23" s="8" customFormat="1" ht="16.5" customHeight="1" thickBot="1">
      <c r="B44" s="55"/>
      <c r="C44" s="208"/>
      <c r="D44" s="208"/>
      <c r="E44" s="208"/>
      <c r="F44" s="208"/>
      <c r="G44" s="208"/>
      <c r="H44" s="208"/>
      <c r="I44" s="382"/>
      <c r="J44" s="474"/>
      <c r="K44" s="474"/>
      <c r="L44" s="475"/>
      <c r="M44" s="475"/>
      <c r="N44" s="474"/>
      <c r="O44" s="215"/>
      <c r="P44" s="476"/>
      <c r="Q44" s="477"/>
      <c r="R44" s="478"/>
      <c r="S44" s="479"/>
      <c r="T44" s="480"/>
      <c r="U44" s="215"/>
      <c r="V44" s="481"/>
      <c r="W44" s="60"/>
    </row>
    <row r="45" spans="2:23" s="8" customFormat="1" ht="16.5" customHeight="1" thickBot="1" thickTop="1">
      <c r="B45" s="55"/>
      <c r="C45" s="229" t="s">
        <v>322</v>
      </c>
      <c r="D45" s="2666" t="s">
        <v>365</v>
      </c>
      <c r="E45" s="229"/>
      <c r="F45" s="230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482">
        <f>SUM(Q22:Q44)</f>
        <v>4133.95632</v>
      </c>
      <c r="R45" s="483">
        <f>SUM(R22:R44)</f>
        <v>0</v>
      </c>
      <c r="S45" s="484">
        <f>SUM(S22:S44)</f>
        <v>0</v>
      </c>
      <c r="T45" s="485">
        <f>SUM(T22:T44)</f>
        <v>0</v>
      </c>
      <c r="U45" s="486"/>
      <c r="V45" s="487">
        <f>ROUND(SUM(V22:V44),2)</f>
        <v>4133.96</v>
      </c>
      <c r="W45" s="60"/>
    </row>
    <row r="46" spans="2:23" s="8" customFormat="1" ht="16.5" customHeight="1" thickBot="1" thickTop="1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23:25" ht="16.5" customHeight="1" thickTop="1">
      <c r="W47" s="2667"/>
      <c r="X47" s="2667"/>
      <c r="Y47" s="2667"/>
    </row>
    <row r="48" spans="23:25" ht="16.5" customHeight="1">
      <c r="W48" s="2667"/>
      <c r="X48" s="2667"/>
      <c r="Y48" s="2667"/>
    </row>
    <row r="49" spans="23:25" ht="16.5" customHeight="1">
      <c r="W49" s="2667"/>
      <c r="X49" s="2667"/>
      <c r="Y49" s="2667"/>
    </row>
    <row r="50" spans="23:25" ht="16.5" customHeight="1">
      <c r="W50" s="2667"/>
      <c r="X50" s="2667"/>
      <c r="Y50" s="2667"/>
    </row>
    <row r="51" spans="23:25" ht="16.5" customHeight="1">
      <c r="W51" s="2667"/>
      <c r="X51" s="2667"/>
      <c r="Y51" s="2667"/>
    </row>
    <row r="52" spans="6:25" ht="16.5" customHeight="1">
      <c r="F52" s="2667"/>
      <c r="G52" s="2667"/>
      <c r="H52" s="2667"/>
      <c r="I52" s="2667"/>
      <c r="J52" s="2667"/>
      <c r="K52" s="2667"/>
      <c r="L52" s="2667"/>
      <c r="M52" s="2667"/>
      <c r="N52" s="2667"/>
      <c r="O52" s="2667"/>
      <c r="P52" s="2667"/>
      <c r="Q52" s="2667"/>
      <c r="R52" s="2667"/>
      <c r="S52" s="2667"/>
      <c r="T52" s="2667"/>
      <c r="U52" s="2667"/>
      <c r="V52" s="2667"/>
      <c r="W52" s="2667"/>
      <c r="X52" s="2667"/>
      <c r="Y52" s="2667"/>
    </row>
    <row r="53" spans="6:25" ht="16.5" customHeight="1">
      <c r="F53" s="2667"/>
      <c r="G53" s="2667"/>
      <c r="H53" s="2667"/>
      <c r="I53" s="2667"/>
      <c r="J53" s="2667"/>
      <c r="K53" s="2667"/>
      <c r="L53" s="2667"/>
      <c r="M53" s="2667"/>
      <c r="N53" s="2667"/>
      <c r="O53" s="2667"/>
      <c r="P53" s="2667"/>
      <c r="Q53" s="2667"/>
      <c r="R53" s="2667"/>
      <c r="S53" s="2667"/>
      <c r="T53" s="2667"/>
      <c r="U53" s="2667"/>
      <c r="V53" s="2667"/>
      <c r="W53" s="2667"/>
      <c r="X53" s="2667"/>
      <c r="Y53" s="2667"/>
    </row>
    <row r="54" spans="6:25" ht="16.5" customHeight="1">
      <c r="F54" s="2667"/>
      <c r="G54" s="2667"/>
      <c r="H54" s="2667"/>
      <c r="I54" s="2667"/>
      <c r="J54" s="2667"/>
      <c r="K54" s="2667"/>
      <c r="L54" s="2667"/>
      <c r="M54" s="2667"/>
      <c r="N54" s="2667"/>
      <c r="O54" s="2667"/>
      <c r="P54" s="2667"/>
      <c r="Q54" s="2667"/>
      <c r="R54" s="2667"/>
      <c r="S54" s="2667"/>
      <c r="T54" s="2667"/>
      <c r="U54" s="2667"/>
      <c r="V54" s="2667"/>
      <c r="W54" s="2667"/>
      <c r="X54" s="2667"/>
      <c r="Y54" s="2667"/>
    </row>
    <row r="55" spans="6:25" ht="16.5" customHeight="1">
      <c r="F55" s="2667"/>
      <c r="G55" s="2667"/>
      <c r="H55" s="2667"/>
      <c r="I55" s="2667"/>
      <c r="J55" s="2667"/>
      <c r="K55" s="2667"/>
      <c r="L55" s="2667"/>
      <c r="M55" s="2667"/>
      <c r="N55" s="2667"/>
      <c r="O55" s="2667"/>
      <c r="P55" s="2667"/>
      <c r="Q55" s="2667"/>
      <c r="R55" s="2667"/>
      <c r="S55" s="2667"/>
      <c r="T55" s="2667"/>
      <c r="U55" s="2667"/>
      <c r="V55" s="2667"/>
      <c r="W55" s="2667"/>
      <c r="X55" s="2667"/>
      <c r="Y55" s="2667"/>
    </row>
    <row r="56" spans="6:25" ht="16.5" customHeight="1">
      <c r="F56" s="2667"/>
      <c r="G56" s="2667"/>
      <c r="H56" s="2667"/>
      <c r="I56" s="2667"/>
      <c r="J56" s="2667"/>
      <c r="K56" s="2667"/>
      <c r="L56" s="2667"/>
      <c r="M56" s="2667"/>
      <c r="N56" s="2667"/>
      <c r="O56" s="2667"/>
      <c r="P56" s="2667"/>
      <c r="Q56" s="2667"/>
      <c r="R56" s="2667"/>
      <c r="S56" s="2667"/>
      <c r="T56" s="2667"/>
      <c r="U56" s="2667"/>
      <c r="V56" s="2667"/>
      <c r="W56" s="2667"/>
      <c r="X56" s="2667"/>
      <c r="Y56" s="2667"/>
    </row>
    <row r="57" spans="6:25" ht="16.5" customHeight="1">
      <c r="F57" s="2667"/>
      <c r="G57" s="2667"/>
      <c r="H57" s="2667"/>
      <c r="I57" s="2667"/>
      <c r="J57" s="2667"/>
      <c r="K57" s="2667"/>
      <c r="L57" s="2667"/>
      <c r="M57" s="2667"/>
      <c r="N57" s="2667"/>
      <c r="O57" s="2667"/>
      <c r="P57" s="2667"/>
      <c r="Q57" s="2667"/>
      <c r="R57" s="2667"/>
      <c r="S57" s="2667"/>
      <c r="T57" s="2667"/>
      <c r="U57" s="2667"/>
      <c r="V57" s="2667"/>
      <c r="W57" s="2667"/>
      <c r="X57" s="2667"/>
      <c r="Y57" s="2667"/>
    </row>
    <row r="58" spans="6:25" ht="16.5" customHeight="1">
      <c r="F58" s="2667"/>
      <c r="G58" s="2667"/>
      <c r="H58" s="2667"/>
      <c r="I58" s="2667"/>
      <c r="J58" s="2667"/>
      <c r="K58" s="2667"/>
      <c r="L58" s="2667"/>
      <c r="M58" s="2667"/>
      <c r="N58" s="2667"/>
      <c r="O58" s="2667"/>
      <c r="P58" s="2667"/>
      <c r="Q58" s="2667"/>
      <c r="R58" s="2667"/>
      <c r="S58" s="2667"/>
      <c r="T58" s="2667"/>
      <c r="U58" s="2667"/>
      <c r="V58" s="2667"/>
      <c r="W58" s="2667"/>
      <c r="X58" s="2667"/>
      <c r="Y58" s="2667"/>
    </row>
    <row r="59" spans="6:25" ht="16.5" customHeight="1">
      <c r="F59" s="2667"/>
      <c r="G59" s="2667"/>
      <c r="H59" s="2667"/>
      <c r="I59" s="2667"/>
      <c r="J59" s="2667"/>
      <c r="K59" s="2667"/>
      <c r="L59" s="2667"/>
      <c r="M59" s="2667"/>
      <c r="N59" s="2667"/>
      <c r="O59" s="2667"/>
      <c r="P59" s="2667"/>
      <c r="Q59" s="2667"/>
      <c r="R59" s="2667"/>
      <c r="S59" s="2667"/>
      <c r="T59" s="2667"/>
      <c r="U59" s="2667"/>
      <c r="V59" s="2667"/>
      <c r="W59" s="2667"/>
      <c r="X59" s="2667"/>
      <c r="Y59" s="2667"/>
    </row>
    <row r="60" spans="6:25" ht="16.5" customHeight="1">
      <c r="F60" s="2667"/>
      <c r="G60" s="2667"/>
      <c r="H60" s="2667"/>
      <c r="I60" s="2667"/>
      <c r="J60" s="2667"/>
      <c r="K60" s="2667"/>
      <c r="L60" s="2667"/>
      <c r="M60" s="2667"/>
      <c r="N60" s="2667"/>
      <c r="O60" s="2667"/>
      <c r="P60" s="2667"/>
      <c r="Q60" s="2667"/>
      <c r="R60" s="2667"/>
      <c r="S60" s="2667"/>
      <c r="T60" s="2667"/>
      <c r="U60" s="2667"/>
      <c r="V60" s="2667"/>
      <c r="W60" s="2667"/>
      <c r="X60" s="2667"/>
      <c r="Y60" s="2667"/>
    </row>
    <row r="61" spans="6:25" ht="16.5" customHeight="1">
      <c r="F61" s="2667"/>
      <c r="G61" s="2667"/>
      <c r="H61" s="2667"/>
      <c r="I61" s="2667"/>
      <c r="J61" s="2667"/>
      <c r="K61" s="2667"/>
      <c r="L61" s="2667"/>
      <c r="M61" s="2667"/>
      <c r="N61" s="2667"/>
      <c r="O61" s="2667"/>
      <c r="P61" s="2667"/>
      <c r="Q61" s="2667"/>
      <c r="R61" s="2667"/>
      <c r="S61" s="2667"/>
      <c r="T61" s="2667"/>
      <c r="U61" s="2667"/>
      <c r="V61" s="2667"/>
      <c r="W61" s="2667"/>
      <c r="X61" s="2667"/>
      <c r="Y61" s="2667"/>
    </row>
    <row r="62" spans="6:25" ht="16.5" customHeight="1">
      <c r="F62" s="2667"/>
      <c r="G62" s="2667"/>
      <c r="H62" s="2667"/>
      <c r="I62" s="2667"/>
      <c r="J62" s="2667"/>
      <c r="K62" s="2667"/>
      <c r="L62" s="2667"/>
      <c r="M62" s="2667"/>
      <c r="N62" s="2667"/>
      <c r="O62" s="2667"/>
      <c r="P62" s="2667"/>
      <c r="Q62" s="2667"/>
      <c r="R62" s="2667"/>
      <c r="S62" s="2667"/>
      <c r="T62" s="2667"/>
      <c r="U62" s="2667"/>
      <c r="V62" s="2667"/>
      <c r="W62" s="2667"/>
      <c r="X62" s="2667"/>
      <c r="Y62" s="2667"/>
    </row>
    <row r="63" spans="6:25" ht="16.5" customHeight="1">
      <c r="F63" s="2667"/>
      <c r="G63" s="2667"/>
      <c r="H63" s="2667"/>
      <c r="I63" s="2667"/>
      <c r="J63" s="2667"/>
      <c r="K63" s="2667"/>
      <c r="L63" s="2667"/>
      <c r="M63" s="2667"/>
      <c r="N63" s="2667"/>
      <c r="O63" s="2667"/>
      <c r="P63" s="2667"/>
      <c r="Q63" s="2667"/>
      <c r="R63" s="2667"/>
      <c r="S63" s="2667"/>
      <c r="T63" s="2667"/>
      <c r="U63" s="2667"/>
      <c r="V63" s="2667"/>
      <c r="W63" s="2667"/>
      <c r="X63" s="2667"/>
      <c r="Y63" s="2667"/>
    </row>
    <row r="64" spans="6:25" ht="16.5" customHeight="1">
      <c r="F64" s="2667"/>
      <c r="G64" s="2667"/>
      <c r="H64" s="2667"/>
      <c r="I64" s="2667"/>
      <c r="J64" s="2667"/>
      <c r="K64" s="2667"/>
      <c r="L64" s="2667"/>
      <c r="M64" s="2667"/>
      <c r="N64" s="2667"/>
      <c r="O64" s="2667"/>
      <c r="P64" s="2667"/>
      <c r="Q64" s="2667"/>
      <c r="R64" s="2667"/>
      <c r="S64" s="2667"/>
      <c r="T64" s="2667"/>
      <c r="U64" s="2667"/>
      <c r="V64" s="2667"/>
      <c r="W64" s="2667"/>
      <c r="X64" s="2667"/>
      <c r="Y64" s="2667"/>
    </row>
    <row r="65" spans="6:25" ht="16.5" customHeight="1">
      <c r="F65" s="2667"/>
      <c r="G65" s="2667"/>
      <c r="H65" s="2667"/>
      <c r="I65" s="2667"/>
      <c r="J65" s="2667"/>
      <c r="K65" s="2667"/>
      <c r="L65" s="2667"/>
      <c r="M65" s="2667"/>
      <c r="N65" s="2667"/>
      <c r="O65" s="2667"/>
      <c r="P65" s="2667"/>
      <c r="Q65" s="2667"/>
      <c r="R65" s="2667"/>
      <c r="S65" s="2667"/>
      <c r="T65" s="2667"/>
      <c r="U65" s="2667"/>
      <c r="V65" s="2667"/>
      <c r="W65" s="2667"/>
      <c r="X65" s="2667"/>
      <c r="Y65" s="2667"/>
    </row>
    <row r="66" spans="6:25" ht="16.5" customHeight="1">
      <c r="F66" s="2667"/>
      <c r="G66" s="2667"/>
      <c r="H66" s="2667"/>
      <c r="I66" s="2667"/>
      <c r="J66" s="2667"/>
      <c r="K66" s="2667"/>
      <c r="L66" s="2667"/>
      <c r="M66" s="2667"/>
      <c r="N66" s="2667"/>
      <c r="O66" s="2667"/>
      <c r="P66" s="2667"/>
      <c r="Q66" s="2667"/>
      <c r="R66" s="2667"/>
      <c r="S66" s="2667"/>
      <c r="T66" s="2667"/>
      <c r="U66" s="2667"/>
      <c r="V66" s="2667"/>
      <c r="W66" s="2667"/>
      <c r="X66" s="2667"/>
      <c r="Y66" s="2667"/>
    </row>
    <row r="67" spans="6:25" ht="16.5" customHeight="1">
      <c r="F67" s="2667"/>
      <c r="G67" s="2667"/>
      <c r="H67" s="2667"/>
      <c r="I67" s="2667"/>
      <c r="J67" s="2667"/>
      <c r="K67" s="2667"/>
      <c r="L67" s="2667"/>
      <c r="M67" s="2667"/>
      <c r="N67" s="2667"/>
      <c r="O67" s="2667"/>
      <c r="P67" s="2667"/>
      <c r="Q67" s="2667"/>
      <c r="R67" s="2667"/>
      <c r="S67" s="2667"/>
      <c r="T67" s="2667"/>
      <c r="U67" s="2667"/>
      <c r="V67" s="2667"/>
      <c r="W67" s="2667"/>
      <c r="X67" s="2667"/>
      <c r="Y67" s="2667"/>
    </row>
    <row r="68" spans="6:25" ht="16.5" customHeight="1">
      <c r="F68" s="2667"/>
      <c r="G68" s="2667"/>
      <c r="H68" s="2667"/>
      <c r="I68" s="2667"/>
      <c r="J68" s="2667"/>
      <c r="K68" s="2667"/>
      <c r="L68" s="2667"/>
      <c r="M68" s="2667"/>
      <c r="N68" s="2667"/>
      <c r="O68" s="2667"/>
      <c r="P68" s="2667"/>
      <c r="Q68" s="2667"/>
      <c r="R68" s="2667"/>
      <c r="S68" s="2667"/>
      <c r="T68" s="2667"/>
      <c r="U68" s="2667"/>
      <c r="V68" s="2667"/>
      <c r="W68" s="2667"/>
      <c r="X68" s="2667"/>
      <c r="Y68" s="2667"/>
    </row>
    <row r="69" spans="6:25" ht="16.5" customHeight="1">
      <c r="F69" s="2667"/>
      <c r="G69" s="2667"/>
      <c r="H69" s="2667"/>
      <c r="I69" s="2667"/>
      <c r="J69" s="2667"/>
      <c r="K69" s="2667"/>
      <c r="L69" s="2667"/>
      <c r="M69" s="2667"/>
      <c r="N69" s="2667"/>
      <c r="O69" s="2667"/>
      <c r="P69" s="2667"/>
      <c r="Q69" s="2667"/>
      <c r="R69" s="2667"/>
      <c r="S69" s="2667"/>
      <c r="T69" s="2667"/>
      <c r="U69" s="2667"/>
      <c r="V69" s="2667"/>
      <c r="W69" s="2667"/>
      <c r="X69" s="2667"/>
      <c r="Y69" s="2667"/>
    </row>
    <row r="70" spans="6:25" ht="16.5" customHeight="1">
      <c r="F70" s="2667"/>
      <c r="G70" s="2667"/>
      <c r="H70" s="2667"/>
      <c r="I70" s="2667"/>
      <c r="J70" s="2667"/>
      <c r="K70" s="2667"/>
      <c r="L70" s="2667"/>
      <c r="M70" s="2667"/>
      <c r="N70" s="2667"/>
      <c r="O70" s="2667"/>
      <c r="P70" s="2667"/>
      <c r="Q70" s="2667"/>
      <c r="R70" s="2667"/>
      <c r="S70" s="2667"/>
      <c r="T70" s="2667"/>
      <c r="U70" s="2667"/>
      <c r="V70" s="2667"/>
      <c r="W70" s="2667"/>
      <c r="X70" s="2667"/>
      <c r="Y70" s="2667"/>
    </row>
    <row r="71" spans="6:25" ht="16.5" customHeight="1">
      <c r="F71" s="2667"/>
      <c r="G71" s="2667"/>
      <c r="H71" s="2667"/>
      <c r="I71" s="2667"/>
      <c r="J71" s="2667"/>
      <c r="K71" s="2667"/>
      <c r="L71" s="2667"/>
      <c r="M71" s="2667"/>
      <c r="N71" s="2667"/>
      <c r="O71" s="2667"/>
      <c r="P71" s="2667"/>
      <c r="Q71" s="2667"/>
      <c r="R71" s="2667"/>
      <c r="S71" s="2667"/>
      <c r="T71" s="2667"/>
      <c r="U71" s="2667"/>
      <c r="V71" s="2667"/>
      <c r="W71" s="2667"/>
      <c r="X71" s="2667"/>
      <c r="Y71" s="2667"/>
    </row>
    <row r="72" spans="6:25" ht="16.5" customHeight="1">
      <c r="F72" s="2667"/>
      <c r="G72" s="2667"/>
      <c r="H72" s="2667"/>
      <c r="I72" s="2667"/>
      <c r="J72" s="2667"/>
      <c r="K72" s="2667"/>
      <c r="L72" s="2667"/>
      <c r="M72" s="2667"/>
      <c r="N72" s="2667"/>
      <c r="O72" s="2667"/>
      <c r="P72" s="2667"/>
      <c r="Q72" s="2667"/>
      <c r="R72" s="2667"/>
      <c r="S72" s="2667"/>
      <c r="T72" s="2667"/>
      <c r="U72" s="2667"/>
      <c r="V72" s="2667"/>
      <c r="W72" s="2667"/>
      <c r="X72" s="2667"/>
      <c r="Y72" s="2667"/>
    </row>
    <row r="73" spans="6:25" ht="16.5" customHeight="1">
      <c r="F73" s="2667"/>
      <c r="G73" s="2667"/>
      <c r="H73" s="2667"/>
      <c r="I73" s="2667"/>
      <c r="J73" s="2667"/>
      <c r="K73" s="2667"/>
      <c r="L73" s="2667"/>
      <c r="M73" s="2667"/>
      <c r="N73" s="2667"/>
      <c r="O73" s="2667"/>
      <c r="P73" s="2667"/>
      <c r="Q73" s="2667"/>
      <c r="R73" s="2667"/>
      <c r="S73" s="2667"/>
      <c r="T73" s="2667"/>
      <c r="U73" s="2667"/>
      <c r="V73" s="2667"/>
      <c r="W73" s="2667"/>
      <c r="X73" s="2667"/>
      <c r="Y73" s="2667"/>
    </row>
    <row r="74" spans="6:25" ht="16.5" customHeight="1">
      <c r="F74" s="2667"/>
      <c r="G74" s="2667"/>
      <c r="H74" s="2667"/>
      <c r="I74" s="2667"/>
      <c r="J74" s="2667"/>
      <c r="K74" s="2667"/>
      <c r="L74" s="2667"/>
      <c r="M74" s="2667"/>
      <c r="N74" s="2667"/>
      <c r="O74" s="2667"/>
      <c r="P74" s="2667"/>
      <c r="Q74" s="2667"/>
      <c r="R74" s="2667"/>
      <c r="S74" s="2667"/>
      <c r="T74" s="2667"/>
      <c r="U74" s="2667"/>
      <c r="V74" s="2667"/>
      <c r="W74" s="2667"/>
      <c r="X74" s="2667"/>
      <c r="Y74" s="2667"/>
    </row>
    <row r="75" spans="6:25" ht="16.5" customHeight="1">
      <c r="F75" s="2667"/>
      <c r="G75" s="2667"/>
      <c r="H75" s="2667"/>
      <c r="I75" s="2667"/>
      <c r="J75" s="2667"/>
      <c r="K75" s="2667"/>
      <c r="L75" s="2667"/>
      <c r="M75" s="2667"/>
      <c r="N75" s="2667"/>
      <c r="O75" s="2667"/>
      <c r="P75" s="2667"/>
      <c r="Q75" s="2667"/>
      <c r="R75" s="2667"/>
      <c r="S75" s="2667"/>
      <c r="T75" s="2667"/>
      <c r="U75" s="2667"/>
      <c r="V75" s="2667"/>
      <c r="W75" s="2667"/>
      <c r="X75" s="2667"/>
      <c r="Y75" s="2667"/>
    </row>
    <row r="76" spans="6:25" ht="16.5" customHeight="1">
      <c r="F76" s="2667"/>
      <c r="G76" s="2667"/>
      <c r="H76" s="2667"/>
      <c r="I76" s="2667"/>
      <c r="J76" s="2667"/>
      <c r="K76" s="2667"/>
      <c r="L76" s="2667"/>
      <c r="M76" s="2667"/>
      <c r="N76" s="2667"/>
      <c r="O76" s="2667"/>
      <c r="P76" s="2667"/>
      <c r="Q76" s="2667"/>
      <c r="R76" s="2667"/>
      <c r="S76" s="2667"/>
      <c r="T76" s="2667"/>
      <c r="U76" s="2667"/>
      <c r="V76" s="2667"/>
      <c r="W76" s="2667"/>
      <c r="X76" s="2667"/>
      <c r="Y76" s="2667"/>
    </row>
    <row r="77" spans="6:25" ht="16.5" customHeight="1">
      <c r="F77" s="2667"/>
      <c r="G77" s="2667"/>
      <c r="H77" s="2667"/>
      <c r="I77" s="2667"/>
      <c r="J77" s="2667"/>
      <c r="K77" s="2667"/>
      <c r="L77" s="2667"/>
      <c r="M77" s="2667"/>
      <c r="N77" s="2667"/>
      <c r="O77" s="2667"/>
      <c r="P77" s="2667"/>
      <c r="Q77" s="2667"/>
      <c r="R77" s="2667"/>
      <c r="S77" s="2667"/>
      <c r="T77" s="2667"/>
      <c r="U77" s="2667"/>
      <c r="V77" s="2667"/>
      <c r="W77" s="2667"/>
      <c r="X77" s="2667"/>
      <c r="Y77" s="2667"/>
    </row>
    <row r="78" spans="6:25" ht="16.5" customHeight="1">
      <c r="F78" s="2667"/>
      <c r="G78" s="2667"/>
      <c r="H78" s="2667"/>
      <c r="I78" s="2667"/>
      <c r="J78" s="2667"/>
      <c r="K78" s="2667"/>
      <c r="L78" s="2667"/>
      <c r="M78" s="2667"/>
      <c r="N78" s="2667"/>
      <c r="O78" s="2667"/>
      <c r="P78" s="2667"/>
      <c r="Q78" s="2667"/>
      <c r="R78" s="2667"/>
      <c r="S78" s="2667"/>
      <c r="T78" s="2667"/>
      <c r="U78" s="2667"/>
      <c r="V78" s="2667"/>
      <c r="W78" s="2667"/>
      <c r="X78" s="2667"/>
      <c r="Y78" s="2667"/>
    </row>
    <row r="79" spans="6:25" ht="16.5" customHeight="1">
      <c r="F79" s="2667"/>
      <c r="G79" s="2667"/>
      <c r="H79" s="2667"/>
      <c r="I79" s="2667"/>
      <c r="J79" s="2667"/>
      <c r="K79" s="2667"/>
      <c r="L79" s="2667"/>
      <c r="M79" s="2667"/>
      <c r="N79" s="2667"/>
      <c r="O79" s="2667"/>
      <c r="P79" s="2667"/>
      <c r="Q79" s="2667"/>
      <c r="R79" s="2667"/>
      <c r="S79" s="2667"/>
      <c r="T79" s="2667"/>
      <c r="U79" s="2667"/>
      <c r="V79" s="2667"/>
      <c r="W79" s="2667"/>
      <c r="X79" s="2667"/>
      <c r="Y79" s="2667"/>
    </row>
    <row r="80" spans="6:25" ht="16.5" customHeight="1">
      <c r="F80" s="2667"/>
      <c r="G80" s="2667"/>
      <c r="H80" s="2667"/>
      <c r="I80" s="2667"/>
      <c r="J80" s="2667"/>
      <c r="K80" s="2667"/>
      <c r="L80" s="2667"/>
      <c r="M80" s="2667"/>
      <c r="N80" s="2667"/>
      <c r="O80" s="2667"/>
      <c r="P80" s="2667"/>
      <c r="Q80" s="2667"/>
      <c r="R80" s="2667"/>
      <c r="S80" s="2667"/>
      <c r="T80" s="2667"/>
      <c r="U80" s="2667"/>
      <c r="V80" s="2667"/>
      <c r="W80" s="2667"/>
      <c r="X80" s="2667"/>
      <c r="Y80" s="2667"/>
    </row>
    <row r="81" spans="6:25" ht="16.5" customHeight="1">
      <c r="F81" s="2667"/>
      <c r="G81" s="2667"/>
      <c r="H81" s="2667"/>
      <c r="I81" s="2667"/>
      <c r="J81" s="2667"/>
      <c r="K81" s="2667"/>
      <c r="L81" s="2667"/>
      <c r="M81" s="2667"/>
      <c r="N81" s="2667"/>
      <c r="O81" s="2667"/>
      <c r="P81" s="2667"/>
      <c r="Q81" s="2667"/>
      <c r="R81" s="2667"/>
      <c r="S81" s="2667"/>
      <c r="T81" s="2667"/>
      <c r="U81" s="2667"/>
      <c r="V81" s="2667"/>
      <c r="W81" s="2667"/>
      <c r="X81" s="2667"/>
      <c r="Y81" s="2667"/>
    </row>
    <row r="82" spans="6:25" ht="16.5" customHeight="1">
      <c r="F82" s="2667"/>
      <c r="G82" s="2667"/>
      <c r="H82" s="2667"/>
      <c r="I82" s="2667"/>
      <c r="J82" s="2667"/>
      <c r="K82" s="2667"/>
      <c r="L82" s="2667"/>
      <c r="M82" s="2667"/>
      <c r="N82" s="2667"/>
      <c r="O82" s="2667"/>
      <c r="P82" s="2667"/>
      <c r="Q82" s="2667"/>
      <c r="R82" s="2667"/>
      <c r="S82" s="2667"/>
      <c r="T82" s="2667"/>
      <c r="U82" s="2667"/>
      <c r="V82" s="2667"/>
      <c r="W82" s="2667"/>
      <c r="X82" s="2667"/>
      <c r="Y82" s="2667"/>
    </row>
    <row r="83" spans="6:25" ht="16.5" customHeight="1">
      <c r="F83" s="2667"/>
      <c r="G83" s="2667"/>
      <c r="H83" s="2667"/>
      <c r="I83" s="2667"/>
      <c r="J83" s="2667"/>
      <c r="K83" s="2667"/>
      <c r="L83" s="2667"/>
      <c r="M83" s="2667"/>
      <c r="N83" s="2667"/>
      <c r="O83" s="2667"/>
      <c r="P83" s="2667"/>
      <c r="Q83" s="2667"/>
      <c r="R83" s="2667"/>
      <c r="S83" s="2667"/>
      <c r="T83" s="2667"/>
      <c r="U83" s="2667"/>
      <c r="V83" s="2667"/>
      <c r="W83" s="2667"/>
      <c r="X83" s="2667"/>
      <c r="Y83" s="2667"/>
    </row>
    <row r="84" spans="6:25" ht="16.5" customHeight="1">
      <c r="F84" s="2667"/>
      <c r="G84" s="2667"/>
      <c r="H84" s="2667"/>
      <c r="I84" s="2667"/>
      <c r="J84" s="2667"/>
      <c r="K84" s="2667"/>
      <c r="L84" s="2667"/>
      <c r="M84" s="2667"/>
      <c r="N84" s="2667"/>
      <c r="O84" s="2667"/>
      <c r="P84" s="2667"/>
      <c r="Q84" s="2667"/>
      <c r="R84" s="2667"/>
      <c r="S84" s="2667"/>
      <c r="T84" s="2667"/>
      <c r="U84" s="2667"/>
      <c r="V84" s="2667"/>
      <c r="W84" s="2667"/>
      <c r="X84" s="2667"/>
      <c r="Y84" s="2667"/>
    </row>
    <row r="85" spans="6:25" ht="16.5" customHeight="1">
      <c r="F85" s="2667"/>
      <c r="G85" s="2667"/>
      <c r="H85" s="2667"/>
      <c r="I85" s="2667"/>
      <c r="J85" s="2667"/>
      <c r="K85" s="2667"/>
      <c r="L85" s="2667"/>
      <c r="M85" s="2667"/>
      <c r="N85" s="2667"/>
      <c r="O85" s="2667"/>
      <c r="P85" s="2667"/>
      <c r="Q85" s="2667"/>
      <c r="R85" s="2667"/>
      <c r="S85" s="2667"/>
      <c r="T85" s="2667"/>
      <c r="U85" s="2667"/>
      <c r="V85" s="2667"/>
      <c r="W85" s="2667"/>
      <c r="X85" s="2667"/>
      <c r="Y85" s="2667"/>
    </row>
    <row r="86" spans="6:25" ht="16.5" customHeight="1">
      <c r="F86" s="2667"/>
      <c r="G86" s="2667"/>
      <c r="H86" s="2667"/>
      <c r="I86" s="2667"/>
      <c r="J86" s="2667"/>
      <c r="K86" s="2667"/>
      <c r="L86" s="2667"/>
      <c r="M86" s="2667"/>
      <c r="N86" s="2667"/>
      <c r="O86" s="2667"/>
      <c r="P86" s="2667"/>
      <c r="Q86" s="2667"/>
      <c r="R86" s="2667"/>
      <c r="S86" s="2667"/>
      <c r="T86" s="2667"/>
      <c r="U86" s="2667"/>
      <c r="V86" s="2667"/>
      <c r="W86" s="2667"/>
      <c r="X86" s="2667"/>
      <c r="Y86" s="2667"/>
    </row>
    <row r="87" spans="6:25" ht="16.5" customHeight="1">
      <c r="F87" s="2667"/>
      <c r="G87" s="2667"/>
      <c r="H87" s="2667"/>
      <c r="I87" s="2667"/>
      <c r="J87" s="2667"/>
      <c r="K87" s="2667"/>
      <c r="L87" s="2667"/>
      <c r="M87" s="2667"/>
      <c r="N87" s="2667"/>
      <c r="O87" s="2667"/>
      <c r="P87" s="2667"/>
      <c r="Q87" s="2667"/>
      <c r="R87" s="2667"/>
      <c r="S87" s="2667"/>
      <c r="T87" s="2667"/>
      <c r="U87" s="2667"/>
      <c r="V87" s="2667"/>
      <c r="W87" s="2667"/>
      <c r="X87" s="2667"/>
      <c r="Y87" s="2667"/>
    </row>
    <row r="88" spans="6:25" ht="16.5" customHeight="1">
      <c r="F88" s="2667"/>
      <c r="G88" s="2667"/>
      <c r="H88" s="2667"/>
      <c r="I88" s="2667"/>
      <c r="J88" s="2667"/>
      <c r="K88" s="2667"/>
      <c r="L88" s="2667"/>
      <c r="M88" s="2667"/>
      <c r="N88" s="2667"/>
      <c r="O88" s="2667"/>
      <c r="P88" s="2667"/>
      <c r="Q88" s="2667"/>
      <c r="R88" s="2667"/>
      <c r="S88" s="2667"/>
      <c r="T88" s="2667"/>
      <c r="U88" s="2667"/>
      <c r="V88" s="2667"/>
      <c r="W88" s="2667"/>
      <c r="X88" s="2667"/>
      <c r="Y88" s="2667"/>
    </row>
    <row r="89" spans="6:25" ht="16.5" customHeight="1">
      <c r="F89" s="2667"/>
      <c r="G89" s="2667"/>
      <c r="H89" s="2667"/>
      <c r="I89" s="2667"/>
      <c r="J89" s="2667"/>
      <c r="K89" s="2667"/>
      <c r="L89" s="2667"/>
      <c r="M89" s="2667"/>
      <c r="N89" s="2667"/>
      <c r="O89" s="2667"/>
      <c r="P89" s="2667"/>
      <c r="Q89" s="2667"/>
      <c r="R89" s="2667"/>
      <c r="S89" s="2667"/>
      <c r="T89" s="2667"/>
      <c r="U89" s="2667"/>
      <c r="V89" s="2667"/>
      <c r="W89" s="2667"/>
      <c r="X89" s="2667"/>
      <c r="Y89" s="2667"/>
    </row>
    <row r="90" spans="6:25" ht="16.5" customHeight="1">
      <c r="F90" s="2667"/>
      <c r="G90" s="2667"/>
      <c r="H90" s="2667"/>
      <c r="I90" s="2667"/>
      <c r="J90" s="2667"/>
      <c r="K90" s="2667"/>
      <c r="L90" s="2667"/>
      <c r="M90" s="2667"/>
      <c r="N90" s="2667"/>
      <c r="O90" s="2667"/>
      <c r="P90" s="2667"/>
      <c r="Q90" s="2667"/>
      <c r="R90" s="2667"/>
      <c r="S90" s="2667"/>
      <c r="T90" s="2667"/>
      <c r="U90" s="2667"/>
      <c r="V90" s="2667"/>
      <c r="W90" s="2667"/>
      <c r="X90" s="2667"/>
      <c r="Y90" s="2667"/>
    </row>
    <row r="91" spans="6:25" ht="16.5" customHeight="1">
      <c r="F91" s="2667"/>
      <c r="G91" s="2667"/>
      <c r="H91" s="2667"/>
      <c r="I91" s="2667"/>
      <c r="J91" s="2667"/>
      <c r="K91" s="2667"/>
      <c r="L91" s="2667"/>
      <c r="M91" s="2667"/>
      <c r="N91" s="2667"/>
      <c r="O91" s="2667"/>
      <c r="P91" s="2667"/>
      <c r="Q91" s="2667"/>
      <c r="R91" s="2667"/>
      <c r="S91" s="2667"/>
      <c r="T91" s="2667"/>
      <c r="U91" s="2667"/>
      <c r="V91" s="2667"/>
      <c r="W91" s="2667"/>
      <c r="X91" s="2667"/>
      <c r="Y91" s="2667"/>
    </row>
    <row r="92" spans="6:25" ht="16.5" customHeight="1">
      <c r="F92" s="2667"/>
      <c r="G92" s="2667"/>
      <c r="H92" s="2667"/>
      <c r="I92" s="2667"/>
      <c r="J92" s="2667"/>
      <c r="K92" s="2667"/>
      <c r="L92" s="2667"/>
      <c r="M92" s="2667"/>
      <c r="N92" s="2667"/>
      <c r="O92" s="2667"/>
      <c r="P92" s="2667"/>
      <c r="Q92" s="2667"/>
      <c r="R92" s="2667"/>
      <c r="S92" s="2667"/>
      <c r="T92" s="2667"/>
      <c r="U92" s="2667"/>
      <c r="V92" s="2667"/>
      <c r="W92" s="2667"/>
      <c r="X92" s="2667"/>
      <c r="Y92" s="2667"/>
    </row>
    <row r="93" spans="6:25" ht="16.5" customHeight="1">
      <c r="F93" s="2667"/>
      <c r="G93" s="2667"/>
      <c r="H93" s="2667"/>
      <c r="I93" s="2667"/>
      <c r="J93" s="2667"/>
      <c r="K93" s="2667"/>
      <c r="L93" s="2667"/>
      <c r="M93" s="2667"/>
      <c r="N93" s="2667"/>
      <c r="O93" s="2667"/>
      <c r="P93" s="2667"/>
      <c r="Q93" s="2667"/>
      <c r="R93" s="2667"/>
      <c r="S93" s="2667"/>
      <c r="T93" s="2667"/>
      <c r="U93" s="2667"/>
      <c r="V93" s="2667"/>
      <c r="W93" s="2667"/>
      <c r="X93" s="2667"/>
      <c r="Y93" s="2667"/>
    </row>
    <row r="94" spans="6:25" ht="16.5" customHeight="1">
      <c r="F94" s="2667"/>
      <c r="G94" s="2667"/>
      <c r="H94" s="2667"/>
      <c r="I94" s="2667"/>
      <c r="J94" s="2667"/>
      <c r="K94" s="2667"/>
      <c r="L94" s="2667"/>
      <c r="M94" s="2667"/>
      <c r="N94" s="2667"/>
      <c r="O94" s="2667"/>
      <c r="P94" s="2667"/>
      <c r="Q94" s="2667"/>
      <c r="R94" s="2667"/>
      <c r="S94" s="2667"/>
      <c r="T94" s="2667"/>
      <c r="U94" s="2667"/>
      <c r="V94" s="2667"/>
      <c r="W94" s="2667"/>
      <c r="X94" s="2667"/>
      <c r="Y94" s="2667"/>
    </row>
    <row r="95" spans="6:25" ht="16.5" customHeight="1">
      <c r="F95" s="2667"/>
      <c r="G95" s="2667"/>
      <c r="H95" s="2667"/>
      <c r="I95" s="2667"/>
      <c r="J95" s="2667"/>
      <c r="K95" s="2667"/>
      <c r="L95" s="2667"/>
      <c r="M95" s="2667"/>
      <c r="N95" s="2667"/>
      <c r="O95" s="2667"/>
      <c r="P95" s="2667"/>
      <c r="Q95" s="2667"/>
      <c r="R95" s="2667"/>
      <c r="S95" s="2667"/>
      <c r="T95" s="2667"/>
      <c r="U95" s="2667"/>
      <c r="V95" s="2667"/>
      <c r="W95" s="2667"/>
      <c r="X95" s="2667"/>
      <c r="Y95" s="2667"/>
    </row>
    <row r="96" spans="6:25" ht="16.5" customHeight="1">
      <c r="F96" s="2667"/>
      <c r="G96" s="2667"/>
      <c r="H96" s="2667"/>
      <c r="I96" s="2667"/>
      <c r="J96" s="2667"/>
      <c r="K96" s="2667"/>
      <c r="L96" s="2667"/>
      <c r="M96" s="2667"/>
      <c r="N96" s="2667"/>
      <c r="O96" s="2667"/>
      <c r="P96" s="2667"/>
      <c r="Q96" s="2667"/>
      <c r="R96" s="2667"/>
      <c r="S96" s="2667"/>
      <c r="T96" s="2667"/>
      <c r="U96" s="2667"/>
      <c r="V96" s="2667"/>
      <c r="W96" s="2667"/>
      <c r="X96" s="2667"/>
      <c r="Y96" s="2667"/>
    </row>
    <row r="97" spans="6:25" ht="16.5" customHeight="1">
      <c r="F97" s="2667"/>
      <c r="G97" s="2667"/>
      <c r="H97" s="2667"/>
      <c r="I97" s="2667"/>
      <c r="J97" s="2667"/>
      <c r="K97" s="2667"/>
      <c r="L97" s="2667"/>
      <c r="M97" s="2667"/>
      <c r="N97" s="2667"/>
      <c r="O97" s="2667"/>
      <c r="P97" s="2667"/>
      <c r="Q97" s="2667"/>
      <c r="R97" s="2667"/>
      <c r="S97" s="2667"/>
      <c r="T97" s="2667"/>
      <c r="U97" s="2667"/>
      <c r="V97" s="2667"/>
      <c r="W97" s="2667"/>
      <c r="X97" s="2667"/>
      <c r="Y97" s="2667"/>
    </row>
    <row r="98" spans="6:25" ht="16.5" customHeight="1">
      <c r="F98" s="2667"/>
      <c r="G98" s="2667"/>
      <c r="H98" s="2667"/>
      <c r="I98" s="2667"/>
      <c r="J98" s="2667"/>
      <c r="K98" s="2667"/>
      <c r="L98" s="2667"/>
      <c r="M98" s="2667"/>
      <c r="N98" s="2667"/>
      <c r="O98" s="2667"/>
      <c r="P98" s="2667"/>
      <c r="Q98" s="2667"/>
      <c r="R98" s="2667"/>
      <c r="S98" s="2667"/>
      <c r="T98" s="2667"/>
      <c r="U98" s="2667"/>
      <c r="V98" s="2667"/>
      <c r="W98" s="2667"/>
      <c r="X98" s="2667"/>
      <c r="Y98" s="2667"/>
    </row>
    <row r="99" spans="6:25" ht="16.5" customHeight="1">
      <c r="F99" s="2667"/>
      <c r="G99" s="2667"/>
      <c r="H99" s="2667"/>
      <c r="I99" s="2667"/>
      <c r="J99" s="2667"/>
      <c r="K99" s="2667"/>
      <c r="L99" s="2667"/>
      <c r="M99" s="2667"/>
      <c r="N99" s="2667"/>
      <c r="O99" s="2667"/>
      <c r="P99" s="2667"/>
      <c r="Q99" s="2667"/>
      <c r="R99" s="2667"/>
      <c r="S99" s="2667"/>
      <c r="T99" s="2667"/>
      <c r="U99" s="2667"/>
      <c r="V99" s="2667"/>
      <c r="W99" s="2667"/>
      <c r="X99" s="2667"/>
      <c r="Y99" s="2667"/>
    </row>
    <row r="100" spans="6:25" ht="16.5" customHeight="1">
      <c r="F100" s="2667"/>
      <c r="G100" s="2667"/>
      <c r="H100" s="2667"/>
      <c r="I100" s="2667"/>
      <c r="J100" s="2667"/>
      <c r="K100" s="2667"/>
      <c r="L100" s="2667"/>
      <c r="M100" s="2667"/>
      <c r="N100" s="2667"/>
      <c r="O100" s="2667"/>
      <c r="P100" s="2667"/>
      <c r="Q100" s="2667"/>
      <c r="R100" s="2667"/>
      <c r="S100" s="2667"/>
      <c r="T100" s="2667"/>
      <c r="U100" s="2667"/>
      <c r="V100" s="2667"/>
      <c r="W100" s="2667"/>
      <c r="X100" s="2667"/>
      <c r="Y100" s="2667"/>
    </row>
    <row r="101" spans="6:25" ht="16.5" customHeight="1">
      <c r="F101" s="2667"/>
      <c r="G101" s="2667"/>
      <c r="H101" s="2667"/>
      <c r="I101" s="2667"/>
      <c r="J101" s="2667"/>
      <c r="K101" s="2667"/>
      <c r="L101" s="2667"/>
      <c r="M101" s="2667"/>
      <c r="N101" s="2667"/>
      <c r="O101" s="2667"/>
      <c r="P101" s="2667"/>
      <c r="Q101" s="2667"/>
      <c r="R101" s="2667"/>
      <c r="S101" s="2667"/>
      <c r="T101" s="2667"/>
      <c r="U101" s="2667"/>
      <c r="V101" s="2667"/>
      <c r="W101" s="2667"/>
      <c r="X101" s="2667"/>
      <c r="Y101" s="2667"/>
    </row>
    <row r="102" spans="6:25" ht="16.5" customHeight="1">
      <c r="F102" s="2667"/>
      <c r="G102" s="2667"/>
      <c r="H102" s="2667"/>
      <c r="I102" s="2667"/>
      <c r="J102" s="2667"/>
      <c r="K102" s="2667"/>
      <c r="L102" s="2667"/>
      <c r="M102" s="2667"/>
      <c r="N102" s="2667"/>
      <c r="O102" s="2667"/>
      <c r="P102" s="2667"/>
      <c r="Q102" s="2667"/>
      <c r="R102" s="2667"/>
      <c r="S102" s="2667"/>
      <c r="T102" s="2667"/>
      <c r="U102" s="2667"/>
      <c r="V102" s="2667"/>
      <c r="W102" s="2667"/>
      <c r="X102" s="2667"/>
      <c r="Y102" s="2667"/>
    </row>
    <row r="103" spans="6:25" ht="16.5" customHeight="1">
      <c r="F103" s="2667"/>
      <c r="G103" s="2667"/>
      <c r="H103" s="2667"/>
      <c r="I103" s="2667"/>
      <c r="J103" s="2667"/>
      <c r="K103" s="2667"/>
      <c r="L103" s="2667"/>
      <c r="M103" s="2667"/>
      <c r="N103" s="2667"/>
      <c r="O103" s="2667"/>
      <c r="P103" s="2667"/>
      <c r="Q103" s="2667"/>
      <c r="R103" s="2667"/>
      <c r="S103" s="2667"/>
      <c r="T103" s="2667"/>
      <c r="U103" s="2667"/>
      <c r="V103" s="2667"/>
      <c r="W103" s="2667"/>
      <c r="X103" s="2667"/>
      <c r="Y103" s="2667"/>
    </row>
    <row r="104" spans="6:25" ht="16.5" customHeight="1">
      <c r="F104" s="2667"/>
      <c r="G104" s="2667"/>
      <c r="H104" s="2667"/>
      <c r="I104" s="2667"/>
      <c r="J104" s="2667"/>
      <c r="K104" s="2667"/>
      <c r="L104" s="2667"/>
      <c r="M104" s="2667"/>
      <c r="N104" s="2667"/>
      <c r="O104" s="2667"/>
      <c r="P104" s="2667"/>
      <c r="Q104" s="2667"/>
      <c r="R104" s="2667"/>
      <c r="S104" s="2667"/>
      <c r="T104" s="2667"/>
      <c r="U104" s="2667"/>
      <c r="V104" s="2667"/>
      <c r="W104" s="2667"/>
      <c r="X104" s="2667"/>
      <c r="Y104" s="2667"/>
    </row>
    <row r="105" spans="6:25" ht="16.5" customHeight="1">
      <c r="F105" s="2667"/>
      <c r="G105" s="2667"/>
      <c r="H105" s="2667"/>
      <c r="I105" s="2667"/>
      <c r="J105" s="2667"/>
      <c r="K105" s="2667"/>
      <c r="L105" s="2667"/>
      <c r="M105" s="2667"/>
      <c r="N105" s="2667"/>
      <c r="O105" s="2667"/>
      <c r="P105" s="2667"/>
      <c r="Q105" s="2667"/>
      <c r="R105" s="2667"/>
      <c r="S105" s="2667"/>
      <c r="T105" s="2667"/>
      <c r="U105" s="2667"/>
      <c r="V105" s="2667"/>
      <c r="W105" s="2667"/>
      <c r="X105" s="2667"/>
      <c r="Y105" s="2667"/>
    </row>
    <row r="106" spans="6:25" ht="16.5" customHeight="1">
      <c r="F106" s="2667"/>
      <c r="G106" s="2667"/>
      <c r="H106" s="2667"/>
      <c r="I106" s="2667"/>
      <c r="J106" s="2667"/>
      <c r="K106" s="2667"/>
      <c r="L106" s="2667"/>
      <c r="M106" s="2667"/>
      <c r="N106" s="2667"/>
      <c r="O106" s="2667"/>
      <c r="P106" s="2667"/>
      <c r="Q106" s="2667"/>
      <c r="R106" s="2667"/>
      <c r="S106" s="2667"/>
      <c r="T106" s="2667"/>
      <c r="U106" s="2667"/>
      <c r="V106" s="2667"/>
      <c r="W106" s="2667"/>
      <c r="X106" s="2667"/>
      <c r="Y106" s="2667"/>
    </row>
    <row r="107" spans="6:25" ht="16.5" customHeight="1">
      <c r="F107" s="2667"/>
      <c r="G107" s="2667"/>
      <c r="H107" s="2667"/>
      <c r="I107" s="2667"/>
      <c r="J107" s="2667"/>
      <c r="K107" s="2667"/>
      <c r="L107" s="2667"/>
      <c r="M107" s="2667"/>
      <c r="N107" s="2667"/>
      <c r="O107" s="2667"/>
      <c r="P107" s="2667"/>
      <c r="Q107" s="2667"/>
      <c r="R107" s="2667"/>
      <c r="S107" s="2667"/>
      <c r="T107" s="2667"/>
      <c r="U107" s="2667"/>
      <c r="V107" s="2667"/>
      <c r="W107" s="2667"/>
      <c r="X107" s="2667"/>
      <c r="Y107" s="2667"/>
    </row>
    <row r="108" spans="6:25" ht="16.5" customHeight="1">
      <c r="F108" s="2667"/>
      <c r="G108" s="2667"/>
      <c r="H108" s="2667"/>
      <c r="I108" s="2667"/>
      <c r="J108" s="2667"/>
      <c r="K108" s="2667"/>
      <c r="L108" s="2667"/>
      <c r="M108" s="2667"/>
      <c r="N108" s="2667"/>
      <c r="O108" s="2667"/>
      <c r="P108" s="2667"/>
      <c r="Q108" s="2667"/>
      <c r="R108" s="2667"/>
      <c r="S108" s="2667"/>
      <c r="T108" s="2667"/>
      <c r="U108" s="2667"/>
      <c r="V108" s="2667"/>
      <c r="W108" s="2667"/>
      <c r="X108" s="2667"/>
      <c r="Y108" s="2667"/>
    </row>
    <row r="109" spans="6:25" ht="16.5" customHeight="1">
      <c r="F109" s="2667"/>
      <c r="G109" s="2667"/>
      <c r="H109" s="2667"/>
      <c r="I109" s="2667"/>
      <c r="J109" s="2667"/>
      <c r="K109" s="2667"/>
      <c r="L109" s="2667"/>
      <c r="M109" s="2667"/>
      <c r="N109" s="2667"/>
      <c r="O109" s="2667"/>
      <c r="P109" s="2667"/>
      <c r="Q109" s="2667"/>
      <c r="R109" s="2667"/>
      <c r="S109" s="2667"/>
      <c r="T109" s="2667"/>
      <c r="U109" s="2667"/>
      <c r="V109" s="2667"/>
      <c r="W109" s="2667"/>
      <c r="X109" s="2667"/>
      <c r="Y109" s="2667"/>
    </row>
    <row r="110" spans="6:25" ht="16.5" customHeight="1">
      <c r="F110" s="2667"/>
      <c r="G110" s="2667"/>
      <c r="H110" s="2667"/>
      <c r="I110" s="2667"/>
      <c r="J110" s="2667"/>
      <c r="K110" s="2667"/>
      <c r="L110" s="2667"/>
      <c r="M110" s="2667"/>
      <c r="N110" s="2667"/>
      <c r="O110" s="2667"/>
      <c r="P110" s="2667"/>
      <c r="Q110" s="2667"/>
      <c r="R110" s="2667"/>
      <c r="S110" s="2667"/>
      <c r="T110" s="2667"/>
      <c r="U110" s="2667"/>
      <c r="V110" s="2667"/>
      <c r="W110" s="2667"/>
      <c r="X110" s="2667"/>
      <c r="Y110" s="2667"/>
    </row>
    <row r="111" spans="6:25" ht="16.5" customHeight="1">
      <c r="F111" s="2667"/>
      <c r="G111" s="2667"/>
      <c r="H111" s="2667"/>
      <c r="I111" s="2667"/>
      <c r="J111" s="2667"/>
      <c r="K111" s="2667"/>
      <c r="L111" s="2667"/>
      <c r="M111" s="2667"/>
      <c r="N111" s="2667"/>
      <c r="O111" s="2667"/>
      <c r="P111" s="2667"/>
      <c r="Q111" s="2667"/>
      <c r="R111" s="2667"/>
      <c r="S111" s="2667"/>
      <c r="T111" s="2667"/>
      <c r="U111" s="2667"/>
      <c r="V111" s="2667"/>
      <c r="W111" s="2667"/>
      <c r="X111" s="2667"/>
      <c r="Y111" s="2667"/>
    </row>
    <row r="112" spans="6:25" ht="16.5" customHeight="1">
      <c r="F112" s="2667"/>
      <c r="G112" s="2667"/>
      <c r="H112" s="2667"/>
      <c r="I112" s="2667"/>
      <c r="J112" s="2667"/>
      <c r="K112" s="2667"/>
      <c r="L112" s="2667"/>
      <c r="M112" s="2667"/>
      <c r="N112" s="2667"/>
      <c r="O112" s="2667"/>
      <c r="P112" s="2667"/>
      <c r="Q112" s="2667"/>
      <c r="R112" s="2667"/>
      <c r="S112" s="2667"/>
      <c r="T112" s="2667"/>
      <c r="U112" s="2667"/>
      <c r="V112" s="2667"/>
      <c r="W112" s="2667"/>
      <c r="X112" s="2667"/>
      <c r="Y112" s="2667"/>
    </row>
    <row r="113" spans="6:25" ht="16.5" customHeight="1">
      <c r="F113" s="2667"/>
      <c r="G113" s="2667"/>
      <c r="H113" s="2667"/>
      <c r="I113" s="2667"/>
      <c r="J113" s="2667"/>
      <c r="K113" s="2667"/>
      <c r="L113" s="2667"/>
      <c r="M113" s="2667"/>
      <c r="N113" s="2667"/>
      <c r="O113" s="2667"/>
      <c r="P113" s="2667"/>
      <c r="Q113" s="2667"/>
      <c r="R113" s="2667"/>
      <c r="S113" s="2667"/>
      <c r="T113" s="2667"/>
      <c r="U113" s="2667"/>
      <c r="V113" s="2667"/>
      <c r="W113" s="2667"/>
      <c r="X113" s="2667"/>
      <c r="Y113" s="2667"/>
    </row>
    <row r="114" spans="6:25" ht="16.5" customHeight="1">
      <c r="F114" s="2667"/>
      <c r="G114" s="2667"/>
      <c r="H114" s="2667"/>
      <c r="I114" s="2667"/>
      <c r="J114" s="2667"/>
      <c r="K114" s="2667"/>
      <c r="L114" s="2667"/>
      <c r="M114" s="2667"/>
      <c r="N114" s="2667"/>
      <c r="O114" s="2667"/>
      <c r="P114" s="2667"/>
      <c r="Q114" s="2667"/>
      <c r="R114" s="2667"/>
      <c r="S114" s="2667"/>
      <c r="T114" s="2667"/>
      <c r="U114" s="2667"/>
      <c r="V114" s="2667"/>
      <c r="W114" s="2667"/>
      <c r="X114" s="2667"/>
      <c r="Y114" s="2667"/>
    </row>
    <row r="115" spans="6:25" ht="16.5" customHeight="1">
      <c r="F115" s="2667"/>
      <c r="G115" s="2667"/>
      <c r="H115" s="2667"/>
      <c r="I115" s="2667"/>
      <c r="J115" s="2667"/>
      <c r="K115" s="2667"/>
      <c r="L115" s="2667"/>
      <c r="M115" s="2667"/>
      <c r="N115" s="2667"/>
      <c r="O115" s="2667"/>
      <c r="P115" s="2667"/>
      <c r="Q115" s="2667"/>
      <c r="R115" s="2667"/>
      <c r="S115" s="2667"/>
      <c r="T115" s="2667"/>
      <c r="U115" s="2667"/>
      <c r="V115" s="2667"/>
      <c r="W115" s="2667"/>
      <c r="X115" s="2667"/>
      <c r="Y115" s="2667"/>
    </row>
    <row r="116" spans="6:25" ht="16.5" customHeight="1">
      <c r="F116" s="2667"/>
      <c r="G116" s="2667"/>
      <c r="H116" s="2667"/>
      <c r="I116" s="2667"/>
      <c r="J116" s="2667"/>
      <c r="K116" s="2667"/>
      <c r="L116" s="2667"/>
      <c r="M116" s="2667"/>
      <c r="N116" s="2667"/>
      <c r="O116" s="2667"/>
      <c r="P116" s="2667"/>
      <c r="Q116" s="2667"/>
      <c r="R116" s="2667"/>
      <c r="S116" s="2667"/>
      <c r="T116" s="2667"/>
      <c r="U116" s="2667"/>
      <c r="V116" s="2667"/>
      <c r="W116" s="2667"/>
      <c r="X116" s="2667"/>
      <c r="Y116" s="2667"/>
    </row>
    <row r="117" spans="6:25" ht="16.5" customHeight="1">
      <c r="F117" s="2667"/>
      <c r="G117" s="2667"/>
      <c r="H117" s="2667"/>
      <c r="I117" s="2667"/>
      <c r="J117" s="2667"/>
      <c r="K117" s="2667"/>
      <c r="L117" s="2667"/>
      <c r="M117" s="2667"/>
      <c r="N117" s="2667"/>
      <c r="O117" s="2667"/>
      <c r="P117" s="2667"/>
      <c r="Q117" s="2667"/>
      <c r="R117" s="2667"/>
      <c r="S117" s="2667"/>
      <c r="T117" s="2667"/>
      <c r="U117" s="2667"/>
      <c r="V117" s="2667"/>
      <c r="W117" s="2667"/>
      <c r="X117" s="2667"/>
      <c r="Y117" s="2667"/>
    </row>
    <row r="118" spans="6:25" ht="16.5" customHeight="1">
      <c r="F118" s="2667"/>
      <c r="G118" s="2667"/>
      <c r="H118" s="2667"/>
      <c r="I118" s="2667"/>
      <c r="J118" s="2667"/>
      <c r="K118" s="2667"/>
      <c r="L118" s="2667"/>
      <c r="M118" s="2667"/>
      <c r="N118" s="2667"/>
      <c r="O118" s="2667"/>
      <c r="P118" s="2667"/>
      <c r="Q118" s="2667"/>
      <c r="R118" s="2667"/>
      <c r="S118" s="2667"/>
      <c r="T118" s="2667"/>
      <c r="U118" s="2667"/>
      <c r="V118" s="2667"/>
      <c r="W118" s="2667"/>
      <c r="X118" s="2667"/>
      <c r="Y118" s="2667"/>
    </row>
    <row r="119" spans="6:25" ht="16.5" customHeight="1">
      <c r="F119" s="2667"/>
      <c r="G119" s="2667"/>
      <c r="H119" s="2667"/>
      <c r="I119" s="2667"/>
      <c r="J119" s="2667"/>
      <c r="K119" s="2667"/>
      <c r="L119" s="2667"/>
      <c r="M119" s="2667"/>
      <c r="N119" s="2667"/>
      <c r="O119" s="2667"/>
      <c r="P119" s="2667"/>
      <c r="Q119" s="2667"/>
      <c r="R119" s="2667"/>
      <c r="S119" s="2667"/>
      <c r="T119" s="2667"/>
      <c r="U119" s="2667"/>
      <c r="V119" s="2667"/>
      <c r="W119" s="2667"/>
      <c r="X119" s="2667"/>
      <c r="Y119" s="2667"/>
    </row>
    <row r="120" spans="6:25" ht="16.5" customHeight="1">
      <c r="F120" s="2667"/>
      <c r="G120" s="2667"/>
      <c r="H120" s="2667"/>
      <c r="I120" s="2667"/>
      <c r="J120" s="2667"/>
      <c r="K120" s="2667"/>
      <c r="L120" s="2667"/>
      <c r="M120" s="2667"/>
      <c r="N120" s="2667"/>
      <c r="O120" s="2667"/>
      <c r="P120" s="2667"/>
      <c r="Q120" s="2667"/>
      <c r="R120" s="2667"/>
      <c r="S120" s="2667"/>
      <c r="T120" s="2667"/>
      <c r="U120" s="2667"/>
      <c r="V120" s="2667"/>
      <c r="W120" s="2667"/>
      <c r="X120" s="2667"/>
      <c r="Y120" s="2667"/>
    </row>
    <row r="121" spans="6:25" ht="16.5" customHeight="1">
      <c r="F121" s="2667"/>
      <c r="G121" s="2667"/>
      <c r="H121" s="2667"/>
      <c r="I121" s="2667"/>
      <c r="J121" s="2667"/>
      <c r="K121" s="2667"/>
      <c r="L121" s="2667"/>
      <c r="M121" s="2667"/>
      <c r="N121" s="2667"/>
      <c r="O121" s="2667"/>
      <c r="P121" s="2667"/>
      <c r="Q121" s="2667"/>
      <c r="R121" s="2667"/>
      <c r="S121" s="2667"/>
      <c r="T121" s="2667"/>
      <c r="U121" s="2667"/>
      <c r="V121" s="2667"/>
      <c r="W121" s="2667"/>
      <c r="X121" s="2667"/>
      <c r="Y121" s="2667"/>
    </row>
    <row r="122" spans="6:25" ht="16.5" customHeight="1">
      <c r="F122" s="2667"/>
      <c r="G122" s="2667"/>
      <c r="H122" s="2667"/>
      <c r="I122" s="2667"/>
      <c r="J122" s="2667"/>
      <c r="K122" s="2667"/>
      <c r="L122" s="2667"/>
      <c r="M122" s="2667"/>
      <c r="N122" s="2667"/>
      <c r="O122" s="2667"/>
      <c r="P122" s="2667"/>
      <c r="Q122" s="2667"/>
      <c r="R122" s="2667"/>
      <c r="S122" s="2667"/>
      <c r="T122" s="2667"/>
      <c r="U122" s="2667"/>
      <c r="V122" s="2667"/>
      <c r="W122" s="2667"/>
      <c r="X122" s="2667"/>
      <c r="Y122" s="2667"/>
    </row>
    <row r="123" spans="6:25" ht="16.5" customHeight="1">
      <c r="F123" s="2667"/>
      <c r="G123" s="2667"/>
      <c r="H123" s="2667"/>
      <c r="I123" s="2667"/>
      <c r="J123" s="2667"/>
      <c r="K123" s="2667"/>
      <c r="L123" s="2667"/>
      <c r="M123" s="2667"/>
      <c r="N123" s="2667"/>
      <c r="O123" s="2667"/>
      <c r="P123" s="2667"/>
      <c r="Q123" s="2667"/>
      <c r="R123" s="2667"/>
      <c r="S123" s="2667"/>
      <c r="T123" s="2667"/>
      <c r="U123" s="2667"/>
      <c r="V123" s="2667"/>
      <c r="W123" s="2667"/>
      <c r="X123" s="2667"/>
      <c r="Y123" s="2667"/>
    </row>
    <row r="124" spans="6:25" ht="16.5" customHeight="1">
      <c r="F124" s="2667"/>
      <c r="G124" s="2667"/>
      <c r="H124" s="2667"/>
      <c r="I124" s="2667"/>
      <c r="J124" s="2667"/>
      <c r="K124" s="2667"/>
      <c r="L124" s="2667"/>
      <c r="M124" s="2667"/>
      <c r="N124" s="2667"/>
      <c r="O124" s="2667"/>
      <c r="P124" s="2667"/>
      <c r="Q124" s="2667"/>
      <c r="R124" s="2667"/>
      <c r="S124" s="2667"/>
      <c r="T124" s="2667"/>
      <c r="U124" s="2667"/>
      <c r="V124" s="2667"/>
      <c r="W124" s="2667"/>
      <c r="X124" s="2667"/>
      <c r="Y124" s="2667"/>
    </row>
    <row r="125" spans="6:25" ht="16.5" customHeight="1">
      <c r="F125" s="2667"/>
      <c r="G125" s="2667"/>
      <c r="H125" s="2667"/>
      <c r="I125" s="2667"/>
      <c r="J125" s="2667"/>
      <c r="K125" s="2667"/>
      <c r="L125" s="2667"/>
      <c r="M125" s="2667"/>
      <c r="N125" s="2667"/>
      <c r="O125" s="2667"/>
      <c r="P125" s="2667"/>
      <c r="Q125" s="2667"/>
      <c r="R125" s="2667"/>
      <c r="S125" s="2667"/>
      <c r="T125" s="2667"/>
      <c r="U125" s="2667"/>
      <c r="V125" s="2667"/>
      <c r="W125" s="2667"/>
      <c r="X125" s="2667"/>
      <c r="Y125" s="2667"/>
    </row>
    <row r="126" spans="6:25" ht="16.5" customHeight="1">
      <c r="F126" s="2667"/>
      <c r="G126" s="2667"/>
      <c r="H126" s="2667"/>
      <c r="I126" s="2667"/>
      <c r="J126" s="2667"/>
      <c r="K126" s="2667"/>
      <c r="L126" s="2667"/>
      <c r="M126" s="2667"/>
      <c r="N126" s="2667"/>
      <c r="O126" s="2667"/>
      <c r="P126" s="2667"/>
      <c r="Q126" s="2667"/>
      <c r="R126" s="2667"/>
      <c r="S126" s="2667"/>
      <c r="T126" s="2667"/>
      <c r="U126" s="2667"/>
      <c r="V126" s="2667"/>
      <c r="W126" s="2667"/>
      <c r="X126" s="2667"/>
      <c r="Y126" s="2667"/>
    </row>
    <row r="127" spans="6:25" ht="16.5" customHeight="1">
      <c r="F127" s="2667"/>
      <c r="G127" s="2667"/>
      <c r="H127" s="2667"/>
      <c r="I127" s="2667"/>
      <c r="J127" s="2667"/>
      <c r="K127" s="2667"/>
      <c r="L127" s="2667"/>
      <c r="M127" s="2667"/>
      <c r="N127" s="2667"/>
      <c r="O127" s="2667"/>
      <c r="P127" s="2667"/>
      <c r="Q127" s="2667"/>
      <c r="R127" s="2667"/>
      <c r="S127" s="2667"/>
      <c r="T127" s="2667"/>
      <c r="U127" s="2667"/>
      <c r="V127" s="2667"/>
      <c r="W127" s="2667"/>
      <c r="X127" s="2667"/>
      <c r="Y127" s="2667"/>
    </row>
    <row r="128" spans="6:25" ht="16.5" customHeight="1">
      <c r="F128" s="2667"/>
      <c r="G128" s="2667"/>
      <c r="H128" s="2667"/>
      <c r="I128" s="2667"/>
      <c r="J128" s="2667"/>
      <c r="K128" s="2667"/>
      <c r="L128" s="2667"/>
      <c r="M128" s="2667"/>
      <c r="N128" s="2667"/>
      <c r="O128" s="2667"/>
      <c r="P128" s="2667"/>
      <c r="Q128" s="2667"/>
      <c r="R128" s="2667"/>
      <c r="S128" s="2667"/>
      <c r="T128" s="2667"/>
      <c r="U128" s="2667"/>
      <c r="V128" s="2667"/>
      <c r="W128" s="2667"/>
      <c r="X128" s="2667"/>
      <c r="Y128" s="2667"/>
    </row>
    <row r="129" spans="6:25" ht="16.5" customHeight="1">
      <c r="F129" s="2667"/>
      <c r="G129" s="2667"/>
      <c r="H129" s="2667"/>
      <c r="I129" s="2667"/>
      <c r="J129" s="2667"/>
      <c r="K129" s="2667"/>
      <c r="L129" s="2667"/>
      <c r="M129" s="2667"/>
      <c r="N129" s="2667"/>
      <c r="O129" s="2667"/>
      <c r="P129" s="2667"/>
      <c r="Q129" s="2667"/>
      <c r="R129" s="2667"/>
      <c r="S129" s="2667"/>
      <c r="T129" s="2667"/>
      <c r="U129" s="2667"/>
      <c r="V129" s="2667"/>
      <c r="W129" s="2667"/>
      <c r="X129" s="2667"/>
      <c r="Y129" s="2667"/>
    </row>
    <row r="130" spans="6:25" ht="16.5" customHeight="1">
      <c r="F130" s="2667"/>
      <c r="G130" s="2667"/>
      <c r="H130" s="2667"/>
      <c r="I130" s="2667"/>
      <c r="J130" s="2667"/>
      <c r="K130" s="2667"/>
      <c r="L130" s="2667"/>
      <c r="M130" s="2667"/>
      <c r="N130" s="2667"/>
      <c r="O130" s="2667"/>
      <c r="P130" s="2667"/>
      <c r="Q130" s="2667"/>
      <c r="R130" s="2667"/>
      <c r="S130" s="2667"/>
      <c r="T130" s="2667"/>
      <c r="U130" s="2667"/>
      <c r="V130" s="2667"/>
      <c r="W130" s="2667"/>
      <c r="X130" s="2667"/>
      <c r="Y130" s="2667"/>
    </row>
    <row r="131" spans="6:25" ht="16.5" customHeight="1">
      <c r="F131" s="2667"/>
      <c r="G131" s="2667"/>
      <c r="H131" s="2667"/>
      <c r="I131" s="2667"/>
      <c r="J131" s="2667"/>
      <c r="K131" s="2667"/>
      <c r="L131" s="2667"/>
      <c r="M131" s="2667"/>
      <c r="N131" s="2667"/>
      <c r="O131" s="2667"/>
      <c r="P131" s="2667"/>
      <c r="Q131" s="2667"/>
      <c r="R131" s="2667"/>
      <c r="S131" s="2667"/>
      <c r="T131" s="2667"/>
      <c r="U131" s="2667"/>
      <c r="V131" s="2667"/>
      <c r="W131" s="2667"/>
      <c r="X131" s="2667"/>
      <c r="Y131" s="2667"/>
    </row>
    <row r="132" spans="6:25" ht="16.5" customHeight="1">
      <c r="F132" s="2667"/>
      <c r="G132" s="2667"/>
      <c r="H132" s="2667"/>
      <c r="I132" s="2667"/>
      <c r="J132" s="2667"/>
      <c r="K132" s="2667"/>
      <c r="L132" s="2667"/>
      <c r="M132" s="2667"/>
      <c r="N132" s="2667"/>
      <c r="O132" s="2667"/>
      <c r="P132" s="2667"/>
      <c r="Q132" s="2667"/>
      <c r="R132" s="2667"/>
      <c r="S132" s="2667"/>
      <c r="T132" s="2667"/>
      <c r="U132" s="2667"/>
      <c r="V132" s="2667"/>
      <c r="W132" s="2667"/>
      <c r="X132" s="2667"/>
      <c r="Y132" s="2667"/>
    </row>
    <row r="133" spans="6:25" ht="16.5" customHeight="1">
      <c r="F133" s="2667"/>
      <c r="G133" s="2667"/>
      <c r="H133" s="2667"/>
      <c r="I133" s="2667"/>
      <c r="J133" s="2667"/>
      <c r="K133" s="2667"/>
      <c r="L133" s="2667"/>
      <c r="M133" s="2667"/>
      <c r="N133" s="2667"/>
      <c r="O133" s="2667"/>
      <c r="P133" s="2667"/>
      <c r="Q133" s="2667"/>
      <c r="R133" s="2667"/>
      <c r="S133" s="2667"/>
      <c r="T133" s="2667"/>
      <c r="U133" s="2667"/>
      <c r="V133" s="2667"/>
      <c r="W133" s="2667"/>
      <c r="X133" s="2667"/>
      <c r="Y133" s="2667"/>
    </row>
    <row r="134" spans="6:25" ht="16.5" customHeight="1">
      <c r="F134" s="2667"/>
      <c r="G134" s="2667"/>
      <c r="H134" s="2667"/>
      <c r="I134" s="2667"/>
      <c r="J134" s="2667"/>
      <c r="K134" s="2667"/>
      <c r="L134" s="2667"/>
      <c r="M134" s="2667"/>
      <c r="N134" s="2667"/>
      <c r="O134" s="2667"/>
      <c r="P134" s="2667"/>
      <c r="Q134" s="2667"/>
      <c r="R134" s="2667"/>
      <c r="S134" s="2667"/>
      <c r="T134" s="2667"/>
      <c r="U134" s="2667"/>
      <c r="V134" s="2667"/>
      <c r="W134" s="2667"/>
      <c r="X134" s="2667"/>
      <c r="Y134" s="2667"/>
    </row>
    <row r="135" spans="6:25" ht="16.5" customHeight="1">
      <c r="F135" s="2667"/>
      <c r="G135" s="2667"/>
      <c r="H135" s="2667"/>
      <c r="I135" s="2667"/>
      <c r="J135" s="2667"/>
      <c r="K135" s="2667"/>
      <c r="L135" s="2667"/>
      <c r="M135" s="2667"/>
      <c r="N135" s="2667"/>
      <c r="O135" s="2667"/>
      <c r="P135" s="2667"/>
      <c r="Q135" s="2667"/>
      <c r="R135" s="2667"/>
      <c r="S135" s="2667"/>
      <c r="T135" s="2667"/>
      <c r="U135" s="2667"/>
      <c r="V135" s="2667"/>
      <c r="W135" s="2667"/>
      <c r="X135" s="2667"/>
      <c r="Y135" s="2667"/>
    </row>
    <row r="136" spans="6:25" ht="16.5" customHeight="1">
      <c r="F136" s="2667"/>
      <c r="G136" s="2667"/>
      <c r="H136" s="2667"/>
      <c r="I136" s="2667"/>
      <c r="J136" s="2667"/>
      <c r="K136" s="2667"/>
      <c r="L136" s="2667"/>
      <c r="M136" s="2667"/>
      <c r="N136" s="2667"/>
      <c r="O136" s="2667"/>
      <c r="P136" s="2667"/>
      <c r="Q136" s="2667"/>
      <c r="R136" s="2667"/>
      <c r="S136" s="2667"/>
      <c r="T136" s="2667"/>
      <c r="U136" s="2667"/>
      <c r="V136" s="2667"/>
      <c r="W136" s="2667"/>
      <c r="X136" s="2667"/>
      <c r="Y136" s="2667"/>
    </row>
    <row r="137" spans="6:25" ht="16.5" customHeight="1">
      <c r="F137" s="2667"/>
      <c r="G137" s="2667"/>
      <c r="H137" s="2667"/>
      <c r="I137" s="2667"/>
      <c r="J137" s="2667"/>
      <c r="K137" s="2667"/>
      <c r="L137" s="2667"/>
      <c r="M137" s="2667"/>
      <c r="N137" s="2667"/>
      <c r="O137" s="2667"/>
      <c r="P137" s="2667"/>
      <c r="Q137" s="2667"/>
      <c r="R137" s="2667"/>
      <c r="S137" s="2667"/>
      <c r="T137" s="2667"/>
      <c r="U137" s="2667"/>
      <c r="V137" s="2667"/>
      <c r="W137" s="2667"/>
      <c r="X137" s="2667"/>
      <c r="Y137" s="2667"/>
    </row>
    <row r="138" spans="6:25" ht="16.5" customHeight="1">
      <c r="F138" s="2667"/>
      <c r="G138" s="2667"/>
      <c r="H138" s="2667"/>
      <c r="I138" s="2667"/>
      <c r="J138" s="2667"/>
      <c r="K138" s="2667"/>
      <c r="L138" s="2667"/>
      <c r="M138" s="2667"/>
      <c r="N138" s="2667"/>
      <c r="O138" s="2667"/>
      <c r="P138" s="2667"/>
      <c r="Q138" s="2667"/>
      <c r="R138" s="2667"/>
      <c r="S138" s="2667"/>
      <c r="T138" s="2667"/>
      <c r="U138" s="2667"/>
      <c r="V138" s="2667"/>
      <c r="W138" s="2667"/>
      <c r="X138" s="2667"/>
      <c r="Y138" s="2667"/>
    </row>
    <row r="139" spans="6:25" ht="16.5" customHeight="1">
      <c r="F139" s="2667"/>
      <c r="G139" s="2667"/>
      <c r="H139" s="2667"/>
      <c r="I139" s="2667"/>
      <c r="J139" s="2667"/>
      <c r="K139" s="2667"/>
      <c r="L139" s="2667"/>
      <c r="M139" s="2667"/>
      <c r="N139" s="2667"/>
      <c r="O139" s="2667"/>
      <c r="P139" s="2667"/>
      <c r="Q139" s="2667"/>
      <c r="R139" s="2667"/>
      <c r="S139" s="2667"/>
      <c r="T139" s="2667"/>
      <c r="U139" s="2667"/>
      <c r="V139" s="2667"/>
      <c r="W139" s="2667"/>
      <c r="X139" s="2667"/>
      <c r="Y139" s="2667"/>
    </row>
    <row r="140" spans="6:25" ht="16.5" customHeight="1">
      <c r="F140" s="2667"/>
      <c r="G140" s="2667"/>
      <c r="H140" s="2667"/>
      <c r="I140" s="2667"/>
      <c r="J140" s="2667"/>
      <c r="K140" s="2667"/>
      <c r="L140" s="2667"/>
      <c r="M140" s="2667"/>
      <c r="N140" s="2667"/>
      <c r="O140" s="2667"/>
      <c r="P140" s="2667"/>
      <c r="Q140" s="2667"/>
      <c r="R140" s="2667"/>
      <c r="S140" s="2667"/>
      <c r="T140" s="2667"/>
      <c r="U140" s="2667"/>
      <c r="V140" s="2667"/>
      <c r="W140" s="2667"/>
      <c r="X140" s="2667"/>
      <c r="Y140" s="2667"/>
    </row>
    <row r="141" spans="6:25" ht="16.5" customHeight="1">
      <c r="F141" s="2667"/>
      <c r="G141" s="2667"/>
      <c r="H141" s="2667"/>
      <c r="I141" s="2667"/>
      <c r="J141" s="2667"/>
      <c r="K141" s="2667"/>
      <c r="L141" s="2667"/>
      <c r="M141" s="2667"/>
      <c r="N141" s="2667"/>
      <c r="O141" s="2667"/>
      <c r="P141" s="2667"/>
      <c r="Q141" s="2667"/>
      <c r="R141" s="2667"/>
      <c r="S141" s="2667"/>
      <c r="T141" s="2667"/>
      <c r="U141" s="2667"/>
      <c r="V141" s="2667"/>
      <c r="W141" s="2667"/>
      <c r="X141" s="2667"/>
      <c r="Y141" s="2667"/>
    </row>
    <row r="142" spans="6:25" ht="16.5" customHeight="1">
      <c r="F142" s="2667"/>
      <c r="G142" s="2667"/>
      <c r="H142" s="2667"/>
      <c r="I142" s="2667"/>
      <c r="J142" s="2667"/>
      <c r="K142" s="2667"/>
      <c r="L142" s="2667"/>
      <c r="M142" s="2667"/>
      <c r="N142" s="2667"/>
      <c r="O142" s="2667"/>
      <c r="P142" s="2667"/>
      <c r="Q142" s="2667"/>
      <c r="R142" s="2667"/>
      <c r="S142" s="2667"/>
      <c r="T142" s="2667"/>
      <c r="U142" s="2667"/>
      <c r="V142" s="2667"/>
      <c r="W142" s="2667"/>
      <c r="X142" s="2667"/>
      <c r="Y142" s="2667"/>
    </row>
    <row r="143" spans="6:25" ht="16.5" customHeight="1">
      <c r="F143" s="2667"/>
      <c r="G143" s="2667"/>
      <c r="H143" s="2667"/>
      <c r="I143" s="2667"/>
      <c r="J143" s="2667"/>
      <c r="K143" s="2667"/>
      <c r="L143" s="2667"/>
      <c r="M143" s="2667"/>
      <c r="N143" s="2667"/>
      <c r="O143" s="2667"/>
      <c r="P143" s="2667"/>
      <c r="Q143" s="2667"/>
      <c r="R143" s="2667"/>
      <c r="S143" s="2667"/>
      <c r="T143" s="2667"/>
      <c r="U143" s="2667"/>
      <c r="V143" s="2667"/>
      <c r="W143" s="2667"/>
      <c r="X143" s="2667"/>
      <c r="Y143" s="2667"/>
    </row>
    <row r="144" spans="6:25" ht="16.5" customHeight="1">
      <c r="F144" s="2667"/>
      <c r="G144" s="2667"/>
      <c r="H144" s="2667"/>
      <c r="I144" s="2667"/>
      <c r="J144" s="2667"/>
      <c r="K144" s="2667"/>
      <c r="L144" s="2667"/>
      <c r="M144" s="2667"/>
      <c r="N144" s="2667"/>
      <c r="O144" s="2667"/>
      <c r="P144" s="2667"/>
      <c r="Q144" s="2667"/>
      <c r="R144" s="2667"/>
      <c r="S144" s="2667"/>
      <c r="T144" s="2667"/>
      <c r="U144" s="2667"/>
      <c r="V144" s="2667"/>
      <c r="W144" s="2667"/>
      <c r="X144" s="2667"/>
      <c r="Y144" s="2667"/>
    </row>
    <row r="145" spans="6:25" ht="16.5" customHeight="1">
      <c r="F145" s="2667"/>
      <c r="G145" s="2667"/>
      <c r="H145" s="2667"/>
      <c r="I145" s="2667"/>
      <c r="J145" s="2667"/>
      <c r="K145" s="2667"/>
      <c r="L145" s="2667"/>
      <c r="M145" s="2667"/>
      <c r="N145" s="2667"/>
      <c r="O145" s="2667"/>
      <c r="P145" s="2667"/>
      <c r="Q145" s="2667"/>
      <c r="R145" s="2667"/>
      <c r="S145" s="2667"/>
      <c r="T145" s="2667"/>
      <c r="U145" s="2667"/>
      <c r="V145" s="2667"/>
      <c r="W145" s="2667"/>
      <c r="X145" s="2667"/>
      <c r="Y145" s="2667"/>
    </row>
    <row r="146" spans="6:25" ht="16.5" customHeight="1">
      <c r="F146" s="2667"/>
      <c r="G146" s="2667"/>
      <c r="H146" s="2667"/>
      <c r="I146" s="2667"/>
      <c r="J146" s="2667"/>
      <c r="K146" s="2667"/>
      <c r="L146" s="2667"/>
      <c r="M146" s="2667"/>
      <c r="N146" s="2667"/>
      <c r="O146" s="2667"/>
      <c r="P146" s="2667"/>
      <c r="Q146" s="2667"/>
      <c r="R146" s="2667"/>
      <c r="S146" s="2667"/>
      <c r="T146" s="2667"/>
      <c r="U146" s="2667"/>
      <c r="V146" s="2667"/>
      <c r="W146" s="2667"/>
      <c r="X146" s="2667"/>
      <c r="Y146" s="2667"/>
    </row>
    <row r="147" spans="6:25" ht="16.5" customHeight="1">
      <c r="F147" s="2667"/>
      <c r="G147" s="2667"/>
      <c r="H147" s="2667"/>
      <c r="I147" s="2667"/>
      <c r="J147" s="2667"/>
      <c r="K147" s="2667"/>
      <c r="L147" s="2667"/>
      <c r="M147" s="2667"/>
      <c r="N147" s="2667"/>
      <c r="O147" s="2667"/>
      <c r="P147" s="2667"/>
      <c r="Q147" s="2667"/>
      <c r="R147" s="2667"/>
      <c r="S147" s="2667"/>
      <c r="T147" s="2667"/>
      <c r="U147" s="2667"/>
      <c r="V147" s="2667"/>
      <c r="W147" s="2667"/>
      <c r="X147" s="2667"/>
      <c r="Y147" s="2667"/>
    </row>
    <row r="148" spans="6:25" ht="16.5" customHeight="1">
      <c r="F148" s="2667"/>
      <c r="G148" s="2667"/>
      <c r="H148" s="2667"/>
      <c r="I148" s="2667"/>
      <c r="J148" s="2667"/>
      <c r="K148" s="2667"/>
      <c r="L148" s="2667"/>
      <c r="M148" s="2667"/>
      <c r="N148" s="2667"/>
      <c r="O148" s="2667"/>
      <c r="P148" s="2667"/>
      <c r="Q148" s="2667"/>
      <c r="R148" s="2667"/>
      <c r="S148" s="2667"/>
      <c r="T148" s="2667"/>
      <c r="U148" s="2667"/>
      <c r="V148" s="2667"/>
      <c r="W148" s="2667"/>
      <c r="X148" s="2667"/>
      <c r="Y148" s="2667"/>
    </row>
    <row r="149" spans="6:25" ht="16.5" customHeight="1">
      <c r="F149" s="2667"/>
      <c r="G149" s="2667"/>
      <c r="H149" s="2667"/>
      <c r="I149" s="2667"/>
      <c r="J149" s="2667"/>
      <c r="K149" s="2667"/>
      <c r="L149" s="2667"/>
      <c r="M149" s="2667"/>
      <c r="N149" s="2667"/>
      <c r="O149" s="2667"/>
      <c r="P149" s="2667"/>
      <c r="Q149" s="2667"/>
      <c r="R149" s="2667"/>
      <c r="S149" s="2667"/>
      <c r="T149" s="2667"/>
      <c r="U149" s="2667"/>
      <c r="V149" s="2667"/>
      <c r="W149" s="2667"/>
      <c r="X149" s="2667"/>
      <c r="Y149" s="2667"/>
    </row>
    <row r="150" spans="6:25" ht="16.5" customHeight="1">
      <c r="F150" s="2667"/>
      <c r="G150" s="2667"/>
      <c r="H150" s="2667"/>
      <c r="I150" s="2667"/>
      <c r="J150" s="2667"/>
      <c r="K150" s="2667"/>
      <c r="L150" s="2667"/>
      <c r="M150" s="2667"/>
      <c r="N150" s="2667"/>
      <c r="O150" s="2667"/>
      <c r="P150" s="2667"/>
      <c r="Q150" s="2667"/>
      <c r="R150" s="2667"/>
      <c r="S150" s="2667"/>
      <c r="T150" s="2667"/>
      <c r="U150" s="2667"/>
      <c r="V150" s="2667"/>
      <c r="W150" s="2667"/>
      <c r="X150" s="2667"/>
      <c r="Y150" s="2667"/>
    </row>
    <row r="151" spans="6:25" ht="16.5" customHeight="1">
      <c r="F151" s="2667"/>
      <c r="G151" s="2667"/>
      <c r="H151" s="2667"/>
      <c r="I151" s="2667"/>
      <c r="J151" s="2667"/>
      <c r="K151" s="2667"/>
      <c r="L151" s="2667"/>
      <c r="M151" s="2667"/>
      <c r="N151" s="2667"/>
      <c r="O151" s="2667"/>
      <c r="P151" s="2667"/>
      <c r="Q151" s="2667"/>
      <c r="R151" s="2667"/>
      <c r="S151" s="2667"/>
      <c r="T151" s="2667"/>
      <c r="U151" s="2667"/>
      <c r="V151" s="2667"/>
      <c r="W151" s="2667"/>
      <c r="X151" s="2667"/>
      <c r="Y151" s="2667"/>
    </row>
    <row r="152" spans="6:25" ht="16.5" customHeight="1">
      <c r="F152" s="2667"/>
      <c r="G152" s="2667"/>
      <c r="H152" s="2667"/>
      <c r="I152" s="2667"/>
      <c r="J152" s="2667"/>
      <c r="K152" s="2667"/>
      <c r="L152" s="2667"/>
      <c r="M152" s="2667"/>
      <c r="N152" s="2667"/>
      <c r="O152" s="2667"/>
      <c r="P152" s="2667"/>
      <c r="Q152" s="2667"/>
      <c r="R152" s="2667"/>
      <c r="S152" s="2667"/>
      <c r="T152" s="2667"/>
      <c r="U152" s="2667"/>
      <c r="V152" s="2667"/>
      <c r="W152" s="2667"/>
      <c r="X152" s="2667"/>
      <c r="Y152" s="2667"/>
    </row>
    <row r="153" spans="6:25" ht="16.5" customHeight="1">
      <c r="F153" s="2667"/>
      <c r="G153" s="2667"/>
      <c r="H153" s="2667"/>
      <c r="I153" s="2667"/>
      <c r="J153" s="2667"/>
      <c r="K153" s="2667"/>
      <c r="L153" s="2667"/>
      <c r="M153" s="2667"/>
      <c r="N153" s="2667"/>
      <c r="O153" s="2667"/>
      <c r="P153" s="2667"/>
      <c r="Q153" s="2667"/>
      <c r="R153" s="2667"/>
      <c r="S153" s="2667"/>
      <c r="T153" s="2667"/>
      <c r="U153" s="2667"/>
      <c r="V153" s="2667"/>
      <c r="W153" s="2667"/>
      <c r="X153" s="2667"/>
      <c r="Y153" s="2667"/>
    </row>
    <row r="154" spans="6:25" ht="16.5" customHeight="1">
      <c r="F154" s="2667"/>
      <c r="G154" s="2667"/>
      <c r="H154" s="2667"/>
      <c r="I154" s="2667"/>
      <c r="J154" s="2667"/>
      <c r="K154" s="2667"/>
      <c r="L154" s="2667"/>
      <c r="M154" s="2667"/>
      <c r="N154" s="2667"/>
      <c r="O154" s="2667"/>
      <c r="P154" s="2667"/>
      <c r="Q154" s="2667"/>
      <c r="R154" s="2667"/>
      <c r="S154" s="2667"/>
      <c r="T154" s="2667"/>
      <c r="U154" s="2667"/>
      <c r="V154" s="2667"/>
      <c r="W154" s="2667"/>
      <c r="X154" s="2667"/>
      <c r="Y154" s="2667"/>
    </row>
    <row r="155" spans="6:25" ht="16.5" customHeight="1">
      <c r="F155" s="2667"/>
      <c r="G155" s="2667"/>
      <c r="H155" s="2667"/>
      <c r="I155" s="2667"/>
      <c r="J155" s="2667"/>
      <c r="K155" s="2667"/>
      <c r="L155" s="2667"/>
      <c r="M155" s="2667"/>
      <c r="N155" s="2667"/>
      <c r="O155" s="2667"/>
      <c r="P155" s="2667"/>
      <c r="Q155" s="2667"/>
      <c r="R155" s="2667"/>
      <c r="S155" s="2667"/>
      <c r="T155" s="2667"/>
      <c r="U155" s="2667"/>
      <c r="V155" s="2667"/>
      <c r="W155" s="2667"/>
      <c r="X155" s="2667"/>
      <c r="Y155" s="2667"/>
    </row>
    <row r="156" spans="6:25" ht="16.5" customHeight="1">
      <c r="F156" s="2667"/>
      <c r="G156" s="2667"/>
      <c r="H156" s="2667"/>
      <c r="I156" s="2667"/>
      <c r="J156" s="2667"/>
      <c r="K156" s="2667"/>
      <c r="L156" s="2667"/>
      <c r="M156" s="2667"/>
      <c r="N156" s="2667"/>
      <c r="O156" s="2667"/>
      <c r="P156" s="2667"/>
      <c r="Q156" s="2667"/>
      <c r="R156" s="2667"/>
      <c r="S156" s="2667"/>
      <c r="T156" s="2667"/>
      <c r="U156" s="2667"/>
      <c r="V156" s="2667"/>
      <c r="W156" s="2667"/>
      <c r="X156" s="2667"/>
      <c r="Y156" s="2667"/>
    </row>
    <row r="157" spans="6:25" ht="16.5" customHeight="1">
      <c r="F157" s="2667"/>
      <c r="G157" s="2667"/>
      <c r="H157" s="2667"/>
      <c r="I157" s="2667"/>
      <c r="J157" s="2667"/>
      <c r="K157" s="2667"/>
      <c r="L157" s="2667"/>
      <c r="M157" s="2667"/>
      <c r="N157" s="2667"/>
      <c r="O157" s="2667"/>
      <c r="P157" s="2667"/>
      <c r="Q157" s="2667"/>
      <c r="R157" s="2667"/>
      <c r="S157" s="2667"/>
      <c r="T157" s="2667"/>
      <c r="U157" s="2667"/>
      <c r="V157" s="2667"/>
      <c r="W157" s="2667"/>
      <c r="X157" s="2667"/>
      <c r="Y157" s="2667"/>
    </row>
    <row r="158" spans="6:25" ht="16.5" customHeight="1">
      <c r="F158" s="2667"/>
      <c r="G158" s="2667"/>
      <c r="H158" s="2667"/>
      <c r="I158" s="2667"/>
      <c r="J158" s="2667"/>
      <c r="K158" s="2667"/>
      <c r="L158" s="2667"/>
      <c r="M158" s="2667"/>
      <c r="N158" s="2667"/>
      <c r="O158" s="2667"/>
      <c r="P158" s="2667"/>
      <c r="Q158" s="2667"/>
      <c r="R158" s="2667"/>
      <c r="S158" s="2667"/>
      <c r="T158" s="2667"/>
      <c r="U158" s="2667"/>
      <c r="V158" s="2667"/>
      <c r="W158" s="2667"/>
      <c r="X158" s="2667"/>
      <c r="Y158" s="2667"/>
    </row>
    <row r="159" spans="6:25" ht="16.5" customHeight="1">
      <c r="F159" s="2667"/>
      <c r="G159" s="2667"/>
      <c r="H159" s="2667"/>
      <c r="I159" s="2667"/>
      <c r="J159" s="2667"/>
      <c r="K159" s="2667"/>
      <c r="L159" s="2667"/>
      <c r="M159" s="2667"/>
      <c r="N159" s="2667"/>
      <c r="O159" s="2667"/>
      <c r="P159" s="2667"/>
      <c r="Q159" s="2667"/>
      <c r="R159" s="2667"/>
      <c r="S159" s="2667"/>
      <c r="T159" s="2667"/>
      <c r="U159" s="2667"/>
      <c r="V159" s="2667"/>
      <c r="W159" s="2667"/>
      <c r="X159" s="2667"/>
      <c r="Y159" s="2667"/>
    </row>
  </sheetData>
  <sheetProtection/>
  <printOptions horizontalCentered="1"/>
  <pageMargins left="0.25" right="0.25" top="0.75" bottom="0.75" header="0.3" footer="0.3"/>
  <pageSetup fitToHeight="1" fitToWidth="1" horizontalDpi="1200" verticalDpi="12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X157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6.5" customHeight="1"/>
  <cols>
    <col min="1" max="2" width="4.140625" style="9" customWidth="1"/>
    <col min="3" max="3" width="5.57421875" style="9" customWidth="1"/>
    <col min="4" max="5" width="13.57421875" style="9" customWidth="1"/>
    <col min="6" max="6" width="34.574218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+'TOT-1215'!B2</f>
        <v>ANEXO I al Memorándum D.T.E.E. N°  231  / 2017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19"/>
    </row>
    <row r="8" spans="2:23" s="18" customFormat="1" ht="20.25">
      <c r="B8" s="95"/>
      <c r="C8" s="23"/>
      <c r="D8" s="23"/>
      <c r="E8" s="23"/>
      <c r="F8" s="420" t="s">
        <v>20</v>
      </c>
      <c r="N8" s="283"/>
      <c r="O8" s="283"/>
      <c r="P8" s="285"/>
      <c r="Q8" s="23"/>
      <c r="R8" s="23"/>
      <c r="S8" s="23"/>
      <c r="T8" s="23"/>
      <c r="U8" s="23"/>
      <c r="V8" s="23"/>
      <c r="W8" s="421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248" customFormat="1" ht="33" customHeight="1">
      <c r="B10" s="249"/>
      <c r="C10" s="250"/>
      <c r="D10" s="250"/>
      <c r="E10" s="250"/>
      <c r="F10" s="488" t="s">
        <v>62</v>
      </c>
      <c r="G10" s="489"/>
      <c r="H10" s="418"/>
      <c r="I10" s="490"/>
      <c r="K10" s="490"/>
      <c r="L10" s="490"/>
      <c r="M10" s="490"/>
      <c r="N10" s="490"/>
      <c r="O10" s="490"/>
      <c r="P10" s="490"/>
      <c r="Q10" s="250"/>
      <c r="R10" s="250"/>
      <c r="S10" s="250"/>
      <c r="T10" s="250"/>
      <c r="U10" s="250"/>
      <c r="V10" s="250"/>
      <c r="W10" s="491"/>
    </row>
    <row r="11" spans="2:23" s="253" customFormat="1" ht="33" customHeight="1">
      <c r="B11" s="254"/>
      <c r="C11" s="255"/>
      <c r="D11" s="255"/>
      <c r="E11" s="255"/>
      <c r="F11" s="488" t="s">
        <v>477</v>
      </c>
      <c r="G11" s="492"/>
      <c r="H11" s="414"/>
      <c r="I11" s="493"/>
      <c r="J11" s="494"/>
      <c r="K11" s="493"/>
      <c r="L11" s="493"/>
      <c r="M11" s="493"/>
      <c r="N11" s="493"/>
      <c r="O11" s="493"/>
      <c r="P11" s="493"/>
      <c r="Q11" s="255"/>
      <c r="R11" s="255"/>
      <c r="S11" s="255"/>
      <c r="T11" s="255"/>
      <c r="U11" s="255"/>
      <c r="V11" s="255"/>
      <c r="W11" s="495"/>
    </row>
    <row r="12" spans="2:23" s="8" customFormat="1" ht="19.5">
      <c r="B12" s="35" t="str">
        <f>'TOT-1215'!B14</f>
        <v>Desde el 01 al 31 de diciembre de 2015</v>
      </c>
      <c r="C12" s="39"/>
      <c r="D12" s="39"/>
      <c r="E12" s="39"/>
      <c r="F12" s="39"/>
      <c r="G12" s="39"/>
      <c r="H12" s="39"/>
      <c r="I12" s="427"/>
      <c r="J12" s="427"/>
      <c r="K12" s="427"/>
      <c r="L12" s="427"/>
      <c r="M12" s="427"/>
      <c r="N12" s="427"/>
      <c r="O12" s="427"/>
      <c r="P12" s="427"/>
      <c r="Q12" s="39"/>
      <c r="R12" s="39"/>
      <c r="S12" s="39"/>
      <c r="T12" s="39"/>
      <c r="U12" s="39"/>
      <c r="V12" s="39"/>
      <c r="W12" s="428"/>
    </row>
    <row r="13" spans="2:23" s="8" customFormat="1" ht="14.25" thickBot="1">
      <c r="B13" s="429"/>
      <c r="C13" s="430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0"/>
      <c r="R13" s="430"/>
      <c r="S13" s="430"/>
      <c r="T13" s="430"/>
      <c r="U13" s="430"/>
      <c r="V13" s="430"/>
      <c r="W13" s="432"/>
    </row>
    <row r="14" spans="2:23" s="8" customFormat="1" ht="15" thickBot="1" thickTop="1">
      <c r="B14" s="55"/>
      <c r="C14" s="11"/>
      <c r="D14" s="11"/>
      <c r="E14" s="11"/>
      <c r="F14" s="433"/>
      <c r="G14" s="433"/>
      <c r="H14" s="434" t="s">
        <v>64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35" t="s">
        <v>65</v>
      </c>
      <c r="G15" s="436">
        <v>95.883</v>
      </c>
      <c r="H15" s="437">
        <v>200</v>
      </c>
      <c r="V15" s="109"/>
      <c r="W15" s="60"/>
    </row>
    <row r="16" spans="2:23" s="8" customFormat="1" ht="16.5" customHeight="1" thickBot="1" thickTop="1">
      <c r="B16" s="55"/>
      <c r="C16" s="11"/>
      <c r="D16" s="11"/>
      <c r="E16" s="11"/>
      <c r="F16" s="438" t="s">
        <v>66</v>
      </c>
      <c r="G16" s="439" t="s">
        <v>70</v>
      </c>
      <c r="H16" s="437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40" t="s">
        <v>67</v>
      </c>
      <c r="G17" s="496">
        <v>76.711</v>
      </c>
      <c r="H17" s="437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60"/>
    </row>
    <row r="19" spans="2:23" s="8" customFormat="1" ht="33.75" customHeight="1" thickBot="1" thickTop="1">
      <c r="B19" s="55"/>
      <c r="C19" s="317" t="s">
        <v>25</v>
      </c>
      <c r="D19" s="111" t="s">
        <v>26</v>
      </c>
      <c r="E19" s="111" t="s">
        <v>27</v>
      </c>
      <c r="F19" s="114" t="s">
        <v>54</v>
      </c>
      <c r="G19" s="441" t="s">
        <v>55</v>
      </c>
      <c r="H19" s="442" t="s">
        <v>28</v>
      </c>
      <c r="I19" s="322" t="s">
        <v>32</v>
      </c>
      <c r="J19" s="112" t="s">
        <v>33</v>
      </c>
      <c r="K19" s="441" t="s">
        <v>34</v>
      </c>
      <c r="L19" s="443" t="s">
        <v>35</v>
      </c>
      <c r="M19" s="443" t="s">
        <v>36</v>
      </c>
      <c r="N19" s="119" t="s">
        <v>321</v>
      </c>
      <c r="O19" s="118" t="s">
        <v>39</v>
      </c>
      <c r="P19" s="444" t="s">
        <v>31</v>
      </c>
      <c r="Q19" s="445" t="s">
        <v>68</v>
      </c>
      <c r="R19" s="446" t="s">
        <v>69</v>
      </c>
      <c r="S19" s="447"/>
      <c r="T19" s="448" t="s">
        <v>44</v>
      </c>
      <c r="U19" s="130" t="s">
        <v>46</v>
      </c>
      <c r="V19" s="321" t="s">
        <v>47</v>
      </c>
      <c r="W19" s="60"/>
    </row>
    <row r="20" spans="2:23" s="8" customFormat="1" ht="16.5" customHeight="1" thickTop="1">
      <c r="B20" s="55"/>
      <c r="C20" s="331"/>
      <c r="D20" s="331"/>
      <c r="E20" s="331"/>
      <c r="F20" s="449"/>
      <c r="G20" s="449"/>
      <c r="H20" s="449"/>
      <c r="I20" s="272"/>
      <c r="J20" s="449"/>
      <c r="K20" s="449"/>
      <c r="L20" s="449"/>
      <c r="M20" s="449"/>
      <c r="N20" s="449"/>
      <c r="O20" s="449"/>
      <c r="P20" s="450"/>
      <c r="Q20" s="451"/>
      <c r="R20" s="452"/>
      <c r="S20" s="453"/>
      <c r="T20" s="454"/>
      <c r="U20" s="449"/>
      <c r="V20" s="455"/>
      <c r="W20" s="60"/>
    </row>
    <row r="21" spans="2:23" s="8" customFormat="1" ht="16.5" customHeight="1">
      <c r="B21" s="55"/>
      <c r="C21" s="150"/>
      <c r="D21" s="150"/>
      <c r="E21" s="150"/>
      <c r="F21" s="456"/>
      <c r="G21" s="456"/>
      <c r="H21" s="456"/>
      <c r="I21" s="457"/>
      <c r="J21" s="456"/>
      <c r="K21" s="456"/>
      <c r="L21" s="456"/>
      <c r="M21" s="456"/>
      <c r="N21" s="456"/>
      <c r="O21" s="456"/>
      <c r="P21" s="458"/>
      <c r="Q21" s="459"/>
      <c r="R21" s="460"/>
      <c r="S21" s="461"/>
      <c r="T21" s="462"/>
      <c r="U21" s="456"/>
      <c r="V21" s="463"/>
      <c r="W21" s="60"/>
    </row>
    <row r="22" spans="2:23" s="8" customFormat="1" ht="16.5" customHeight="1">
      <c r="B22" s="55"/>
      <c r="C22" s="150">
        <v>61</v>
      </c>
      <c r="D22" s="150">
        <v>295997</v>
      </c>
      <c r="E22" s="169">
        <v>3481</v>
      </c>
      <c r="F22" s="464" t="s">
        <v>347</v>
      </c>
      <c r="G22" s="464" t="s">
        <v>419</v>
      </c>
      <c r="H22" s="465">
        <v>132</v>
      </c>
      <c r="I22" s="466">
        <f aca="true" t="shared" si="0" ref="I22:I41">IF(H22=500,$G$15,IF(H22=220,$G$16,$G$17))</f>
        <v>76.711</v>
      </c>
      <c r="J22" s="467">
        <v>42353.365277777775</v>
      </c>
      <c r="K22" s="468">
        <v>42353.61944444444</v>
      </c>
      <c r="L22" s="469">
        <f aca="true" t="shared" si="1" ref="L22:L41">IF(F22="","",(K22-J22)*24)</f>
        <v>6.099999999976717</v>
      </c>
      <c r="M22" s="470">
        <f aca="true" t="shared" si="2" ref="M22:M41">IF(F22="","",ROUND((K22-J22)*24*60,0))</f>
        <v>366</v>
      </c>
      <c r="N22" s="178" t="s">
        <v>332</v>
      </c>
      <c r="O22" s="180" t="str">
        <f aca="true" t="shared" si="3" ref="O22:O41">IF(F22="","",IF(N22="P","--","NO"))</f>
        <v>--</v>
      </c>
      <c r="P22" s="471">
        <f aca="true" t="shared" si="4" ref="P22:P41">IF(H22=500,$H$15,IF(H22=220,$H$16,$H$17))</f>
        <v>40</v>
      </c>
      <c r="Q22" s="472">
        <f aca="true" t="shared" si="5" ref="Q22:Q41">IF(N22="P",I22*P22*ROUND(M22/60,2)*0.1,"--")</f>
        <v>1871.7484000000002</v>
      </c>
      <c r="R22" s="460" t="str">
        <f aca="true" t="shared" si="6" ref="R22:R41">IF(AND(N22="F",O22="NO"),I22*P22,"--")</f>
        <v>--</v>
      </c>
      <c r="S22" s="461" t="str">
        <f aca="true" t="shared" si="7" ref="S22:S41">IF(N22="F",I22*P22*ROUND(M22/60,2),"--")</f>
        <v>--</v>
      </c>
      <c r="T22" s="462" t="str">
        <f aca="true" t="shared" si="8" ref="T22:T41">IF(N22="RF",I22*P22*ROUND(M22/60,2),"--")</f>
        <v>--</v>
      </c>
      <c r="U22" s="180" t="s">
        <v>77</v>
      </c>
      <c r="V22" s="473">
        <f aca="true" t="shared" si="9" ref="V22:V41">IF(F22="","",SUM(Q22:T22)*IF(U22="SI",1,2))</f>
        <v>1871.7484000000002</v>
      </c>
      <c r="W22" s="60"/>
    </row>
    <row r="23" spans="2:23" s="8" customFormat="1" ht="16.5" customHeight="1">
      <c r="B23" s="55"/>
      <c r="C23" s="150">
        <v>62</v>
      </c>
      <c r="D23" s="150">
        <v>295998</v>
      </c>
      <c r="E23" s="150">
        <v>2596</v>
      </c>
      <c r="F23" s="464" t="s">
        <v>344</v>
      </c>
      <c r="G23" s="464" t="s">
        <v>420</v>
      </c>
      <c r="H23" s="465">
        <v>132</v>
      </c>
      <c r="I23" s="466">
        <f t="shared" si="0"/>
        <v>76.711</v>
      </c>
      <c r="J23" s="467">
        <v>42353.385416666664</v>
      </c>
      <c r="K23" s="468">
        <v>42353.73888888889</v>
      </c>
      <c r="L23" s="469">
        <f t="shared" si="1"/>
        <v>8.483333333395422</v>
      </c>
      <c r="M23" s="470">
        <f t="shared" si="2"/>
        <v>509</v>
      </c>
      <c r="N23" s="178" t="s">
        <v>332</v>
      </c>
      <c r="O23" s="180" t="str">
        <f t="shared" si="3"/>
        <v>--</v>
      </c>
      <c r="P23" s="471">
        <f t="shared" si="4"/>
        <v>40</v>
      </c>
      <c r="Q23" s="472">
        <f t="shared" si="5"/>
        <v>2602.0371200000004</v>
      </c>
      <c r="R23" s="460" t="str">
        <f t="shared" si="6"/>
        <v>--</v>
      </c>
      <c r="S23" s="461" t="str">
        <f t="shared" si="7"/>
        <v>--</v>
      </c>
      <c r="T23" s="462" t="str">
        <f t="shared" si="8"/>
        <v>--</v>
      </c>
      <c r="U23" s="180" t="s">
        <v>77</v>
      </c>
      <c r="V23" s="473">
        <f t="shared" si="9"/>
        <v>2602.0371200000004</v>
      </c>
      <c r="W23" s="60"/>
    </row>
    <row r="24" spans="2:23" s="8" customFormat="1" ht="16.5" customHeight="1">
      <c r="B24" s="55"/>
      <c r="C24" s="150">
        <v>63</v>
      </c>
      <c r="D24" s="150">
        <v>296012</v>
      </c>
      <c r="E24" s="169">
        <v>3834</v>
      </c>
      <c r="F24" s="464" t="s">
        <v>344</v>
      </c>
      <c r="G24" s="464" t="s">
        <v>421</v>
      </c>
      <c r="H24" s="465">
        <v>132</v>
      </c>
      <c r="I24" s="466">
        <f t="shared" si="0"/>
        <v>76.711</v>
      </c>
      <c r="J24" s="467">
        <v>42357.36597222222</v>
      </c>
      <c r="K24" s="468">
        <v>42357.65625</v>
      </c>
      <c r="L24" s="469">
        <f t="shared" si="1"/>
        <v>6.966666666674428</v>
      </c>
      <c r="M24" s="470">
        <f t="shared" si="2"/>
        <v>418</v>
      </c>
      <c r="N24" s="178" t="s">
        <v>332</v>
      </c>
      <c r="O24" s="180" t="str">
        <f t="shared" si="3"/>
        <v>--</v>
      </c>
      <c r="P24" s="471">
        <f t="shared" si="4"/>
        <v>40</v>
      </c>
      <c r="Q24" s="472">
        <f t="shared" si="5"/>
        <v>2138.70268</v>
      </c>
      <c r="R24" s="460" t="str">
        <f t="shared" si="6"/>
        <v>--</v>
      </c>
      <c r="S24" s="461" t="str">
        <f t="shared" si="7"/>
        <v>--</v>
      </c>
      <c r="T24" s="462" t="str">
        <f t="shared" si="8"/>
        <v>--</v>
      </c>
      <c r="U24" s="180" t="s">
        <v>77</v>
      </c>
      <c r="V24" s="473">
        <f t="shared" si="9"/>
        <v>2138.70268</v>
      </c>
      <c r="W24" s="60"/>
    </row>
    <row r="25" spans="2:23" s="8" customFormat="1" ht="16.5" customHeight="1">
      <c r="B25" s="55"/>
      <c r="C25" s="150">
        <v>64</v>
      </c>
      <c r="D25" s="150">
        <v>296265</v>
      </c>
      <c r="E25" s="150">
        <v>3480</v>
      </c>
      <c r="F25" s="464" t="s">
        <v>347</v>
      </c>
      <c r="G25" s="464" t="s">
        <v>422</v>
      </c>
      <c r="H25" s="465">
        <v>132</v>
      </c>
      <c r="I25" s="466">
        <f t="shared" si="0"/>
        <v>76.711</v>
      </c>
      <c r="J25" s="467">
        <v>42361.36111111111</v>
      </c>
      <c r="K25" s="468">
        <v>42361.4</v>
      </c>
      <c r="L25" s="469">
        <f t="shared" si="1"/>
        <v>0.933333333407063</v>
      </c>
      <c r="M25" s="470">
        <f t="shared" si="2"/>
        <v>56</v>
      </c>
      <c r="N25" s="178" t="s">
        <v>332</v>
      </c>
      <c r="O25" s="180" t="str">
        <f t="shared" si="3"/>
        <v>--</v>
      </c>
      <c r="P25" s="471">
        <f t="shared" si="4"/>
        <v>40</v>
      </c>
      <c r="Q25" s="472">
        <f t="shared" si="5"/>
        <v>285.36492000000004</v>
      </c>
      <c r="R25" s="460" t="str">
        <f t="shared" si="6"/>
        <v>--</v>
      </c>
      <c r="S25" s="461" t="str">
        <f t="shared" si="7"/>
        <v>--</v>
      </c>
      <c r="T25" s="462" t="str">
        <f t="shared" si="8"/>
        <v>--</v>
      </c>
      <c r="U25" s="180" t="s">
        <v>77</v>
      </c>
      <c r="V25" s="473">
        <f t="shared" si="9"/>
        <v>285.36492000000004</v>
      </c>
      <c r="W25" s="60"/>
    </row>
    <row r="26" spans="2:23" s="8" customFormat="1" ht="16.5" customHeight="1">
      <c r="B26" s="55"/>
      <c r="C26" s="150">
        <v>65</v>
      </c>
      <c r="D26" s="150">
        <v>296267</v>
      </c>
      <c r="E26" s="169">
        <v>2587</v>
      </c>
      <c r="F26" s="464" t="s">
        <v>347</v>
      </c>
      <c r="G26" s="464" t="s">
        <v>423</v>
      </c>
      <c r="H26" s="465">
        <v>132</v>
      </c>
      <c r="I26" s="466">
        <f t="shared" si="0"/>
        <v>76.711</v>
      </c>
      <c r="J26" s="467">
        <v>42361.407638888886</v>
      </c>
      <c r="K26" s="468">
        <v>42361.52361111111</v>
      </c>
      <c r="L26" s="469">
        <f t="shared" si="1"/>
        <v>2.7833333333255723</v>
      </c>
      <c r="M26" s="470">
        <f t="shared" si="2"/>
        <v>167</v>
      </c>
      <c r="N26" s="178" t="s">
        <v>332</v>
      </c>
      <c r="O26" s="180" t="str">
        <f t="shared" si="3"/>
        <v>--</v>
      </c>
      <c r="P26" s="471">
        <f t="shared" si="4"/>
        <v>40</v>
      </c>
      <c r="Q26" s="472">
        <f t="shared" si="5"/>
        <v>853.0263199999999</v>
      </c>
      <c r="R26" s="460" t="str">
        <f t="shared" si="6"/>
        <v>--</v>
      </c>
      <c r="S26" s="461" t="str">
        <f t="shared" si="7"/>
        <v>--</v>
      </c>
      <c r="T26" s="462" t="str">
        <f t="shared" si="8"/>
        <v>--</v>
      </c>
      <c r="U26" s="180" t="s">
        <v>77</v>
      </c>
      <c r="V26" s="473">
        <f t="shared" si="9"/>
        <v>853.0263199999999</v>
      </c>
      <c r="W26" s="60"/>
    </row>
    <row r="27" spans="2:23" s="8" customFormat="1" ht="16.5" customHeight="1">
      <c r="B27" s="55"/>
      <c r="C27" s="150">
        <v>66</v>
      </c>
      <c r="D27" s="150">
        <v>296583</v>
      </c>
      <c r="E27" s="150">
        <v>2587</v>
      </c>
      <c r="F27" s="464" t="s">
        <v>347</v>
      </c>
      <c r="G27" s="464" t="s">
        <v>423</v>
      </c>
      <c r="H27" s="465">
        <v>132</v>
      </c>
      <c r="I27" s="466">
        <f t="shared" si="0"/>
        <v>76.711</v>
      </c>
      <c r="J27" s="467">
        <v>42368.41180555556</v>
      </c>
      <c r="K27" s="468">
        <v>42368.600694444445</v>
      </c>
      <c r="L27" s="469">
        <f t="shared" si="1"/>
        <v>4.533333333267365</v>
      </c>
      <c r="M27" s="470">
        <f t="shared" si="2"/>
        <v>272</v>
      </c>
      <c r="N27" s="178" t="s">
        <v>332</v>
      </c>
      <c r="O27" s="180" t="str">
        <f t="shared" si="3"/>
        <v>--</v>
      </c>
      <c r="P27" s="471">
        <f t="shared" si="4"/>
        <v>40</v>
      </c>
      <c r="Q27" s="472">
        <f t="shared" si="5"/>
        <v>1390.0033200000003</v>
      </c>
      <c r="R27" s="460" t="str">
        <f t="shared" si="6"/>
        <v>--</v>
      </c>
      <c r="S27" s="461" t="str">
        <f t="shared" si="7"/>
        <v>--</v>
      </c>
      <c r="T27" s="462" t="str">
        <f t="shared" si="8"/>
        <v>--</v>
      </c>
      <c r="U27" s="180" t="s">
        <v>77</v>
      </c>
      <c r="V27" s="473">
        <f t="shared" si="9"/>
        <v>1390.0033200000003</v>
      </c>
      <c r="W27" s="60"/>
    </row>
    <row r="28" spans="2:23" s="8" customFormat="1" ht="16.5" customHeight="1">
      <c r="B28" s="55"/>
      <c r="C28" s="150"/>
      <c r="D28" s="150"/>
      <c r="E28" s="150"/>
      <c r="F28" s="464"/>
      <c r="G28" s="464"/>
      <c r="H28" s="465"/>
      <c r="I28" s="466"/>
      <c r="J28" s="467"/>
      <c r="K28" s="468"/>
      <c r="L28" s="469"/>
      <c r="M28" s="470"/>
      <c r="N28" s="178"/>
      <c r="O28" s="180"/>
      <c r="P28" s="471"/>
      <c r="Q28" s="472"/>
      <c r="R28" s="460"/>
      <c r="S28" s="461"/>
      <c r="T28" s="462"/>
      <c r="U28" s="180"/>
      <c r="V28" s="473"/>
      <c r="W28" s="60"/>
    </row>
    <row r="29" spans="2:23" s="8" customFormat="1" ht="16.5" customHeight="1">
      <c r="B29" s="55"/>
      <c r="C29" s="150"/>
      <c r="D29" s="150"/>
      <c r="E29" s="150"/>
      <c r="F29" s="464"/>
      <c r="G29" s="464"/>
      <c r="H29" s="465"/>
      <c r="I29" s="466"/>
      <c r="J29" s="467"/>
      <c r="K29" s="468"/>
      <c r="L29" s="469"/>
      <c r="M29" s="470"/>
      <c r="N29" s="178"/>
      <c r="O29" s="180"/>
      <c r="P29" s="471"/>
      <c r="Q29" s="472"/>
      <c r="R29" s="460"/>
      <c r="S29" s="461"/>
      <c r="T29" s="462"/>
      <c r="U29" s="180"/>
      <c r="V29" s="473"/>
      <c r="W29" s="60"/>
    </row>
    <row r="30" spans="2:23" s="8" customFormat="1" ht="16.5" customHeight="1">
      <c r="B30" s="55"/>
      <c r="C30" s="150"/>
      <c r="D30" s="150"/>
      <c r="E30" s="150"/>
      <c r="F30" s="464"/>
      <c r="G30" s="464"/>
      <c r="H30" s="465"/>
      <c r="I30" s="466"/>
      <c r="J30" s="467"/>
      <c r="K30" s="468"/>
      <c r="L30" s="469"/>
      <c r="M30" s="470"/>
      <c r="N30" s="178"/>
      <c r="O30" s="180"/>
      <c r="P30" s="471"/>
      <c r="Q30" s="472"/>
      <c r="R30" s="460"/>
      <c r="S30" s="461"/>
      <c r="T30" s="462"/>
      <c r="U30" s="180"/>
      <c r="V30" s="473"/>
      <c r="W30" s="60"/>
    </row>
    <row r="31" spans="2:23" s="8" customFormat="1" ht="16.5" customHeight="1">
      <c r="B31" s="55"/>
      <c r="C31" s="150"/>
      <c r="D31" s="150"/>
      <c r="E31" s="150"/>
      <c r="F31" s="464"/>
      <c r="G31" s="464"/>
      <c r="H31" s="465"/>
      <c r="I31" s="466">
        <f t="shared" si="0"/>
        <v>76.711</v>
      </c>
      <c r="J31" s="467"/>
      <c r="K31" s="468"/>
      <c r="L31" s="469">
        <f t="shared" si="1"/>
      </c>
      <c r="M31" s="470">
        <f t="shared" si="2"/>
      </c>
      <c r="N31" s="178"/>
      <c r="O31" s="180">
        <f t="shared" si="3"/>
      </c>
      <c r="P31" s="471">
        <f t="shared" si="4"/>
        <v>40</v>
      </c>
      <c r="Q31" s="472" t="str">
        <f t="shared" si="5"/>
        <v>--</v>
      </c>
      <c r="R31" s="460" t="str">
        <f t="shared" si="6"/>
        <v>--</v>
      </c>
      <c r="S31" s="461" t="str">
        <f t="shared" si="7"/>
        <v>--</v>
      </c>
      <c r="T31" s="462" t="str">
        <f t="shared" si="8"/>
        <v>--</v>
      </c>
      <c r="U31" s="180">
        <f aca="true" t="shared" si="10" ref="U31:U41">IF(F31="","","SI")</f>
      </c>
      <c r="V31" s="473">
        <f t="shared" si="9"/>
      </c>
      <c r="W31" s="60"/>
    </row>
    <row r="32" spans="2:23" s="8" customFormat="1" ht="16.5" customHeight="1">
      <c r="B32" s="55"/>
      <c r="C32" s="150"/>
      <c r="D32" s="150"/>
      <c r="E32" s="169"/>
      <c r="F32" s="464"/>
      <c r="G32" s="464"/>
      <c r="H32" s="465"/>
      <c r="I32" s="466">
        <f t="shared" si="0"/>
        <v>76.711</v>
      </c>
      <c r="J32" s="467"/>
      <c r="K32" s="468"/>
      <c r="L32" s="469">
        <f t="shared" si="1"/>
      </c>
      <c r="M32" s="470">
        <f t="shared" si="2"/>
      </c>
      <c r="N32" s="178"/>
      <c r="O32" s="180">
        <f t="shared" si="3"/>
      </c>
      <c r="P32" s="471">
        <f t="shared" si="4"/>
        <v>40</v>
      </c>
      <c r="Q32" s="472" t="str">
        <f t="shared" si="5"/>
        <v>--</v>
      </c>
      <c r="R32" s="460" t="str">
        <f t="shared" si="6"/>
        <v>--</v>
      </c>
      <c r="S32" s="461" t="str">
        <f t="shared" si="7"/>
        <v>--</v>
      </c>
      <c r="T32" s="462" t="str">
        <f t="shared" si="8"/>
        <v>--</v>
      </c>
      <c r="U32" s="180">
        <f t="shared" si="10"/>
      </c>
      <c r="V32" s="473">
        <f t="shared" si="9"/>
      </c>
      <c r="W32" s="60"/>
    </row>
    <row r="33" spans="2:23" s="8" customFormat="1" ht="16.5" customHeight="1">
      <c r="B33" s="55"/>
      <c r="C33" s="150"/>
      <c r="D33" s="150"/>
      <c r="E33" s="150"/>
      <c r="F33" s="464"/>
      <c r="G33" s="464"/>
      <c r="H33" s="465"/>
      <c r="I33" s="466">
        <f t="shared" si="0"/>
        <v>76.711</v>
      </c>
      <c r="J33" s="467"/>
      <c r="K33" s="468"/>
      <c r="L33" s="469">
        <f t="shared" si="1"/>
      </c>
      <c r="M33" s="470">
        <f t="shared" si="2"/>
      </c>
      <c r="N33" s="178"/>
      <c r="O33" s="180">
        <f t="shared" si="3"/>
      </c>
      <c r="P33" s="471">
        <f t="shared" si="4"/>
        <v>40</v>
      </c>
      <c r="Q33" s="472" t="str">
        <f t="shared" si="5"/>
        <v>--</v>
      </c>
      <c r="R33" s="460" t="str">
        <f t="shared" si="6"/>
        <v>--</v>
      </c>
      <c r="S33" s="461" t="str">
        <f t="shared" si="7"/>
        <v>--</v>
      </c>
      <c r="T33" s="462" t="str">
        <f t="shared" si="8"/>
        <v>--</v>
      </c>
      <c r="U33" s="180">
        <f t="shared" si="10"/>
      </c>
      <c r="V33" s="473">
        <f t="shared" si="9"/>
      </c>
      <c r="W33" s="60"/>
    </row>
    <row r="34" spans="2:23" s="8" customFormat="1" ht="16.5" customHeight="1">
      <c r="B34" s="55"/>
      <c r="C34" s="150"/>
      <c r="D34" s="150"/>
      <c r="E34" s="169"/>
      <c r="F34" s="464"/>
      <c r="G34" s="464"/>
      <c r="H34" s="465"/>
      <c r="I34" s="466">
        <f t="shared" si="0"/>
        <v>76.711</v>
      </c>
      <c r="J34" s="467"/>
      <c r="K34" s="468"/>
      <c r="L34" s="469">
        <f t="shared" si="1"/>
      </c>
      <c r="M34" s="470">
        <f t="shared" si="2"/>
      </c>
      <c r="N34" s="178"/>
      <c r="O34" s="180">
        <f t="shared" si="3"/>
      </c>
      <c r="P34" s="471">
        <f t="shared" si="4"/>
        <v>40</v>
      </c>
      <c r="Q34" s="472" t="str">
        <f t="shared" si="5"/>
        <v>--</v>
      </c>
      <c r="R34" s="460" t="str">
        <f t="shared" si="6"/>
        <v>--</v>
      </c>
      <c r="S34" s="461" t="str">
        <f t="shared" si="7"/>
        <v>--</v>
      </c>
      <c r="T34" s="462" t="str">
        <f t="shared" si="8"/>
        <v>--</v>
      </c>
      <c r="U34" s="180">
        <f t="shared" si="10"/>
      </c>
      <c r="V34" s="473">
        <f t="shared" si="9"/>
      </c>
      <c r="W34" s="60"/>
    </row>
    <row r="35" spans="2:23" s="8" customFormat="1" ht="16.5" customHeight="1">
      <c r="B35" s="55"/>
      <c r="C35" s="150"/>
      <c r="D35" s="150"/>
      <c r="E35" s="150"/>
      <c r="F35" s="464"/>
      <c r="G35" s="464"/>
      <c r="H35" s="465"/>
      <c r="I35" s="466">
        <f t="shared" si="0"/>
        <v>76.711</v>
      </c>
      <c r="J35" s="467"/>
      <c r="K35" s="468"/>
      <c r="L35" s="469">
        <f t="shared" si="1"/>
      </c>
      <c r="M35" s="470">
        <f t="shared" si="2"/>
      </c>
      <c r="N35" s="178"/>
      <c r="O35" s="180">
        <f t="shared" si="3"/>
      </c>
      <c r="P35" s="471">
        <f t="shared" si="4"/>
        <v>40</v>
      </c>
      <c r="Q35" s="472" t="str">
        <f t="shared" si="5"/>
        <v>--</v>
      </c>
      <c r="R35" s="460" t="str">
        <f t="shared" si="6"/>
        <v>--</v>
      </c>
      <c r="S35" s="461" t="str">
        <f t="shared" si="7"/>
        <v>--</v>
      </c>
      <c r="T35" s="462" t="str">
        <f t="shared" si="8"/>
        <v>--</v>
      </c>
      <c r="U35" s="180">
        <f t="shared" si="10"/>
      </c>
      <c r="V35" s="473">
        <f t="shared" si="9"/>
      </c>
      <c r="W35" s="60"/>
    </row>
    <row r="36" spans="2:23" s="8" customFormat="1" ht="16.5" customHeight="1">
      <c r="B36" s="55"/>
      <c r="C36" s="150"/>
      <c r="D36" s="150"/>
      <c r="E36" s="169"/>
      <c r="F36" s="464"/>
      <c r="G36" s="464"/>
      <c r="H36" s="465"/>
      <c r="I36" s="466">
        <f t="shared" si="0"/>
        <v>76.711</v>
      </c>
      <c r="J36" s="467"/>
      <c r="K36" s="468"/>
      <c r="L36" s="469">
        <f t="shared" si="1"/>
      </c>
      <c r="M36" s="470">
        <f t="shared" si="2"/>
      </c>
      <c r="N36" s="178"/>
      <c r="O36" s="180">
        <f t="shared" si="3"/>
      </c>
      <c r="P36" s="471">
        <f t="shared" si="4"/>
        <v>40</v>
      </c>
      <c r="Q36" s="472" t="str">
        <f t="shared" si="5"/>
        <v>--</v>
      </c>
      <c r="R36" s="460" t="str">
        <f t="shared" si="6"/>
        <v>--</v>
      </c>
      <c r="S36" s="461" t="str">
        <f t="shared" si="7"/>
        <v>--</v>
      </c>
      <c r="T36" s="462" t="str">
        <f t="shared" si="8"/>
        <v>--</v>
      </c>
      <c r="U36" s="180">
        <f t="shared" si="10"/>
      </c>
      <c r="V36" s="473">
        <f t="shared" si="9"/>
      </c>
      <c r="W36" s="60"/>
    </row>
    <row r="37" spans="2:23" s="8" customFormat="1" ht="16.5" customHeight="1">
      <c r="B37" s="55"/>
      <c r="C37" s="150"/>
      <c r="D37" s="150"/>
      <c r="E37" s="150"/>
      <c r="F37" s="464"/>
      <c r="G37" s="464"/>
      <c r="H37" s="465"/>
      <c r="I37" s="466">
        <f t="shared" si="0"/>
        <v>76.711</v>
      </c>
      <c r="J37" s="467"/>
      <c r="K37" s="468"/>
      <c r="L37" s="469">
        <f t="shared" si="1"/>
      </c>
      <c r="M37" s="470">
        <f t="shared" si="2"/>
      </c>
      <c r="N37" s="178"/>
      <c r="O37" s="180">
        <f t="shared" si="3"/>
      </c>
      <c r="P37" s="471">
        <f t="shared" si="4"/>
        <v>40</v>
      </c>
      <c r="Q37" s="472" t="str">
        <f t="shared" si="5"/>
        <v>--</v>
      </c>
      <c r="R37" s="460" t="str">
        <f t="shared" si="6"/>
        <v>--</v>
      </c>
      <c r="S37" s="461" t="str">
        <f t="shared" si="7"/>
        <v>--</v>
      </c>
      <c r="T37" s="462" t="str">
        <f t="shared" si="8"/>
        <v>--</v>
      </c>
      <c r="U37" s="180">
        <f t="shared" si="10"/>
      </c>
      <c r="V37" s="473">
        <f t="shared" si="9"/>
      </c>
      <c r="W37" s="60"/>
    </row>
    <row r="38" spans="2:23" s="8" customFormat="1" ht="16.5" customHeight="1">
      <c r="B38" s="55"/>
      <c r="C38" s="150"/>
      <c r="D38" s="150"/>
      <c r="E38" s="169"/>
      <c r="F38" s="464"/>
      <c r="G38" s="464"/>
      <c r="H38" s="465"/>
      <c r="I38" s="466">
        <f t="shared" si="0"/>
        <v>76.711</v>
      </c>
      <c r="J38" s="467"/>
      <c r="K38" s="468"/>
      <c r="L38" s="469">
        <f t="shared" si="1"/>
      </c>
      <c r="M38" s="470">
        <f t="shared" si="2"/>
      </c>
      <c r="N38" s="178"/>
      <c r="O38" s="180">
        <f t="shared" si="3"/>
      </c>
      <c r="P38" s="471">
        <f t="shared" si="4"/>
        <v>40</v>
      </c>
      <c r="Q38" s="472" t="str">
        <f t="shared" si="5"/>
        <v>--</v>
      </c>
      <c r="R38" s="460" t="str">
        <f t="shared" si="6"/>
        <v>--</v>
      </c>
      <c r="S38" s="461" t="str">
        <f t="shared" si="7"/>
        <v>--</v>
      </c>
      <c r="T38" s="462" t="str">
        <f t="shared" si="8"/>
        <v>--</v>
      </c>
      <c r="U38" s="180">
        <f t="shared" si="10"/>
      </c>
      <c r="V38" s="473">
        <f t="shared" si="9"/>
      </c>
      <c r="W38" s="60"/>
    </row>
    <row r="39" spans="2:23" s="8" customFormat="1" ht="16.5" customHeight="1">
      <c r="B39" s="55"/>
      <c r="C39" s="150"/>
      <c r="D39" s="150"/>
      <c r="E39" s="150"/>
      <c r="F39" s="464"/>
      <c r="G39" s="464"/>
      <c r="H39" s="465"/>
      <c r="I39" s="466">
        <f t="shared" si="0"/>
        <v>76.711</v>
      </c>
      <c r="J39" s="467"/>
      <c r="K39" s="468"/>
      <c r="L39" s="469">
        <f t="shared" si="1"/>
      </c>
      <c r="M39" s="470">
        <f t="shared" si="2"/>
      </c>
      <c r="N39" s="178"/>
      <c r="O39" s="180">
        <f t="shared" si="3"/>
      </c>
      <c r="P39" s="471">
        <f t="shared" si="4"/>
        <v>40</v>
      </c>
      <c r="Q39" s="472" t="str">
        <f t="shared" si="5"/>
        <v>--</v>
      </c>
      <c r="R39" s="460" t="str">
        <f t="shared" si="6"/>
        <v>--</v>
      </c>
      <c r="S39" s="461" t="str">
        <f t="shared" si="7"/>
        <v>--</v>
      </c>
      <c r="T39" s="462" t="str">
        <f t="shared" si="8"/>
        <v>--</v>
      </c>
      <c r="U39" s="180">
        <f t="shared" si="10"/>
      </c>
      <c r="V39" s="473">
        <f t="shared" si="9"/>
      </c>
      <c r="W39" s="60"/>
    </row>
    <row r="40" spans="2:23" s="8" customFormat="1" ht="16.5" customHeight="1">
      <c r="B40" s="55"/>
      <c r="C40" s="150"/>
      <c r="D40" s="150"/>
      <c r="E40" s="169"/>
      <c r="F40" s="464"/>
      <c r="G40" s="464"/>
      <c r="H40" s="465"/>
      <c r="I40" s="466">
        <f t="shared" si="0"/>
        <v>76.711</v>
      </c>
      <c r="J40" s="467"/>
      <c r="K40" s="468"/>
      <c r="L40" s="469">
        <f t="shared" si="1"/>
      </c>
      <c r="M40" s="470">
        <f t="shared" si="2"/>
      </c>
      <c r="N40" s="178"/>
      <c r="O40" s="180">
        <f t="shared" si="3"/>
      </c>
      <c r="P40" s="471">
        <f t="shared" si="4"/>
        <v>40</v>
      </c>
      <c r="Q40" s="472" t="str">
        <f t="shared" si="5"/>
        <v>--</v>
      </c>
      <c r="R40" s="460" t="str">
        <f t="shared" si="6"/>
        <v>--</v>
      </c>
      <c r="S40" s="461" t="str">
        <f t="shared" si="7"/>
        <v>--</v>
      </c>
      <c r="T40" s="462" t="str">
        <f t="shared" si="8"/>
        <v>--</v>
      </c>
      <c r="U40" s="180">
        <f t="shared" si="10"/>
      </c>
      <c r="V40" s="473">
        <f t="shared" si="9"/>
      </c>
      <c r="W40" s="60"/>
    </row>
    <row r="41" spans="2:23" s="8" customFormat="1" ht="16.5" customHeight="1">
      <c r="B41" s="55"/>
      <c r="C41" s="150"/>
      <c r="D41" s="150"/>
      <c r="E41" s="150"/>
      <c r="F41" s="464"/>
      <c r="G41" s="464"/>
      <c r="H41" s="465"/>
      <c r="I41" s="466">
        <f t="shared" si="0"/>
        <v>76.711</v>
      </c>
      <c r="J41" s="467"/>
      <c r="K41" s="468"/>
      <c r="L41" s="469">
        <f t="shared" si="1"/>
      </c>
      <c r="M41" s="470">
        <f t="shared" si="2"/>
      </c>
      <c r="N41" s="178"/>
      <c r="O41" s="180">
        <f t="shared" si="3"/>
      </c>
      <c r="P41" s="471">
        <f t="shared" si="4"/>
        <v>40</v>
      </c>
      <c r="Q41" s="472" t="str">
        <f t="shared" si="5"/>
        <v>--</v>
      </c>
      <c r="R41" s="460" t="str">
        <f t="shared" si="6"/>
        <v>--</v>
      </c>
      <c r="S41" s="461" t="str">
        <f t="shared" si="7"/>
        <v>--</v>
      </c>
      <c r="T41" s="462" t="str">
        <f t="shared" si="8"/>
        <v>--</v>
      </c>
      <c r="U41" s="180">
        <f t="shared" si="10"/>
      </c>
      <c r="V41" s="473">
        <f t="shared" si="9"/>
      </c>
      <c r="W41" s="60"/>
    </row>
    <row r="42" spans="2:23" s="8" customFormat="1" ht="16.5" customHeight="1" thickBot="1">
      <c r="B42" s="55"/>
      <c r="C42" s="208"/>
      <c r="D42" s="208"/>
      <c r="E42" s="208"/>
      <c r="F42" s="208"/>
      <c r="G42" s="208"/>
      <c r="H42" s="208"/>
      <c r="I42" s="382"/>
      <c r="J42" s="474"/>
      <c r="K42" s="474"/>
      <c r="L42" s="475"/>
      <c r="M42" s="475"/>
      <c r="N42" s="474"/>
      <c r="O42" s="215"/>
      <c r="P42" s="476"/>
      <c r="Q42" s="477"/>
      <c r="R42" s="478"/>
      <c r="S42" s="479"/>
      <c r="T42" s="480"/>
      <c r="U42" s="215"/>
      <c r="V42" s="481"/>
      <c r="W42" s="60"/>
    </row>
    <row r="43" spans="2:23" s="8" customFormat="1" ht="16.5" customHeight="1" thickBot="1" thickTop="1">
      <c r="B43" s="55"/>
      <c r="C43" s="229" t="s">
        <v>322</v>
      </c>
      <c r="D43" s="270" t="s">
        <v>365</v>
      </c>
      <c r="E43" s="229"/>
      <c r="F43" s="230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482">
        <f>SUM(Q20:Q42)</f>
        <v>9140.88276</v>
      </c>
      <c r="R43" s="483">
        <f>SUM(R20:R42)</f>
        <v>0</v>
      </c>
      <c r="S43" s="484">
        <f>SUM(S20:S42)</f>
        <v>0</v>
      </c>
      <c r="T43" s="485">
        <f>SUM(T20:T42)</f>
        <v>0</v>
      </c>
      <c r="U43" s="486"/>
      <c r="V43" s="487">
        <f>ROUND(SUM(V20:V42),2)</f>
        <v>9140.88</v>
      </c>
      <c r="W43" s="60"/>
    </row>
    <row r="44" spans="2:23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23:24" ht="16.5" customHeight="1" thickTop="1">
      <c r="W45" s="413"/>
      <c r="X45" s="413"/>
    </row>
    <row r="46" spans="23:24" ht="16.5" customHeight="1">
      <c r="W46" s="413"/>
      <c r="X46" s="413"/>
    </row>
    <row r="47" spans="23:24" ht="16.5" customHeight="1">
      <c r="W47" s="413"/>
      <c r="X47" s="413"/>
    </row>
    <row r="48" spans="23:24" ht="16.5" customHeight="1">
      <c r="W48" s="413"/>
      <c r="X48" s="413"/>
    </row>
    <row r="49" spans="23:24" ht="16.5" customHeight="1">
      <c r="W49" s="413"/>
      <c r="X49" s="413"/>
    </row>
    <row r="50" spans="6:24" ht="16.5" customHeight="1"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</row>
    <row r="51" spans="6:24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</row>
    <row r="52" spans="6:24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</row>
    <row r="53" spans="6:24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</row>
    <row r="54" spans="6:24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</row>
    <row r="55" spans="6:24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</row>
    <row r="56" spans="6:24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</row>
    <row r="57" spans="6:24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</row>
    <row r="58" spans="6:24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</row>
    <row r="59" spans="6:24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</row>
    <row r="60" spans="6:24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</row>
    <row r="61" spans="6:24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</row>
    <row r="62" spans="6:24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</row>
    <row r="63" spans="6:24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</row>
    <row r="64" spans="6:24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</row>
    <row r="65" spans="6:24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</row>
    <row r="66" spans="6:24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</row>
    <row r="67" spans="6:24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</row>
    <row r="68" spans="6:24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</row>
    <row r="69" spans="6:24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</row>
    <row r="70" spans="6:24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</row>
    <row r="71" spans="6:24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</row>
    <row r="72" spans="6:24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</row>
    <row r="73" spans="6:24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</row>
    <row r="74" spans="6:24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</row>
    <row r="75" spans="6:24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</row>
    <row r="76" spans="6:24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</row>
    <row r="77" spans="6:24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</row>
    <row r="78" spans="6:24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</row>
    <row r="79" spans="6:24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</row>
    <row r="80" spans="6:24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</row>
    <row r="81" spans="6:24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</row>
    <row r="82" spans="6:24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</row>
    <row r="83" spans="6:24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</row>
    <row r="84" spans="6:24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</row>
    <row r="85" spans="6:24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</row>
    <row r="86" spans="6:24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</row>
    <row r="87" spans="6:24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</row>
    <row r="88" spans="6:24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</row>
    <row r="89" spans="6:24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</row>
    <row r="90" spans="6:24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</row>
    <row r="91" spans="6:24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</row>
    <row r="92" spans="6:24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</row>
    <row r="93" spans="6:24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</row>
    <row r="94" spans="6:24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</row>
    <row r="95" spans="6:24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</row>
    <row r="96" spans="6:24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</row>
    <row r="97" spans="6:24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</row>
    <row r="98" spans="6:24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</row>
    <row r="99" spans="6:24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</row>
    <row r="100" spans="6:24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</row>
    <row r="101" spans="6:24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</row>
    <row r="102" spans="6:24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</row>
    <row r="103" spans="6:24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</row>
    <row r="104" spans="6:24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</row>
    <row r="105" spans="6:24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</row>
    <row r="106" spans="6:24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</row>
    <row r="107" spans="6:24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</row>
    <row r="108" spans="6:24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</row>
    <row r="109" spans="6:24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</row>
    <row r="110" spans="6:24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</row>
    <row r="111" spans="6:24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</row>
    <row r="112" spans="6:24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</row>
    <row r="113" spans="6:24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</row>
    <row r="114" spans="6:24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</row>
    <row r="115" spans="6:24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</row>
    <row r="116" spans="6:24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</row>
    <row r="117" spans="6:24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</row>
    <row r="118" spans="6:24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</row>
    <row r="119" spans="6:24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</row>
    <row r="120" spans="6:24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</row>
    <row r="121" spans="6:24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</row>
    <row r="122" spans="6:24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</row>
    <row r="123" spans="6:24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</row>
    <row r="124" spans="6:24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</row>
    <row r="125" spans="6:24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</row>
    <row r="126" spans="6:24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</row>
    <row r="127" spans="6:24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</row>
    <row r="128" spans="6:24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</row>
    <row r="129" spans="6:24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</row>
    <row r="130" spans="6:24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</row>
    <row r="131" spans="6:24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</row>
    <row r="132" spans="6:24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</row>
    <row r="133" spans="6:24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</row>
    <row r="134" spans="6:24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</row>
    <row r="135" spans="6:24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</row>
    <row r="136" spans="6:24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</row>
    <row r="137" spans="6:24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</row>
    <row r="138" spans="6:24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</row>
    <row r="139" spans="6:24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</row>
    <row r="140" spans="6:24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</row>
    <row r="141" spans="6:24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</row>
    <row r="142" spans="6:24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</row>
    <row r="143" spans="6:24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</row>
    <row r="144" spans="6:24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</row>
    <row r="145" spans="6:24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</row>
    <row r="146" spans="6:24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</row>
    <row r="147" spans="6:24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</row>
    <row r="148" spans="6:24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</row>
    <row r="149" spans="6:24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</row>
    <row r="150" spans="6:24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</row>
    <row r="151" spans="6:24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</row>
    <row r="152" spans="6:24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</row>
    <row r="153" spans="6:24" ht="16.5" customHeight="1"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</row>
    <row r="154" spans="6:24" ht="16.5" customHeight="1"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</row>
    <row r="155" spans="6:24" ht="16.5" customHeight="1"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</row>
    <row r="156" spans="6:24" ht="16.5" customHeight="1"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</row>
    <row r="157" spans="6:24" ht="16.5" customHeight="1"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</row>
    <row r="160" ht="12.75"/>
    <row r="161" ht="12.75"/>
    <row r="162" ht="12.75"/>
    <row r="163" ht="12.75"/>
    <row r="164" ht="12.75"/>
  </sheetData>
  <sheetProtection/>
  <printOptions horizontalCentered="1"/>
  <pageMargins left="0.25" right="0.25" top="0.75" bottom="0.75" header="0.3" footer="0.3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C157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7.7109375" style="9" hidden="1" customWidth="1"/>
    <col min="10" max="11" width="15.7109375" style="9" customWidth="1"/>
    <col min="12" max="15" width="9.7109375" style="9" customWidth="1"/>
    <col min="16" max="16" width="5.421875" style="9" bestFit="1" customWidth="1"/>
    <col min="17" max="17" width="3.8515625" style="9" hidden="1" customWidth="1"/>
    <col min="18" max="18" width="11.8515625" style="9" hidden="1" customWidth="1"/>
    <col min="19" max="20" width="4.7109375" style="9" hidden="1" customWidth="1"/>
    <col min="21" max="21" width="6.7109375" style="9" hidden="1" customWidth="1"/>
    <col min="22" max="22" width="7.8515625" style="9" hidden="1" customWidth="1"/>
    <col min="23" max="23" width="11.57421875" style="9" hidden="1" customWidth="1"/>
    <col min="24" max="24" width="11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497" t="str">
        <f>+'TOT-1215'!B2</f>
        <v>ANEXO I al Memorándum D.T.E.E. N°  231  / 2017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19"/>
    </row>
    <row r="8" spans="2:27" s="18" customFormat="1" ht="20.25">
      <c r="B8" s="95"/>
      <c r="C8" s="23"/>
      <c r="D8" s="23"/>
      <c r="F8" s="96" t="s">
        <v>71</v>
      </c>
      <c r="G8" s="498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499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72</v>
      </c>
      <c r="H10" s="500"/>
      <c r="I10" s="501"/>
      <c r="J10" s="501"/>
      <c r="K10" s="501"/>
      <c r="L10" s="501"/>
      <c r="M10" s="501"/>
      <c r="N10" s="501"/>
      <c r="O10" s="501"/>
      <c r="P10" s="501"/>
      <c r="Q10" s="501"/>
      <c r="R10" s="23"/>
      <c r="S10" s="23"/>
      <c r="T10" s="23"/>
      <c r="U10" s="23"/>
      <c r="V10" s="23"/>
      <c r="W10" s="23"/>
      <c r="X10" s="23"/>
      <c r="Y10" s="23"/>
      <c r="Z10" s="23"/>
      <c r="AA10" s="421"/>
    </row>
    <row r="11" spans="2:27" s="8" customFormat="1" ht="16.5" customHeight="1">
      <c r="B11" s="55"/>
      <c r="C11" s="11"/>
      <c r="D11" s="11"/>
      <c r="E11" s="11"/>
      <c r="F11" s="502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73</v>
      </c>
      <c r="H12" s="500"/>
      <c r="I12" s="501"/>
      <c r="J12" s="501"/>
      <c r="K12" s="501"/>
      <c r="L12" s="501"/>
      <c r="M12" s="501"/>
      <c r="N12" s="501"/>
      <c r="O12" s="501"/>
      <c r="P12" s="501"/>
      <c r="Q12" s="501"/>
      <c r="R12" s="23"/>
      <c r="S12" s="23"/>
      <c r="T12" s="23"/>
      <c r="U12" s="23"/>
      <c r="V12" s="23"/>
      <c r="W12" s="23"/>
      <c r="X12" s="23"/>
      <c r="Y12" s="23"/>
      <c r="Z12" s="23"/>
      <c r="AA12" s="421"/>
    </row>
    <row r="13" spans="2:27" s="8" customFormat="1" ht="16.5" customHeight="1">
      <c r="B13" s="55"/>
      <c r="C13" s="11"/>
      <c r="D13" s="11"/>
      <c r="E13" s="11"/>
      <c r="F13" s="502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'TOT-1215'!B14</f>
        <v>Desde el 01 al 31 de diciembre de 2015</v>
      </c>
      <c r="C14" s="39"/>
      <c r="D14" s="39"/>
      <c r="E14" s="503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3"/>
      <c r="S14" s="503"/>
      <c r="T14" s="503"/>
      <c r="U14" s="503"/>
      <c r="V14" s="503"/>
      <c r="W14" s="503"/>
      <c r="X14" s="503"/>
      <c r="Y14" s="503"/>
      <c r="Z14" s="503"/>
      <c r="AA14" s="505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06" t="s">
        <v>52</v>
      </c>
      <c r="G16" s="275"/>
      <c r="H16" s="311">
        <v>1.391</v>
      </c>
      <c r="I16" s="433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07" t="s">
        <v>53</v>
      </c>
      <c r="G17" s="508"/>
      <c r="H17" s="509">
        <v>20</v>
      </c>
      <c r="I17" s="433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17" t="s">
        <v>25</v>
      </c>
      <c r="D19" s="111" t="s">
        <v>26</v>
      </c>
      <c r="E19" s="111" t="s">
        <v>27</v>
      </c>
      <c r="F19" s="114" t="s">
        <v>54</v>
      </c>
      <c r="G19" s="112" t="s">
        <v>55</v>
      </c>
      <c r="H19" s="510" t="s">
        <v>74</v>
      </c>
      <c r="I19" s="322" t="s">
        <v>32</v>
      </c>
      <c r="J19" s="112" t="s">
        <v>33</v>
      </c>
      <c r="K19" s="112" t="s">
        <v>34</v>
      </c>
      <c r="L19" s="114" t="s">
        <v>35</v>
      </c>
      <c r="M19" s="114" t="s">
        <v>36</v>
      </c>
      <c r="N19" s="119" t="s">
        <v>321</v>
      </c>
      <c r="O19" s="119" t="s">
        <v>37</v>
      </c>
      <c r="P19" s="112" t="s">
        <v>39</v>
      </c>
      <c r="Q19" s="322" t="s">
        <v>31</v>
      </c>
      <c r="R19" s="511" t="s">
        <v>68</v>
      </c>
      <c r="S19" s="512" t="s">
        <v>75</v>
      </c>
      <c r="T19" s="513"/>
      <c r="U19" s="327" t="s">
        <v>76</v>
      </c>
      <c r="V19" s="328"/>
      <c r="W19" s="514" t="s">
        <v>44</v>
      </c>
      <c r="X19" s="326" t="s">
        <v>41</v>
      </c>
      <c r="Y19" s="130" t="s">
        <v>46</v>
      </c>
      <c r="Z19" s="515" t="s">
        <v>47</v>
      </c>
      <c r="AA19" s="60"/>
    </row>
    <row r="20" spans="2:27" s="8" customFormat="1" ht="16.5" customHeight="1" thickTop="1">
      <c r="B20" s="55"/>
      <c r="C20" s="331"/>
      <c r="D20" s="331"/>
      <c r="E20" s="331"/>
      <c r="F20" s="516"/>
      <c r="G20" s="516"/>
      <c r="H20" s="516"/>
      <c r="I20" s="415"/>
      <c r="J20" s="517"/>
      <c r="K20" s="517"/>
      <c r="L20" s="518"/>
      <c r="M20" s="518"/>
      <c r="N20" s="516"/>
      <c r="O20" s="151"/>
      <c r="P20" s="518"/>
      <c r="Q20" s="519"/>
      <c r="R20" s="520"/>
      <c r="S20" s="521"/>
      <c r="T20" s="522"/>
      <c r="U20" s="340"/>
      <c r="V20" s="341"/>
      <c r="W20" s="523"/>
      <c r="X20" s="523"/>
      <c r="Y20" s="524"/>
      <c r="Z20" s="525"/>
      <c r="AA20" s="60"/>
    </row>
    <row r="21" spans="2:27" s="8" customFormat="1" ht="16.5" customHeight="1">
      <c r="B21" s="55"/>
      <c r="C21" s="150"/>
      <c r="D21" s="150"/>
      <c r="E21" s="150"/>
      <c r="F21" s="526"/>
      <c r="G21" s="527"/>
      <c r="H21" s="528"/>
      <c r="I21" s="529"/>
      <c r="J21" s="530"/>
      <c r="K21" s="531"/>
      <c r="L21" s="532"/>
      <c r="M21" s="533"/>
      <c r="N21" s="534"/>
      <c r="O21" s="157"/>
      <c r="P21" s="416"/>
      <c r="Q21" s="535"/>
      <c r="R21" s="536"/>
      <c r="S21" s="537"/>
      <c r="T21" s="538"/>
      <c r="U21" s="353"/>
      <c r="V21" s="354"/>
      <c r="W21" s="539"/>
      <c r="X21" s="539"/>
      <c r="Y21" s="416"/>
      <c r="Z21" s="540"/>
      <c r="AA21" s="60"/>
    </row>
    <row r="22" spans="2:27" s="8" customFormat="1" ht="16.5" customHeight="1">
      <c r="B22" s="55"/>
      <c r="C22" s="150">
        <v>68</v>
      </c>
      <c r="D22" s="150">
        <v>283019</v>
      </c>
      <c r="E22" s="169">
        <v>651</v>
      </c>
      <c r="F22" s="541" t="s">
        <v>407</v>
      </c>
      <c r="G22" s="464" t="s">
        <v>408</v>
      </c>
      <c r="H22" s="542">
        <v>120</v>
      </c>
      <c r="I22" s="362">
        <f aca="true" t="shared" si="0" ref="I22:I41">H22*$H$16</f>
        <v>166.92000000000002</v>
      </c>
      <c r="J22" s="467">
        <v>42339</v>
      </c>
      <c r="K22" s="204">
        <v>42369.99998842592</v>
      </c>
      <c r="L22" s="469">
        <f aca="true" t="shared" si="1" ref="L22:L41">IF(F22="","",(K22-J22)*24)</f>
        <v>743.9997222221573</v>
      </c>
      <c r="M22" s="470">
        <f aca="true" t="shared" si="2" ref="M22:M41">IF(F22="","",ROUND((K22-J22)*24*60,0))</f>
        <v>44640</v>
      </c>
      <c r="N22" s="178" t="s">
        <v>332</v>
      </c>
      <c r="O22" s="273" t="str">
        <f aca="true" t="shared" si="3" ref="O22:O31">IF(F22="","","--")</f>
        <v>--</v>
      </c>
      <c r="P22" s="180" t="str">
        <f aca="true" t="shared" si="4" ref="P22:P41">IF(F22="","",IF(OR(N22="P",N22="RP"),"--","NO"))</f>
        <v>--</v>
      </c>
      <c r="Q22" s="543">
        <f aca="true" t="shared" si="5" ref="Q22:Q41">IF(OR(N22="P",N22="RP"),$H$17/10,$H$17)</f>
        <v>2</v>
      </c>
      <c r="R22" s="544">
        <f aca="true" t="shared" si="6" ref="R22:R41">IF(N22="P",I22*Q22*ROUND(M22/60,2),"--")</f>
        <v>248376.96000000002</v>
      </c>
      <c r="S22" s="537" t="str">
        <f aca="true" t="shared" si="7" ref="S22:S41">IF(AND(N22="F",P22="NO"),I22*Q22,"--")</f>
        <v>--</v>
      </c>
      <c r="T22" s="538" t="str">
        <f aca="true" t="shared" si="8" ref="T22:T41">IF(N22="F",I22*Q22*ROUND(M22/60,2),"--")</f>
        <v>--</v>
      </c>
      <c r="U22" s="373" t="str">
        <f aca="true" t="shared" si="9" ref="U22:U41">IF(AND(N22="R",P22="NO"),I22*Q22*O22/100,"--")</f>
        <v>--</v>
      </c>
      <c r="V22" s="374" t="str">
        <f aca="true" t="shared" si="10" ref="V22:V41">IF(N22="R",I22*Q22*O22/100*ROUND(M22/60,2),"--")</f>
        <v>--</v>
      </c>
      <c r="W22" s="539" t="str">
        <f aca="true" t="shared" si="11" ref="W22:W41">IF(N22="RF",I22*Q22*ROUND(M22/60,2),"--")</f>
        <v>--</v>
      </c>
      <c r="X22" s="417" t="str">
        <f aca="true" t="shared" si="12" ref="X22:X41">IF(N22="RP",I22*Q22*O22/100*ROUND(M22/60,2),"--")</f>
        <v>--</v>
      </c>
      <c r="Y22" s="180" t="s">
        <v>77</v>
      </c>
      <c r="Z22" s="473">
        <f aca="true" t="shared" si="13" ref="Z22:Z41">IF(F22="","",SUM(R22:X22)*IF(Y22="SI",1,2)*IF(AND(O22&lt;&gt;"--",N22="RF"),O22/100,1))</f>
        <v>248376.96000000002</v>
      </c>
      <c r="AA22" s="60"/>
    </row>
    <row r="23" spans="2:27" s="8" customFormat="1" ht="16.5" customHeight="1">
      <c r="B23" s="55"/>
      <c r="C23" s="150">
        <v>69</v>
      </c>
      <c r="D23" s="150">
        <v>285468</v>
      </c>
      <c r="E23" s="150">
        <v>645</v>
      </c>
      <c r="F23" s="541" t="s">
        <v>342</v>
      </c>
      <c r="G23" s="464" t="s">
        <v>409</v>
      </c>
      <c r="H23" s="542">
        <v>120</v>
      </c>
      <c r="I23" s="362">
        <f t="shared" si="0"/>
        <v>166.92000000000002</v>
      </c>
      <c r="J23" s="467">
        <v>42339</v>
      </c>
      <c r="K23" s="204">
        <v>42369.99998842592</v>
      </c>
      <c r="L23" s="469">
        <f t="shared" si="1"/>
        <v>743.9997222221573</v>
      </c>
      <c r="M23" s="470">
        <f t="shared" si="2"/>
        <v>44640</v>
      </c>
      <c r="N23" s="178" t="s">
        <v>332</v>
      </c>
      <c r="O23" s="273" t="str">
        <f t="shared" si="3"/>
        <v>--</v>
      </c>
      <c r="P23" s="180" t="str">
        <f t="shared" si="4"/>
        <v>--</v>
      </c>
      <c r="Q23" s="543">
        <f t="shared" si="5"/>
        <v>2</v>
      </c>
      <c r="R23" s="544">
        <f t="shared" si="6"/>
        <v>248376.96000000002</v>
      </c>
      <c r="S23" s="537" t="str">
        <f t="shared" si="7"/>
        <v>--</v>
      </c>
      <c r="T23" s="538" t="str">
        <f t="shared" si="8"/>
        <v>--</v>
      </c>
      <c r="U23" s="373" t="str">
        <f t="shared" si="9"/>
        <v>--</v>
      </c>
      <c r="V23" s="374" t="str">
        <f t="shared" si="10"/>
        <v>--</v>
      </c>
      <c r="W23" s="539" t="str">
        <f t="shared" si="11"/>
        <v>--</v>
      </c>
      <c r="X23" s="417" t="str">
        <f t="shared" si="12"/>
        <v>--</v>
      </c>
      <c r="Y23" s="180" t="s">
        <v>77</v>
      </c>
      <c r="Z23" s="473">
        <f t="shared" si="13"/>
        <v>248376.96000000002</v>
      </c>
      <c r="AA23" s="60"/>
    </row>
    <row r="24" spans="2:27" s="8" customFormat="1" ht="16.5" customHeight="1">
      <c r="B24" s="55"/>
      <c r="C24" s="150">
        <v>70</v>
      </c>
      <c r="D24" s="150">
        <v>290131</v>
      </c>
      <c r="E24" s="169">
        <v>587</v>
      </c>
      <c r="F24" s="541" t="s">
        <v>348</v>
      </c>
      <c r="G24" s="464" t="s">
        <v>349</v>
      </c>
      <c r="H24" s="542">
        <v>245</v>
      </c>
      <c r="I24" s="362">
        <f t="shared" si="0"/>
        <v>340.795</v>
      </c>
      <c r="J24" s="467">
        <v>42339</v>
      </c>
      <c r="K24" s="204">
        <v>42369.99998842592</v>
      </c>
      <c r="L24" s="469">
        <f t="shared" si="1"/>
        <v>743.9997222221573</v>
      </c>
      <c r="M24" s="470">
        <f t="shared" si="2"/>
        <v>44640</v>
      </c>
      <c r="N24" s="178" t="s">
        <v>332</v>
      </c>
      <c r="O24" s="273" t="str">
        <f t="shared" si="3"/>
        <v>--</v>
      </c>
      <c r="P24" s="180" t="str">
        <f t="shared" si="4"/>
        <v>--</v>
      </c>
      <c r="Q24" s="543">
        <f t="shared" si="5"/>
        <v>2</v>
      </c>
      <c r="R24" s="544">
        <f t="shared" si="6"/>
        <v>507102.96</v>
      </c>
      <c r="S24" s="537" t="str">
        <f t="shared" si="7"/>
        <v>--</v>
      </c>
      <c r="T24" s="538" t="str">
        <f t="shared" si="8"/>
        <v>--</v>
      </c>
      <c r="U24" s="373" t="str">
        <f t="shared" si="9"/>
        <v>--</v>
      </c>
      <c r="V24" s="374" t="str">
        <f t="shared" si="10"/>
        <v>--</v>
      </c>
      <c r="W24" s="539" t="str">
        <f t="shared" si="11"/>
        <v>--</v>
      </c>
      <c r="X24" s="417" t="str">
        <f t="shared" si="12"/>
        <v>--</v>
      </c>
      <c r="Y24" s="180" t="s">
        <v>77</v>
      </c>
      <c r="Z24" s="473">
        <f t="shared" si="13"/>
        <v>507102.96</v>
      </c>
      <c r="AA24" s="60"/>
    </row>
    <row r="25" spans="2:27" s="8" customFormat="1" ht="16.5" customHeight="1">
      <c r="B25" s="55"/>
      <c r="C25" s="150">
        <v>71</v>
      </c>
      <c r="D25" s="150">
        <v>295424</v>
      </c>
      <c r="E25" s="150">
        <v>678</v>
      </c>
      <c r="F25" s="541" t="s">
        <v>344</v>
      </c>
      <c r="G25" s="464" t="s">
        <v>424</v>
      </c>
      <c r="H25" s="542">
        <v>0</v>
      </c>
      <c r="I25" s="362">
        <f t="shared" si="0"/>
        <v>0</v>
      </c>
      <c r="J25" s="467">
        <v>42339.381944444445</v>
      </c>
      <c r="K25" s="204">
        <v>42339.39236111111</v>
      </c>
      <c r="L25" s="469">
        <f t="shared" si="1"/>
        <v>0.24999999994179234</v>
      </c>
      <c r="M25" s="470">
        <f t="shared" si="2"/>
        <v>15</v>
      </c>
      <c r="N25" s="178" t="s">
        <v>332</v>
      </c>
      <c r="O25" s="273" t="str">
        <f t="shared" si="3"/>
        <v>--</v>
      </c>
      <c r="P25" s="180" t="str">
        <f t="shared" si="4"/>
        <v>--</v>
      </c>
      <c r="Q25" s="543">
        <f t="shared" si="5"/>
        <v>2</v>
      </c>
      <c r="R25" s="544">
        <f t="shared" si="6"/>
        <v>0</v>
      </c>
      <c r="S25" s="537" t="str">
        <f t="shared" si="7"/>
        <v>--</v>
      </c>
      <c r="T25" s="538" t="str">
        <f t="shared" si="8"/>
        <v>--</v>
      </c>
      <c r="U25" s="373" t="str">
        <f t="shared" si="9"/>
        <v>--</v>
      </c>
      <c r="V25" s="374" t="str">
        <f t="shared" si="10"/>
        <v>--</v>
      </c>
      <c r="W25" s="539" t="str">
        <f t="shared" si="11"/>
        <v>--</v>
      </c>
      <c r="X25" s="417" t="str">
        <f t="shared" si="12"/>
        <v>--</v>
      </c>
      <c r="Y25" s="180" t="s">
        <v>77</v>
      </c>
      <c r="Z25" s="473">
        <f t="shared" si="13"/>
        <v>0</v>
      </c>
      <c r="AA25" s="545"/>
    </row>
    <row r="26" spans="2:27" s="8" customFormat="1" ht="16.5" customHeight="1">
      <c r="B26" s="55"/>
      <c r="C26" s="150">
        <v>72</v>
      </c>
      <c r="D26" s="150">
        <v>295423</v>
      </c>
      <c r="E26" s="169">
        <v>677</v>
      </c>
      <c r="F26" s="541" t="s">
        <v>344</v>
      </c>
      <c r="G26" s="464" t="s">
        <v>425</v>
      </c>
      <c r="H26" s="542">
        <v>0</v>
      </c>
      <c r="I26" s="362">
        <f t="shared" si="0"/>
        <v>0</v>
      </c>
      <c r="J26" s="467">
        <v>42339.396527777775</v>
      </c>
      <c r="K26" s="204">
        <v>42339.65138888889</v>
      </c>
      <c r="L26" s="469">
        <f t="shared" si="1"/>
        <v>6.116666666697711</v>
      </c>
      <c r="M26" s="470">
        <f t="shared" si="2"/>
        <v>367</v>
      </c>
      <c r="N26" s="178" t="s">
        <v>332</v>
      </c>
      <c r="O26" s="273" t="str">
        <f t="shared" si="3"/>
        <v>--</v>
      </c>
      <c r="P26" s="180" t="str">
        <f t="shared" si="4"/>
        <v>--</v>
      </c>
      <c r="Q26" s="543">
        <f t="shared" si="5"/>
        <v>2</v>
      </c>
      <c r="R26" s="544">
        <f t="shared" si="6"/>
        <v>0</v>
      </c>
      <c r="S26" s="537" t="str">
        <f t="shared" si="7"/>
        <v>--</v>
      </c>
      <c r="T26" s="538" t="str">
        <f t="shared" si="8"/>
        <v>--</v>
      </c>
      <c r="U26" s="373" t="str">
        <f t="shared" si="9"/>
        <v>--</v>
      </c>
      <c r="V26" s="374" t="str">
        <f t="shared" si="10"/>
        <v>--</v>
      </c>
      <c r="W26" s="539" t="str">
        <f t="shared" si="11"/>
        <v>--</v>
      </c>
      <c r="X26" s="417" t="str">
        <f t="shared" si="12"/>
        <v>--</v>
      </c>
      <c r="Y26" s="180" t="s">
        <v>77</v>
      </c>
      <c r="Z26" s="473">
        <f t="shared" si="13"/>
        <v>0</v>
      </c>
      <c r="AA26" s="545"/>
    </row>
    <row r="27" spans="2:27" s="8" customFormat="1" ht="16.5" customHeight="1">
      <c r="B27" s="55"/>
      <c r="C27" s="150">
        <v>73</v>
      </c>
      <c r="D27" s="150">
        <v>295432</v>
      </c>
      <c r="E27" s="150">
        <v>3999</v>
      </c>
      <c r="F27" s="541" t="s">
        <v>426</v>
      </c>
      <c r="G27" s="464" t="s">
        <v>427</v>
      </c>
      <c r="H27" s="542">
        <v>150</v>
      </c>
      <c r="I27" s="362">
        <f t="shared" si="0"/>
        <v>208.65</v>
      </c>
      <c r="J27" s="467">
        <v>42341.3375</v>
      </c>
      <c r="K27" s="204">
        <v>42341.419444444444</v>
      </c>
      <c r="L27" s="469">
        <f t="shared" si="1"/>
        <v>1.96666666661622</v>
      </c>
      <c r="M27" s="470">
        <f t="shared" si="2"/>
        <v>118</v>
      </c>
      <c r="N27" s="178" t="s">
        <v>332</v>
      </c>
      <c r="O27" s="273" t="str">
        <f t="shared" si="3"/>
        <v>--</v>
      </c>
      <c r="P27" s="180" t="str">
        <f t="shared" si="4"/>
        <v>--</v>
      </c>
      <c r="Q27" s="543">
        <f t="shared" si="5"/>
        <v>2</v>
      </c>
      <c r="R27" s="544">
        <f t="shared" si="6"/>
        <v>822.081</v>
      </c>
      <c r="S27" s="537" t="str">
        <f t="shared" si="7"/>
        <v>--</v>
      </c>
      <c r="T27" s="538" t="str">
        <f t="shared" si="8"/>
        <v>--</v>
      </c>
      <c r="U27" s="373" t="str">
        <f t="shared" si="9"/>
        <v>--</v>
      </c>
      <c r="V27" s="374" t="str">
        <f t="shared" si="10"/>
        <v>--</v>
      </c>
      <c r="W27" s="539" t="str">
        <f t="shared" si="11"/>
        <v>--</v>
      </c>
      <c r="X27" s="417" t="str">
        <f t="shared" si="12"/>
        <v>--</v>
      </c>
      <c r="Y27" s="180" t="s">
        <v>77</v>
      </c>
      <c r="Z27" s="473">
        <f t="shared" si="13"/>
        <v>822.081</v>
      </c>
      <c r="AA27" s="545"/>
    </row>
    <row r="28" spans="2:27" s="8" customFormat="1" ht="16.5" customHeight="1">
      <c r="B28" s="55"/>
      <c r="C28" s="150">
        <v>74</v>
      </c>
      <c r="D28" s="150">
        <v>295611</v>
      </c>
      <c r="E28" s="169">
        <v>591</v>
      </c>
      <c r="F28" s="541" t="s">
        <v>348</v>
      </c>
      <c r="G28" s="464" t="s">
        <v>352</v>
      </c>
      <c r="H28" s="542">
        <v>245</v>
      </c>
      <c r="I28" s="362">
        <f t="shared" si="0"/>
        <v>340.795</v>
      </c>
      <c r="J28" s="467">
        <v>42345.99791666667</v>
      </c>
      <c r="K28" s="204">
        <v>42346.73333333333</v>
      </c>
      <c r="L28" s="469">
        <f t="shared" si="1"/>
        <v>17.649999999906868</v>
      </c>
      <c r="M28" s="470">
        <f t="shared" si="2"/>
        <v>1059</v>
      </c>
      <c r="N28" s="178" t="s">
        <v>332</v>
      </c>
      <c r="O28" s="273" t="str">
        <f t="shared" si="3"/>
        <v>--</v>
      </c>
      <c r="P28" s="180" t="str">
        <f t="shared" si="4"/>
        <v>--</v>
      </c>
      <c r="Q28" s="543">
        <f t="shared" si="5"/>
        <v>2</v>
      </c>
      <c r="R28" s="544">
        <f t="shared" si="6"/>
        <v>12030.0635</v>
      </c>
      <c r="S28" s="537" t="str">
        <f t="shared" si="7"/>
        <v>--</v>
      </c>
      <c r="T28" s="538" t="str">
        <f t="shared" si="8"/>
        <v>--</v>
      </c>
      <c r="U28" s="373" t="str">
        <f t="shared" si="9"/>
        <v>--</v>
      </c>
      <c r="V28" s="374" t="str">
        <f t="shared" si="10"/>
        <v>--</v>
      </c>
      <c r="W28" s="539" t="str">
        <f t="shared" si="11"/>
        <v>--</v>
      </c>
      <c r="X28" s="417" t="str">
        <f t="shared" si="12"/>
        <v>--</v>
      </c>
      <c r="Y28" s="180" t="s">
        <v>77</v>
      </c>
      <c r="Z28" s="473">
        <v>0</v>
      </c>
      <c r="AA28" s="545"/>
    </row>
    <row r="29" spans="2:27" s="8" customFormat="1" ht="16.5" customHeight="1">
      <c r="B29" s="55"/>
      <c r="C29" s="150">
        <v>75</v>
      </c>
      <c r="D29" s="150">
        <v>295612</v>
      </c>
      <c r="E29" s="150">
        <v>592</v>
      </c>
      <c r="F29" s="541" t="s">
        <v>348</v>
      </c>
      <c r="G29" s="464" t="s">
        <v>351</v>
      </c>
      <c r="H29" s="542">
        <v>245</v>
      </c>
      <c r="I29" s="362">
        <f t="shared" si="0"/>
        <v>340.795</v>
      </c>
      <c r="J29" s="467">
        <v>42345.99791666667</v>
      </c>
      <c r="K29" s="204">
        <v>42346.73541666667</v>
      </c>
      <c r="L29" s="469">
        <f t="shared" si="1"/>
        <v>17.70000000006985</v>
      </c>
      <c r="M29" s="470">
        <f t="shared" si="2"/>
        <v>1062</v>
      </c>
      <c r="N29" s="178" t="s">
        <v>332</v>
      </c>
      <c r="O29" s="273" t="str">
        <f t="shared" si="3"/>
        <v>--</v>
      </c>
      <c r="P29" s="180" t="str">
        <f t="shared" si="4"/>
        <v>--</v>
      </c>
      <c r="Q29" s="543">
        <f t="shared" si="5"/>
        <v>2</v>
      </c>
      <c r="R29" s="544">
        <f t="shared" si="6"/>
        <v>12064.143</v>
      </c>
      <c r="S29" s="537" t="str">
        <f t="shared" si="7"/>
        <v>--</v>
      </c>
      <c r="T29" s="538" t="str">
        <f t="shared" si="8"/>
        <v>--</v>
      </c>
      <c r="U29" s="373" t="str">
        <f t="shared" si="9"/>
        <v>--</v>
      </c>
      <c r="V29" s="374" t="str">
        <f t="shared" si="10"/>
        <v>--</v>
      </c>
      <c r="W29" s="539" t="str">
        <f t="shared" si="11"/>
        <v>--</v>
      </c>
      <c r="X29" s="417" t="str">
        <f t="shared" si="12"/>
        <v>--</v>
      </c>
      <c r="Y29" s="180" t="s">
        <v>77</v>
      </c>
      <c r="Z29" s="473">
        <v>0</v>
      </c>
      <c r="AA29" s="545"/>
    </row>
    <row r="30" spans="2:27" s="8" customFormat="1" ht="16.5" customHeight="1">
      <c r="B30" s="55"/>
      <c r="C30" s="150">
        <v>76</v>
      </c>
      <c r="D30" s="150">
        <v>296276</v>
      </c>
      <c r="E30" s="150">
        <v>591</v>
      </c>
      <c r="F30" s="541" t="s">
        <v>348</v>
      </c>
      <c r="G30" s="464" t="s">
        <v>352</v>
      </c>
      <c r="H30" s="542">
        <v>245</v>
      </c>
      <c r="I30" s="362">
        <f t="shared" si="0"/>
        <v>340.795</v>
      </c>
      <c r="J30" s="467">
        <v>42362.24791666667</v>
      </c>
      <c r="K30" s="204">
        <v>42362.32013888889</v>
      </c>
      <c r="L30" s="469">
        <f t="shared" si="1"/>
        <v>1.7333333333954215</v>
      </c>
      <c r="M30" s="470">
        <f t="shared" si="2"/>
        <v>104</v>
      </c>
      <c r="N30" s="178" t="s">
        <v>332</v>
      </c>
      <c r="O30" s="273" t="str">
        <f t="shared" si="3"/>
        <v>--</v>
      </c>
      <c r="P30" s="180" t="str">
        <f t="shared" si="4"/>
        <v>--</v>
      </c>
      <c r="Q30" s="543">
        <f t="shared" si="5"/>
        <v>2</v>
      </c>
      <c r="R30" s="544">
        <f t="shared" si="6"/>
        <v>1179.1507000000001</v>
      </c>
      <c r="S30" s="537" t="str">
        <f t="shared" si="7"/>
        <v>--</v>
      </c>
      <c r="T30" s="538" t="str">
        <f t="shared" si="8"/>
        <v>--</v>
      </c>
      <c r="U30" s="373" t="str">
        <f t="shared" si="9"/>
        <v>--</v>
      </c>
      <c r="V30" s="374" t="str">
        <f t="shared" si="10"/>
        <v>--</v>
      </c>
      <c r="W30" s="539" t="str">
        <f t="shared" si="11"/>
        <v>--</v>
      </c>
      <c r="X30" s="417" t="str">
        <f t="shared" si="12"/>
        <v>--</v>
      </c>
      <c r="Y30" s="180" t="s">
        <v>77</v>
      </c>
      <c r="Z30" s="473">
        <f t="shared" si="13"/>
        <v>1179.1507000000001</v>
      </c>
      <c r="AA30" s="545"/>
    </row>
    <row r="31" spans="2:27" s="8" customFormat="1" ht="16.5" customHeight="1">
      <c r="B31" s="55"/>
      <c r="C31" s="150">
        <v>77</v>
      </c>
      <c r="D31" s="150">
        <v>296581</v>
      </c>
      <c r="E31" s="150">
        <v>590</v>
      </c>
      <c r="F31" s="541" t="s">
        <v>348</v>
      </c>
      <c r="G31" s="464" t="s">
        <v>350</v>
      </c>
      <c r="H31" s="542">
        <v>245</v>
      </c>
      <c r="I31" s="362">
        <f t="shared" si="0"/>
        <v>340.795</v>
      </c>
      <c r="J31" s="467">
        <v>42366.561111111114</v>
      </c>
      <c r="K31" s="204">
        <v>42366.57638888889</v>
      </c>
      <c r="L31" s="469">
        <f t="shared" si="1"/>
        <v>0.3666666666395031</v>
      </c>
      <c r="M31" s="470">
        <f t="shared" si="2"/>
        <v>22</v>
      </c>
      <c r="N31" s="178" t="s">
        <v>335</v>
      </c>
      <c r="O31" s="273" t="str">
        <f t="shared" si="3"/>
        <v>--</v>
      </c>
      <c r="P31" s="180" t="str">
        <f t="shared" si="4"/>
        <v>NO</v>
      </c>
      <c r="Q31" s="543">
        <f t="shared" si="5"/>
        <v>20</v>
      </c>
      <c r="R31" s="544" t="str">
        <f t="shared" si="6"/>
        <v>--</v>
      </c>
      <c r="S31" s="537">
        <f t="shared" si="7"/>
        <v>6815.900000000001</v>
      </c>
      <c r="T31" s="538">
        <f t="shared" si="8"/>
        <v>2521.8830000000003</v>
      </c>
      <c r="U31" s="373" t="str">
        <f t="shared" si="9"/>
        <v>--</v>
      </c>
      <c r="V31" s="374" t="str">
        <f t="shared" si="10"/>
        <v>--</v>
      </c>
      <c r="W31" s="539" t="str">
        <f t="shared" si="11"/>
        <v>--</v>
      </c>
      <c r="X31" s="417" t="str">
        <f t="shared" si="12"/>
        <v>--</v>
      </c>
      <c r="Y31" s="180" t="s">
        <v>77</v>
      </c>
      <c r="Z31" s="473">
        <f t="shared" si="13"/>
        <v>9337.783000000001</v>
      </c>
      <c r="AA31" s="60"/>
    </row>
    <row r="32" spans="2:27" s="8" customFormat="1" ht="16.5" customHeight="1">
      <c r="B32" s="55"/>
      <c r="C32" s="150"/>
      <c r="D32" s="150"/>
      <c r="E32" s="150"/>
      <c r="F32" s="541"/>
      <c r="G32" s="464"/>
      <c r="H32" s="542"/>
      <c r="I32" s="362"/>
      <c r="J32" s="467"/>
      <c r="K32" s="204"/>
      <c r="L32" s="469"/>
      <c r="M32" s="470"/>
      <c r="N32" s="178"/>
      <c r="O32" s="273"/>
      <c r="P32" s="180"/>
      <c r="Q32" s="543"/>
      <c r="R32" s="544"/>
      <c r="S32" s="537"/>
      <c r="T32" s="538"/>
      <c r="U32" s="373"/>
      <c r="V32" s="374"/>
      <c r="W32" s="539"/>
      <c r="X32" s="417"/>
      <c r="Y32" s="180"/>
      <c r="Z32" s="473"/>
      <c r="AA32" s="60"/>
    </row>
    <row r="33" spans="2:27" s="8" customFormat="1" ht="16.5" customHeight="1">
      <c r="B33" s="55"/>
      <c r="C33" s="150"/>
      <c r="D33" s="150"/>
      <c r="E33" s="150"/>
      <c r="F33" s="541"/>
      <c r="G33" s="464"/>
      <c r="H33" s="542"/>
      <c r="I33" s="362"/>
      <c r="J33" s="467"/>
      <c r="K33" s="204"/>
      <c r="L33" s="469"/>
      <c r="M33" s="470"/>
      <c r="N33" s="178"/>
      <c r="O33" s="273"/>
      <c r="P33" s="180"/>
      <c r="Q33" s="543"/>
      <c r="R33" s="544"/>
      <c r="S33" s="537"/>
      <c r="T33" s="538"/>
      <c r="U33" s="373"/>
      <c r="V33" s="374"/>
      <c r="W33" s="539"/>
      <c r="X33" s="417"/>
      <c r="Y33" s="180"/>
      <c r="Z33" s="473"/>
      <c r="AA33" s="60"/>
    </row>
    <row r="34" spans="2:27" s="8" customFormat="1" ht="16.5" customHeight="1">
      <c r="B34" s="55"/>
      <c r="C34" s="150"/>
      <c r="D34" s="150"/>
      <c r="E34" s="150"/>
      <c r="F34" s="541"/>
      <c r="G34" s="464"/>
      <c r="H34" s="542"/>
      <c r="I34" s="362"/>
      <c r="J34" s="467"/>
      <c r="K34" s="204"/>
      <c r="L34" s="469"/>
      <c r="M34" s="470"/>
      <c r="N34" s="178"/>
      <c r="O34" s="273"/>
      <c r="P34" s="180"/>
      <c r="Q34" s="543"/>
      <c r="R34" s="544"/>
      <c r="S34" s="537"/>
      <c r="T34" s="538"/>
      <c r="U34" s="373"/>
      <c r="V34" s="374"/>
      <c r="W34" s="539"/>
      <c r="X34" s="417"/>
      <c r="Y34" s="180"/>
      <c r="Z34" s="473"/>
      <c r="AA34" s="60"/>
    </row>
    <row r="35" spans="2:27" s="8" customFormat="1" ht="16.5" customHeight="1">
      <c r="B35" s="55"/>
      <c r="C35" s="150"/>
      <c r="D35" s="150"/>
      <c r="E35" s="150"/>
      <c r="F35" s="541"/>
      <c r="G35" s="464"/>
      <c r="H35" s="542"/>
      <c r="I35" s="362"/>
      <c r="J35" s="467"/>
      <c r="K35" s="204"/>
      <c r="L35" s="469"/>
      <c r="M35" s="470"/>
      <c r="N35" s="178"/>
      <c r="O35" s="273"/>
      <c r="P35" s="180"/>
      <c r="Q35" s="543"/>
      <c r="R35" s="544"/>
      <c r="S35" s="537"/>
      <c r="T35" s="538"/>
      <c r="U35" s="373"/>
      <c r="V35" s="374"/>
      <c r="W35" s="539"/>
      <c r="X35" s="417"/>
      <c r="Y35" s="180"/>
      <c r="Z35" s="473"/>
      <c r="AA35" s="60"/>
    </row>
    <row r="36" spans="2:27" s="8" customFormat="1" ht="16.5" customHeight="1">
      <c r="B36" s="55"/>
      <c r="C36" s="150"/>
      <c r="D36" s="150"/>
      <c r="E36" s="150"/>
      <c r="F36" s="541"/>
      <c r="G36" s="464"/>
      <c r="H36" s="542"/>
      <c r="I36" s="362"/>
      <c r="J36" s="467"/>
      <c r="K36" s="204"/>
      <c r="L36" s="469"/>
      <c r="M36" s="470"/>
      <c r="N36" s="178"/>
      <c r="O36" s="273"/>
      <c r="P36" s="180"/>
      <c r="Q36" s="543"/>
      <c r="R36" s="544"/>
      <c r="S36" s="537"/>
      <c r="T36" s="538"/>
      <c r="U36" s="373"/>
      <c r="V36" s="374"/>
      <c r="W36" s="539"/>
      <c r="X36" s="417"/>
      <c r="Y36" s="180"/>
      <c r="Z36" s="473"/>
      <c r="AA36" s="60"/>
    </row>
    <row r="37" spans="2:27" s="8" customFormat="1" ht="16.5" customHeight="1">
      <c r="B37" s="55"/>
      <c r="C37" s="150"/>
      <c r="D37" s="150"/>
      <c r="E37" s="150"/>
      <c r="F37" s="541"/>
      <c r="G37" s="464"/>
      <c r="H37" s="542"/>
      <c r="I37" s="362">
        <f t="shared" si="0"/>
        <v>0</v>
      </c>
      <c r="J37" s="467"/>
      <c r="K37" s="204"/>
      <c r="L37" s="469">
        <f t="shared" si="1"/>
      </c>
      <c r="M37" s="470">
        <f t="shared" si="2"/>
      </c>
      <c r="N37" s="178"/>
      <c r="O37" s="273">
        <f>IF(F37="","","--")</f>
      </c>
      <c r="P37" s="180">
        <f t="shared" si="4"/>
      </c>
      <c r="Q37" s="543">
        <f t="shared" si="5"/>
        <v>20</v>
      </c>
      <c r="R37" s="544" t="str">
        <f t="shared" si="6"/>
        <v>--</v>
      </c>
      <c r="S37" s="537" t="str">
        <f t="shared" si="7"/>
        <v>--</v>
      </c>
      <c r="T37" s="538" t="str">
        <f t="shared" si="8"/>
        <v>--</v>
      </c>
      <c r="U37" s="373" t="str">
        <f t="shared" si="9"/>
        <v>--</v>
      </c>
      <c r="V37" s="374" t="str">
        <f t="shared" si="10"/>
        <v>--</v>
      </c>
      <c r="W37" s="539" t="str">
        <f t="shared" si="11"/>
        <v>--</v>
      </c>
      <c r="X37" s="417" t="str">
        <f t="shared" si="12"/>
        <v>--</v>
      </c>
      <c r="Y37" s="180">
        <f>IF(F37="","","SI")</f>
      </c>
      <c r="Z37" s="473">
        <f t="shared" si="13"/>
      </c>
      <c r="AA37" s="60"/>
    </row>
    <row r="38" spans="2:27" s="8" customFormat="1" ht="16.5" customHeight="1">
      <c r="B38" s="55"/>
      <c r="C38" s="150"/>
      <c r="D38" s="150"/>
      <c r="E38" s="169"/>
      <c r="F38" s="541"/>
      <c r="G38" s="464"/>
      <c r="H38" s="542"/>
      <c r="I38" s="362">
        <f t="shared" si="0"/>
        <v>0</v>
      </c>
      <c r="J38" s="467"/>
      <c r="K38" s="204"/>
      <c r="L38" s="469">
        <f t="shared" si="1"/>
      </c>
      <c r="M38" s="470">
        <f t="shared" si="2"/>
      </c>
      <c r="N38" s="178"/>
      <c r="O38" s="273">
        <f>IF(F38="","","--")</f>
      </c>
      <c r="P38" s="180">
        <f t="shared" si="4"/>
      </c>
      <c r="Q38" s="543">
        <f t="shared" si="5"/>
        <v>20</v>
      </c>
      <c r="R38" s="544" t="str">
        <f t="shared" si="6"/>
        <v>--</v>
      </c>
      <c r="S38" s="537" t="str">
        <f t="shared" si="7"/>
        <v>--</v>
      </c>
      <c r="T38" s="538" t="str">
        <f t="shared" si="8"/>
        <v>--</v>
      </c>
      <c r="U38" s="373" t="str">
        <f t="shared" si="9"/>
        <v>--</v>
      </c>
      <c r="V38" s="374" t="str">
        <f t="shared" si="10"/>
        <v>--</v>
      </c>
      <c r="W38" s="539" t="str">
        <f t="shared" si="11"/>
        <v>--</v>
      </c>
      <c r="X38" s="417" t="str">
        <f t="shared" si="12"/>
        <v>--</v>
      </c>
      <c r="Y38" s="180">
        <f>IF(F38="","","SI")</f>
      </c>
      <c r="Z38" s="473">
        <f t="shared" si="13"/>
      </c>
      <c r="AA38" s="60"/>
    </row>
    <row r="39" spans="2:27" s="8" customFormat="1" ht="16.5" customHeight="1">
      <c r="B39" s="55"/>
      <c r="C39" s="150"/>
      <c r="D39" s="150"/>
      <c r="E39" s="150"/>
      <c r="F39" s="541"/>
      <c r="G39" s="464"/>
      <c r="H39" s="542"/>
      <c r="I39" s="362">
        <f t="shared" si="0"/>
        <v>0</v>
      </c>
      <c r="J39" s="467"/>
      <c r="K39" s="204"/>
      <c r="L39" s="469">
        <f t="shared" si="1"/>
      </c>
      <c r="M39" s="470">
        <f t="shared" si="2"/>
      </c>
      <c r="N39" s="178"/>
      <c r="O39" s="273">
        <f>IF(F39="","","--")</f>
      </c>
      <c r="P39" s="180">
        <f t="shared" si="4"/>
      </c>
      <c r="Q39" s="543">
        <f t="shared" si="5"/>
        <v>20</v>
      </c>
      <c r="R39" s="544" t="str">
        <f t="shared" si="6"/>
        <v>--</v>
      </c>
      <c r="S39" s="537" t="str">
        <f t="shared" si="7"/>
        <v>--</v>
      </c>
      <c r="T39" s="538" t="str">
        <f t="shared" si="8"/>
        <v>--</v>
      </c>
      <c r="U39" s="373" t="str">
        <f t="shared" si="9"/>
        <v>--</v>
      </c>
      <c r="V39" s="374" t="str">
        <f t="shared" si="10"/>
        <v>--</v>
      </c>
      <c r="W39" s="539" t="str">
        <f t="shared" si="11"/>
        <v>--</v>
      </c>
      <c r="X39" s="417" t="str">
        <f t="shared" si="12"/>
        <v>--</v>
      </c>
      <c r="Y39" s="180">
        <f>IF(F39="","","SI")</f>
      </c>
      <c r="Z39" s="473">
        <f t="shared" si="13"/>
      </c>
      <c r="AA39" s="60"/>
    </row>
    <row r="40" spans="2:27" s="8" customFormat="1" ht="16.5" customHeight="1">
      <c r="B40" s="55"/>
      <c r="C40" s="150"/>
      <c r="D40" s="150"/>
      <c r="E40" s="169"/>
      <c r="F40" s="541"/>
      <c r="G40" s="464"/>
      <c r="H40" s="542"/>
      <c r="I40" s="362">
        <f t="shared" si="0"/>
        <v>0</v>
      </c>
      <c r="J40" s="467"/>
      <c r="K40" s="204"/>
      <c r="L40" s="469">
        <f t="shared" si="1"/>
      </c>
      <c r="M40" s="470">
        <f t="shared" si="2"/>
      </c>
      <c r="N40" s="178"/>
      <c r="O40" s="273">
        <f>IF(F40="","","--")</f>
      </c>
      <c r="P40" s="180">
        <f t="shared" si="4"/>
      </c>
      <c r="Q40" s="543">
        <f t="shared" si="5"/>
        <v>20</v>
      </c>
      <c r="R40" s="544" t="str">
        <f t="shared" si="6"/>
        <v>--</v>
      </c>
      <c r="S40" s="537" t="str">
        <f t="shared" si="7"/>
        <v>--</v>
      </c>
      <c r="T40" s="538" t="str">
        <f t="shared" si="8"/>
        <v>--</v>
      </c>
      <c r="U40" s="373" t="str">
        <f t="shared" si="9"/>
        <v>--</v>
      </c>
      <c r="V40" s="374" t="str">
        <f t="shared" si="10"/>
        <v>--</v>
      </c>
      <c r="W40" s="539" t="str">
        <f t="shared" si="11"/>
        <v>--</v>
      </c>
      <c r="X40" s="417" t="str">
        <f t="shared" si="12"/>
        <v>--</v>
      </c>
      <c r="Y40" s="180">
        <f>IF(F40="","","SI")</f>
      </c>
      <c r="Z40" s="473">
        <f t="shared" si="13"/>
      </c>
      <c r="AA40" s="60"/>
    </row>
    <row r="41" spans="2:27" s="8" customFormat="1" ht="16.5" customHeight="1">
      <c r="B41" s="55"/>
      <c r="C41" s="150"/>
      <c r="D41" s="150"/>
      <c r="E41" s="150"/>
      <c r="F41" s="541"/>
      <c r="G41" s="464"/>
      <c r="H41" s="542"/>
      <c r="I41" s="362">
        <f t="shared" si="0"/>
        <v>0</v>
      </c>
      <c r="J41" s="467"/>
      <c r="K41" s="204"/>
      <c r="L41" s="469">
        <f t="shared" si="1"/>
      </c>
      <c r="M41" s="470">
        <f t="shared" si="2"/>
      </c>
      <c r="N41" s="178"/>
      <c r="O41" s="273">
        <f>IF(F41="","","--")</f>
      </c>
      <c r="P41" s="180">
        <f t="shared" si="4"/>
      </c>
      <c r="Q41" s="543">
        <f t="shared" si="5"/>
        <v>20</v>
      </c>
      <c r="R41" s="544" t="str">
        <f t="shared" si="6"/>
        <v>--</v>
      </c>
      <c r="S41" s="537" t="str">
        <f t="shared" si="7"/>
        <v>--</v>
      </c>
      <c r="T41" s="538" t="str">
        <f t="shared" si="8"/>
        <v>--</v>
      </c>
      <c r="U41" s="373" t="str">
        <f t="shared" si="9"/>
        <v>--</v>
      </c>
      <c r="V41" s="374" t="str">
        <f t="shared" si="10"/>
        <v>--</v>
      </c>
      <c r="W41" s="539" t="str">
        <f t="shared" si="11"/>
        <v>--</v>
      </c>
      <c r="X41" s="417" t="str">
        <f t="shared" si="12"/>
        <v>--</v>
      </c>
      <c r="Y41" s="180">
        <f>IF(F41="","","SI")</f>
      </c>
      <c r="Z41" s="473">
        <f t="shared" si="13"/>
      </c>
      <c r="AA41" s="60"/>
    </row>
    <row r="42" spans="2:27" s="8" customFormat="1" ht="16.5" customHeight="1" thickBot="1">
      <c r="B42" s="55"/>
      <c r="C42" s="546"/>
      <c r="D42" s="546"/>
      <c r="E42" s="546"/>
      <c r="F42" s="546"/>
      <c r="G42" s="546"/>
      <c r="H42" s="546"/>
      <c r="I42" s="382"/>
      <c r="J42" s="474"/>
      <c r="K42" s="474"/>
      <c r="L42" s="475"/>
      <c r="M42" s="475"/>
      <c r="N42" s="474"/>
      <c r="O42" s="216"/>
      <c r="P42" s="215"/>
      <c r="Q42" s="547"/>
      <c r="R42" s="548"/>
      <c r="S42" s="549"/>
      <c r="T42" s="550"/>
      <c r="U42" s="394"/>
      <c r="V42" s="395"/>
      <c r="W42" s="551"/>
      <c r="X42" s="551"/>
      <c r="Y42" s="215"/>
      <c r="Z42" s="552"/>
      <c r="AA42" s="60"/>
    </row>
    <row r="43" spans="2:27" s="8" customFormat="1" ht="16.5" customHeight="1" thickBot="1" thickTop="1">
      <c r="B43" s="55"/>
      <c r="C43" s="229" t="s">
        <v>322</v>
      </c>
      <c r="D43" s="2492" t="s">
        <v>366</v>
      </c>
      <c r="E43" s="229"/>
      <c r="F43" s="230"/>
      <c r="I43" s="11"/>
      <c r="J43" s="11"/>
      <c r="K43" s="11"/>
      <c r="L43" s="11"/>
      <c r="M43" s="11"/>
      <c r="N43" s="11"/>
      <c r="O43" s="11"/>
      <c r="P43" s="11"/>
      <c r="Q43" s="11"/>
      <c r="R43" s="553">
        <f aca="true" t="shared" si="14" ref="R43:X43">SUM(R20:R42)</f>
        <v>1029952.3182000002</v>
      </c>
      <c r="S43" s="554">
        <f t="shared" si="14"/>
        <v>6815.900000000001</v>
      </c>
      <c r="T43" s="555">
        <f t="shared" si="14"/>
        <v>2521.8830000000003</v>
      </c>
      <c r="U43" s="404">
        <f t="shared" si="14"/>
        <v>0</v>
      </c>
      <c r="V43" s="405">
        <f t="shared" si="14"/>
        <v>0</v>
      </c>
      <c r="W43" s="556">
        <f t="shared" si="14"/>
        <v>0</v>
      </c>
      <c r="X43" s="556">
        <f t="shared" si="14"/>
        <v>0</v>
      </c>
      <c r="Z43" s="487">
        <f>ROUND(SUM(Z20:Z42),2)</f>
        <v>1015195.89</v>
      </c>
      <c r="AA43" s="557"/>
    </row>
    <row r="44" spans="2:27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6"/>
    </row>
    <row r="45" spans="6:29" ht="16.5" customHeight="1" thickTop="1">
      <c r="F45" s="558"/>
      <c r="G45" s="558"/>
      <c r="H45" s="558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</row>
    <row r="46" spans="6:29" ht="16.5" customHeight="1">
      <c r="F46" s="558"/>
      <c r="G46" s="558"/>
      <c r="H46" s="558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</row>
    <row r="47" spans="6:29" ht="16.5" customHeight="1">
      <c r="F47" s="558"/>
      <c r="G47" s="558"/>
      <c r="H47" s="558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</row>
    <row r="48" spans="6:29" ht="16.5" customHeight="1">
      <c r="F48" s="558"/>
      <c r="G48" s="558"/>
      <c r="H48" s="558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</row>
    <row r="49" spans="6:29" ht="16.5" customHeight="1">
      <c r="F49" s="558"/>
      <c r="G49" s="558"/>
      <c r="H49" s="558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</row>
    <row r="50" spans="6:29" ht="16.5" customHeight="1">
      <c r="F50" s="558"/>
      <c r="G50" s="558"/>
      <c r="H50" s="558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</row>
    <row r="51" spans="6:29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</row>
    <row r="52" spans="6:29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</row>
    <row r="53" spans="6:29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</row>
    <row r="54" spans="6:29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</row>
    <row r="55" spans="6:29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</row>
    <row r="56" spans="6:29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</row>
    <row r="57" spans="6:29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</row>
    <row r="58" spans="6:29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</row>
    <row r="59" spans="6:29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</row>
    <row r="60" spans="6:29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</row>
    <row r="61" spans="6:29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</row>
    <row r="62" spans="6:29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</row>
    <row r="63" spans="6:29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</row>
    <row r="64" spans="6:29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</row>
    <row r="65" spans="6:29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</row>
    <row r="66" spans="6:29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</row>
    <row r="67" spans="6:29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</row>
    <row r="68" spans="6:29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</row>
    <row r="69" spans="6:29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</row>
    <row r="70" spans="6:29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</row>
    <row r="71" spans="6:29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</row>
    <row r="72" spans="6:29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</row>
    <row r="73" spans="6:29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</row>
    <row r="74" spans="6:29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</row>
    <row r="75" spans="6:29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</row>
    <row r="76" spans="6:29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</row>
    <row r="77" spans="6:29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</row>
    <row r="78" spans="6:29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</row>
    <row r="79" spans="6:29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</row>
    <row r="80" spans="6:29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</row>
    <row r="81" spans="6:29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</row>
    <row r="82" spans="6:29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</row>
    <row r="83" spans="6:29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</row>
    <row r="84" spans="6:29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</row>
    <row r="85" spans="6:29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</row>
    <row r="86" spans="6:29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</row>
    <row r="87" spans="6:29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</row>
    <row r="88" spans="6:29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</row>
    <row r="89" spans="6:29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</row>
    <row r="90" spans="6:29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</row>
    <row r="91" spans="6:29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</row>
    <row r="92" spans="6:29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</row>
    <row r="93" spans="6:29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</row>
    <row r="94" spans="6:29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</row>
    <row r="95" spans="6:29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</row>
    <row r="96" spans="6:29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</row>
    <row r="97" spans="6:29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</row>
    <row r="98" spans="6:29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</row>
    <row r="99" spans="6:29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</row>
    <row r="100" spans="6:29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</row>
    <row r="101" spans="6:29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</row>
    <row r="102" spans="6:29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</row>
    <row r="103" spans="6:29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</row>
    <row r="104" spans="6:29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</row>
    <row r="105" spans="6:29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</row>
    <row r="106" spans="6:29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</row>
    <row r="107" spans="6:29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</row>
    <row r="108" spans="6:29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</row>
    <row r="109" spans="6:29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</row>
    <row r="110" spans="6:29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</row>
    <row r="111" spans="6:29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</row>
    <row r="112" spans="6:29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</row>
    <row r="113" spans="6:29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</row>
    <row r="114" spans="6:29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</row>
    <row r="115" spans="6:29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</row>
    <row r="116" spans="6:29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</row>
    <row r="117" spans="6:29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</row>
    <row r="118" spans="6:29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</row>
    <row r="119" spans="6:29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</row>
    <row r="120" spans="6:29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</row>
    <row r="121" spans="6:29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</row>
    <row r="122" spans="6:29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</row>
    <row r="123" spans="6:29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</row>
    <row r="124" spans="6:29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</row>
    <row r="125" spans="6:29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</row>
    <row r="126" spans="6:29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</row>
    <row r="127" spans="6:29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</row>
    <row r="128" spans="6:29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</row>
    <row r="129" spans="6:29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</row>
    <row r="130" spans="6:29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</row>
    <row r="131" spans="6:29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</row>
    <row r="132" spans="6:29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</row>
    <row r="133" spans="6:29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</row>
    <row r="134" spans="6:29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</row>
    <row r="135" spans="6:29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</row>
    <row r="136" spans="6:29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</row>
    <row r="137" spans="6:29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</row>
    <row r="138" spans="6:29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</row>
    <row r="139" spans="6:29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</row>
    <row r="140" spans="6:29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</row>
    <row r="141" spans="6:29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</row>
    <row r="142" spans="6:29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</row>
    <row r="143" spans="6:29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</row>
    <row r="144" spans="6:29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</row>
    <row r="145" spans="6:29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</row>
    <row r="146" spans="6:29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</row>
    <row r="147" spans="6:29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</row>
    <row r="148" spans="6:29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</row>
    <row r="149" spans="6:29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</row>
    <row r="150" spans="6:29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</row>
    <row r="151" spans="6:29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</row>
    <row r="152" spans="6:29" ht="16.5" customHeight="1">
      <c r="F152" s="413"/>
      <c r="G152" s="413"/>
      <c r="H152" s="413"/>
      <c r="AB152" s="413"/>
      <c r="AC152" s="413"/>
    </row>
    <row r="153" spans="6:8" ht="16.5" customHeight="1">
      <c r="F153" s="413"/>
      <c r="G153" s="413"/>
      <c r="H153" s="413"/>
    </row>
    <row r="154" spans="6:8" ht="16.5" customHeight="1">
      <c r="F154" s="413"/>
      <c r="G154" s="413"/>
      <c r="H154" s="413"/>
    </row>
    <row r="155" spans="6:8" ht="16.5" customHeight="1">
      <c r="F155" s="413"/>
      <c r="G155" s="413"/>
      <c r="H155" s="413"/>
    </row>
    <row r="156" spans="6:8" ht="16.5" customHeight="1">
      <c r="F156" s="413"/>
      <c r="G156" s="413"/>
      <c r="H156" s="413"/>
    </row>
    <row r="157" spans="6:8" ht="16.5" customHeight="1">
      <c r="F157" s="413"/>
      <c r="G157" s="413"/>
      <c r="H157" s="413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25" right="0.25" top="0.75" bottom="0.75" header="0.3" footer="0.3"/>
  <pageSetup fitToHeight="1" fitToWidth="1" horizontalDpi="1200" verticalDpi="12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AC157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5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497" t="str">
        <f>+'TOT-1215'!B2</f>
        <v>ANEXO I al Memorándum D.T.E.E. N°  231  / 2017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19"/>
    </row>
    <row r="8" spans="2:27" s="18" customFormat="1" ht="20.25">
      <c r="B8" s="95"/>
      <c r="C8" s="23"/>
      <c r="D8" s="23"/>
      <c r="F8" s="96" t="s">
        <v>71</v>
      </c>
      <c r="G8" s="498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499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72</v>
      </c>
      <c r="H10" s="500"/>
      <c r="I10" s="501"/>
      <c r="J10" s="501"/>
      <c r="K10" s="501"/>
      <c r="L10" s="501"/>
      <c r="M10" s="501"/>
      <c r="N10" s="501"/>
      <c r="O10" s="501"/>
      <c r="P10" s="501"/>
      <c r="Q10" s="501"/>
      <c r="R10" s="23"/>
      <c r="S10" s="23"/>
      <c r="T10" s="23"/>
      <c r="U10" s="23"/>
      <c r="V10" s="23"/>
      <c r="W10" s="23"/>
      <c r="X10" s="23"/>
      <c r="Y10" s="23"/>
      <c r="Z10" s="23"/>
      <c r="AA10" s="421"/>
    </row>
    <row r="11" spans="2:27" s="8" customFormat="1" ht="16.5" customHeight="1">
      <c r="B11" s="55"/>
      <c r="C11" s="11"/>
      <c r="D11" s="11"/>
      <c r="E11" s="11"/>
      <c r="F11" s="502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478</v>
      </c>
      <c r="H12" s="500"/>
      <c r="I12" s="501"/>
      <c r="J12" s="501"/>
      <c r="K12" s="501"/>
      <c r="L12" s="501"/>
      <c r="M12" s="501"/>
      <c r="N12" s="501"/>
      <c r="O12" s="501"/>
      <c r="P12" s="501"/>
      <c r="Q12" s="501"/>
      <c r="R12" s="23"/>
      <c r="S12" s="23"/>
      <c r="T12" s="23"/>
      <c r="U12" s="23"/>
      <c r="V12" s="23"/>
      <c r="W12" s="23"/>
      <c r="X12" s="23"/>
      <c r="Y12" s="23"/>
      <c r="Z12" s="23"/>
      <c r="AA12" s="421"/>
    </row>
    <row r="13" spans="2:27" s="8" customFormat="1" ht="16.5" customHeight="1">
      <c r="B13" s="55"/>
      <c r="C13" s="11"/>
      <c r="D13" s="11"/>
      <c r="E13" s="11"/>
      <c r="F13" s="502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'TOT-1215'!B14</f>
        <v>Desde el 01 al 31 de diciembre de 2015</v>
      </c>
      <c r="C14" s="39"/>
      <c r="D14" s="39"/>
      <c r="E14" s="503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3"/>
      <c r="S14" s="503"/>
      <c r="T14" s="503"/>
      <c r="U14" s="503"/>
      <c r="V14" s="503"/>
      <c r="W14" s="503"/>
      <c r="X14" s="503"/>
      <c r="Y14" s="503"/>
      <c r="Z14" s="503"/>
      <c r="AA14" s="505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06" t="s">
        <v>52</v>
      </c>
      <c r="G16" s="275"/>
      <c r="H16" s="311">
        <v>0.319</v>
      </c>
      <c r="I16" s="433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07" t="s">
        <v>53</v>
      </c>
      <c r="G17" s="508"/>
      <c r="H17" s="509">
        <v>20</v>
      </c>
      <c r="I17" s="433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17" t="s">
        <v>25</v>
      </c>
      <c r="D19" s="111" t="s">
        <v>26</v>
      </c>
      <c r="E19" s="111" t="s">
        <v>27</v>
      </c>
      <c r="F19" s="114" t="s">
        <v>54</v>
      </c>
      <c r="G19" s="112" t="s">
        <v>55</v>
      </c>
      <c r="H19" s="510" t="s">
        <v>74</v>
      </c>
      <c r="I19" s="322" t="s">
        <v>32</v>
      </c>
      <c r="J19" s="112" t="s">
        <v>33</v>
      </c>
      <c r="K19" s="112" t="s">
        <v>34</v>
      </c>
      <c r="L19" s="114" t="s">
        <v>35</v>
      </c>
      <c r="M19" s="114" t="s">
        <v>36</v>
      </c>
      <c r="N19" s="119" t="s">
        <v>321</v>
      </c>
      <c r="O19" s="119" t="s">
        <v>37</v>
      </c>
      <c r="P19" s="112" t="s">
        <v>39</v>
      </c>
      <c r="Q19" s="322" t="s">
        <v>31</v>
      </c>
      <c r="R19" s="511" t="s">
        <v>68</v>
      </c>
      <c r="S19" s="512" t="s">
        <v>75</v>
      </c>
      <c r="T19" s="513"/>
      <c r="U19" s="327" t="s">
        <v>76</v>
      </c>
      <c r="V19" s="328"/>
      <c r="W19" s="514" t="s">
        <v>44</v>
      </c>
      <c r="X19" s="326" t="s">
        <v>41</v>
      </c>
      <c r="Y19" s="130" t="s">
        <v>46</v>
      </c>
      <c r="Z19" s="515" t="s">
        <v>47</v>
      </c>
      <c r="AA19" s="60"/>
    </row>
    <row r="20" spans="2:27" s="8" customFormat="1" ht="16.5" customHeight="1" thickTop="1">
      <c r="B20" s="55"/>
      <c r="C20" s="331"/>
      <c r="D20" s="331"/>
      <c r="E20" s="331"/>
      <c r="F20" s="516"/>
      <c r="G20" s="516"/>
      <c r="H20" s="516"/>
      <c r="I20" s="415"/>
      <c r="J20" s="517"/>
      <c r="K20" s="517"/>
      <c r="L20" s="518"/>
      <c r="M20" s="518"/>
      <c r="N20" s="516"/>
      <c r="O20" s="151"/>
      <c r="P20" s="518"/>
      <c r="Q20" s="519"/>
      <c r="R20" s="520"/>
      <c r="S20" s="521"/>
      <c r="T20" s="522"/>
      <c r="U20" s="340"/>
      <c r="V20" s="341"/>
      <c r="W20" s="523"/>
      <c r="X20" s="523"/>
      <c r="Y20" s="524"/>
      <c r="Z20" s="525"/>
      <c r="AA20" s="60"/>
    </row>
    <row r="21" spans="2:27" s="8" customFormat="1" ht="16.5" customHeight="1">
      <c r="B21" s="55"/>
      <c r="C21" s="150"/>
      <c r="D21" s="150"/>
      <c r="E21" s="150"/>
      <c r="F21" s="526"/>
      <c r="G21" s="527"/>
      <c r="H21" s="528"/>
      <c r="I21" s="529"/>
      <c r="J21" s="530"/>
      <c r="K21" s="531"/>
      <c r="L21" s="532"/>
      <c r="M21" s="533"/>
      <c r="N21" s="534"/>
      <c r="O21" s="157"/>
      <c r="P21" s="416"/>
      <c r="Q21" s="535"/>
      <c r="R21" s="536"/>
      <c r="S21" s="537"/>
      <c r="T21" s="538"/>
      <c r="U21" s="353"/>
      <c r="V21" s="354"/>
      <c r="W21" s="539"/>
      <c r="X21" s="539"/>
      <c r="Y21" s="416"/>
      <c r="Z21" s="540"/>
      <c r="AA21" s="60"/>
    </row>
    <row r="22" spans="2:27" s="8" customFormat="1" ht="16.5" customHeight="1">
      <c r="B22" s="55"/>
      <c r="C22" s="150">
        <v>78</v>
      </c>
      <c r="D22" s="150">
        <v>282562</v>
      </c>
      <c r="E22" s="169">
        <v>2672</v>
      </c>
      <c r="F22" s="541" t="s">
        <v>353</v>
      </c>
      <c r="G22" s="464" t="s">
        <v>370</v>
      </c>
      <c r="H22" s="542">
        <v>80</v>
      </c>
      <c r="I22" s="362">
        <f aca="true" t="shared" si="0" ref="I22:I41">H22*$H$16</f>
        <v>25.52</v>
      </c>
      <c r="J22" s="467">
        <v>42339</v>
      </c>
      <c r="K22" s="204">
        <v>42369.99998842592</v>
      </c>
      <c r="L22" s="469">
        <f aca="true" t="shared" si="1" ref="L22:L41">IF(F22="","",(K22-J22)*24)</f>
        <v>743.9997222221573</v>
      </c>
      <c r="M22" s="470">
        <f aca="true" t="shared" si="2" ref="M22:M41">IF(F22="","",ROUND((K22-J22)*24*60,0))</f>
        <v>44640</v>
      </c>
      <c r="N22" s="178" t="s">
        <v>332</v>
      </c>
      <c r="O22" s="273" t="str">
        <f aca="true" t="shared" si="3" ref="O22:O41">IF(F22="","","--")</f>
        <v>--</v>
      </c>
      <c r="P22" s="180" t="str">
        <f aca="true" t="shared" si="4" ref="P22:P41">IF(F22="","",IF(OR(N22="P",N22="RP"),"--","NO"))</f>
        <v>--</v>
      </c>
      <c r="Q22" s="543">
        <f aca="true" t="shared" si="5" ref="Q22:Q41">IF(OR(N22="P",N22="RP"),$H$17/10,$H$17)</f>
        <v>2</v>
      </c>
      <c r="R22" s="544">
        <f aca="true" t="shared" si="6" ref="R22:R41">IF(N22="P",I22*Q22*ROUND(M22/60,2),"--")</f>
        <v>37973.76</v>
      </c>
      <c r="S22" s="537" t="str">
        <f aca="true" t="shared" si="7" ref="S22:S41">IF(AND(N22="F",P22="NO"),I22*Q22,"--")</f>
        <v>--</v>
      </c>
      <c r="T22" s="538" t="str">
        <f aca="true" t="shared" si="8" ref="T22:T41">IF(N22="F",I22*Q22*ROUND(M22/60,2),"--")</f>
        <v>--</v>
      </c>
      <c r="U22" s="373" t="str">
        <f aca="true" t="shared" si="9" ref="U22:U41">IF(AND(N22="R",P22="NO"),I22*Q22*O22/100,"--")</f>
        <v>--</v>
      </c>
      <c r="V22" s="374" t="str">
        <f aca="true" t="shared" si="10" ref="V22:V41">IF(N22="R",I22*Q22*O22/100*ROUND(M22/60,2),"--")</f>
        <v>--</v>
      </c>
      <c r="W22" s="539" t="str">
        <f aca="true" t="shared" si="11" ref="W22:W41">IF(N22="RF",I22*Q22*ROUND(M22/60,2),"--")</f>
        <v>--</v>
      </c>
      <c r="X22" s="417" t="str">
        <f aca="true" t="shared" si="12" ref="X22:X41">IF(N22="RP",I22*Q22*O22/100*ROUND(M22/60,2),"--")</f>
        <v>--</v>
      </c>
      <c r="Y22" s="180" t="str">
        <f aca="true" t="shared" si="13" ref="Y22:Y41">IF(F22="","","SI")</f>
        <v>SI</v>
      </c>
      <c r="Z22" s="473">
        <f aca="true" t="shared" si="14" ref="Z22:Z41">IF(F22="","",SUM(R22:X22)*IF(Y22="SI",1,2)*IF(AND(O22&lt;&gt;"--",N22="RF"),O22/100,1))</f>
        <v>37973.76</v>
      </c>
      <c r="AA22" s="60"/>
    </row>
    <row r="23" spans="2:27" s="8" customFormat="1" ht="16.5" customHeight="1">
      <c r="B23" s="55"/>
      <c r="C23" s="150"/>
      <c r="D23" s="150"/>
      <c r="E23" s="150"/>
      <c r="F23" s="541"/>
      <c r="G23" s="464"/>
      <c r="H23" s="542"/>
      <c r="I23" s="362">
        <f t="shared" si="0"/>
        <v>0</v>
      </c>
      <c r="J23" s="467"/>
      <c r="K23" s="204"/>
      <c r="L23" s="469">
        <f t="shared" si="1"/>
      </c>
      <c r="M23" s="470">
        <f t="shared" si="2"/>
      </c>
      <c r="N23" s="178"/>
      <c r="O23" s="273">
        <f t="shared" si="3"/>
      </c>
      <c r="P23" s="180">
        <f t="shared" si="4"/>
      </c>
      <c r="Q23" s="543">
        <f t="shared" si="5"/>
        <v>20</v>
      </c>
      <c r="R23" s="544" t="str">
        <f t="shared" si="6"/>
        <v>--</v>
      </c>
      <c r="S23" s="537" t="str">
        <f t="shared" si="7"/>
        <v>--</v>
      </c>
      <c r="T23" s="538" t="str">
        <f t="shared" si="8"/>
        <v>--</v>
      </c>
      <c r="U23" s="373" t="str">
        <f t="shared" si="9"/>
        <v>--</v>
      </c>
      <c r="V23" s="374" t="str">
        <f t="shared" si="10"/>
        <v>--</v>
      </c>
      <c r="W23" s="539" t="str">
        <f t="shared" si="11"/>
        <v>--</v>
      </c>
      <c r="X23" s="417" t="str">
        <f t="shared" si="12"/>
        <v>--</v>
      </c>
      <c r="Y23" s="180">
        <f t="shared" si="13"/>
      </c>
      <c r="Z23" s="473">
        <f t="shared" si="14"/>
      </c>
      <c r="AA23" s="60"/>
    </row>
    <row r="24" spans="2:27" s="8" customFormat="1" ht="16.5" customHeight="1">
      <c r="B24" s="55"/>
      <c r="C24" s="150"/>
      <c r="D24" s="150"/>
      <c r="E24" s="169"/>
      <c r="F24" s="541"/>
      <c r="G24" s="464"/>
      <c r="H24" s="542"/>
      <c r="I24" s="362">
        <f t="shared" si="0"/>
        <v>0</v>
      </c>
      <c r="J24" s="467"/>
      <c r="K24" s="204"/>
      <c r="L24" s="469">
        <f t="shared" si="1"/>
      </c>
      <c r="M24" s="470">
        <f t="shared" si="2"/>
      </c>
      <c r="N24" s="178"/>
      <c r="O24" s="273">
        <f t="shared" si="3"/>
      </c>
      <c r="P24" s="180">
        <f t="shared" si="4"/>
      </c>
      <c r="Q24" s="543">
        <f t="shared" si="5"/>
        <v>20</v>
      </c>
      <c r="R24" s="544" t="str">
        <f t="shared" si="6"/>
        <v>--</v>
      </c>
      <c r="S24" s="537" t="str">
        <f t="shared" si="7"/>
        <v>--</v>
      </c>
      <c r="T24" s="538" t="str">
        <f t="shared" si="8"/>
        <v>--</v>
      </c>
      <c r="U24" s="373" t="str">
        <f t="shared" si="9"/>
        <v>--</v>
      </c>
      <c r="V24" s="374" t="str">
        <f t="shared" si="10"/>
        <v>--</v>
      </c>
      <c r="W24" s="539" t="str">
        <f t="shared" si="11"/>
        <v>--</v>
      </c>
      <c r="X24" s="417" t="str">
        <f t="shared" si="12"/>
        <v>--</v>
      </c>
      <c r="Y24" s="180">
        <f t="shared" si="13"/>
      </c>
      <c r="Z24" s="473">
        <f t="shared" si="14"/>
      </c>
      <c r="AA24" s="60"/>
    </row>
    <row r="25" spans="2:27" s="8" customFormat="1" ht="16.5" customHeight="1">
      <c r="B25" s="55"/>
      <c r="C25" s="150"/>
      <c r="D25" s="150"/>
      <c r="E25" s="150"/>
      <c r="F25" s="541"/>
      <c r="G25" s="464"/>
      <c r="H25" s="542"/>
      <c r="I25" s="362">
        <f t="shared" si="0"/>
        <v>0</v>
      </c>
      <c r="J25" s="467"/>
      <c r="K25" s="204"/>
      <c r="L25" s="469">
        <f t="shared" si="1"/>
      </c>
      <c r="M25" s="470">
        <f t="shared" si="2"/>
      </c>
      <c r="N25" s="178"/>
      <c r="O25" s="273">
        <f t="shared" si="3"/>
      </c>
      <c r="P25" s="180">
        <f t="shared" si="4"/>
      </c>
      <c r="Q25" s="543">
        <f t="shared" si="5"/>
        <v>20</v>
      </c>
      <c r="R25" s="544" t="str">
        <f t="shared" si="6"/>
        <v>--</v>
      </c>
      <c r="S25" s="537" t="str">
        <f t="shared" si="7"/>
        <v>--</v>
      </c>
      <c r="T25" s="538" t="str">
        <f t="shared" si="8"/>
        <v>--</v>
      </c>
      <c r="U25" s="373" t="str">
        <f t="shared" si="9"/>
        <v>--</v>
      </c>
      <c r="V25" s="374" t="str">
        <f t="shared" si="10"/>
        <v>--</v>
      </c>
      <c r="W25" s="539" t="str">
        <f t="shared" si="11"/>
        <v>--</v>
      </c>
      <c r="X25" s="417" t="str">
        <f t="shared" si="12"/>
        <v>--</v>
      </c>
      <c r="Y25" s="180">
        <f t="shared" si="13"/>
      </c>
      <c r="Z25" s="473">
        <f t="shared" si="14"/>
      </c>
      <c r="AA25" s="545"/>
    </row>
    <row r="26" spans="2:27" s="8" customFormat="1" ht="16.5" customHeight="1">
      <c r="B26" s="55"/>
      <c r="C26" s="150"/>
      <c r="D26" s="150"/>
      <c r="E26" s="169"/>
      <c r="F26" s="541"/>
      <c r="G26" s="464"/>
      <c r="H26" s="542"/>
      <c r="I26" s="362">
        <f t="shared" si="0"/>
        <v>0</v>
      </c>
      <c r="J26" s="467"/>
      <c r="K26" s="204"/>
      <c r="L26" s="469">
        <f t="shared" si="1"/>
      </c>
      <c r="M26" s="470">
        <f t="shared" si="2"/>
      </c>
      <c r="N26" s="178"/>
      <c r="O26" s="273">
        <f t="shared" si="3"/>
      </c>
      <c r="P26" s="180">
        <f t="shared" si="4"/>
      </c>
      <c r="Q26" s="543">
        <f t="shared" si="5"/>
        <v>20</v>
      </c>
      <c r="R26" s="544" t="str">
        <f t="shared" si="6"/>
        <v>--</v>
      </c>
      <c r="S26" s="537" t="str">
        <f t="shared" si="7"/>
        <v>--</v>
      </c>
      <c r="T26" s="538" t="str">
        <f t="shared" si="8"/>
        <v>--</v>
      </c>
      <c r="U26" s="373" t="str">
        <f t="shared" si="9"/>
        <v>--</v>
      </c>
      <c r="V26" s="374" t="str">
        <f t="shared" si="10"/>
        <v>--</v>
      </c>
      <c r="W26" s="539" t="str">
        <f t="shared" si="11"/>
        <v>--</v>
      </c>
      <c r="X26" s="417" t="str">
        <f t="shared" si="12"/>
        <v>--</v>
      </c>
      <c r="Y26" s="180">
        <f t="shared" si="13"/>
      </c>
      <c r="Z26" s="473">
        <f t="shared" si="14"/>
      </c>
      <c r="AA26" s="545"/>
    </row>
    <row r="27" spans="2:27" s="8" customFormat="1" ht="16.5" customHeight="1">
      <c r="B27" s="55"/>
      <c r="C27" s="150"/>
      <c r="D27" s="150"/>
      <c r="E27" s="150"/>
      <c r="F27" s="541"/>
      <c r="G27" s="464"/>
      <c r="H27" s="542"/>
      <c r="I27" s="362">
        <f t="shared" si="0"/>
        <v>0</v>
      </c>
      <c r="J27" s="467"/>
      <c r="K27" s="204"/>
      <c r="L27" s="469">
        <f t="shared" si="1"/>
      </c>
      <c r="M27" s="470">
        <f t="shared" si="2"/>
      </c>
      <c r="N27" s="178"/>
      <c r="O27" s="273">
        <f t="shared" si="3"/>
      </c>
      <c r="P27" s="180">
        <f t="shared" si="4"/>
      </c>
      <c r="Q27" s="543">
        <f t="shared" si="5"/>
        <v>20</v>
      </c>
      <c r="R27" s="544" t="str">
        <f t="shared" si="6"/>
        <v>--</v>
      </c>
      <c r="S27" s="537" t="str">
        <f t="shared" si="7"/>
        <v>--</v>
      </c>
      <c r="T27" s="538" t="str">
        <f t="shared" si="8"/>
        <v>--</v>
      </c>
      <c r="U27" s="373" t="str">
        <f t="shared" si="9"/>
        <v>--</v>
      </c>
      <c r="V27" s="374" t="str">
        <f t="shared" si="10"/>
        <v>--</v>
      </c>
      <c r="W27" s="539" t="str">
        <f t="shared" si="11"/>
        <v>--</v>
      </c>
      <c r="X27" s="417" t="str">
        <f t="shared" si="12"/>
        <v>--</v>
      </c>
      <c r="Y27" s="180">
        <f t="shared" si="13"/>
      </c>
      <c r="Z27" s="473">
        <f t="shared" si="14"/>
      </c>
      <c r="AA27" s="545"/>
    </row>
    <row r="28" spans="2:27" s="8" customFormat="1" ht="16.5" customHeight="1">
      <c r="B28" s="55"/>
      <c r="C28" s="150"/>
      <c r="D28" s="150"/>
      <c r="E28" s="169"/>
      <c r="F28" s="541"/>
      <c r="G28" s="464"/>
      <c r="H28" s="542"/>
      <c r="I28" s="362">
        <f t="shared" si="0"/>
        <v>0</v>
      </c>
      <c r="J28" s="467"/>
      <c r="K28" s="204"/>
      <c r="L28" s="469">
        <f t="shared" si="1"/>
      </c>
      <c r="M28" s="470">
        <f t="shared" si="2"/>
      </c>
      <c r="N28" s="178"/>
      <c r="O28" s="273">
        <f t="shared" si="3"/>
      </c>
      <c r="P28" s="180">
        <f t="shared" si="4"/>
      </c>
      <c r="Q28" s="543">
        <f t="shared" si="5"/>
        <v>20</v>
      </c>
      <c r="R28" s="544" t="str">
        <f t="shared" si="6"/>
        <v>--</v>
      </c>
      <c r="S28" s="537" t="str">
        <f t="shared" si="7"/>
        <v>--</v>
      </c>
      <c r="T28" s="538" t="str">
        <f t="shared" si="8"/>
        <v>--</v>
      </c>
      <c r="U28" s="373" t="str">
        <f t="shared" si="9"/>
        <v>--</v>
      </c>
      <c r="V28" s="374" t="str">
        <f t="shared" si="10"/>
        <v>--</v>
      </c>
      <c r="W28" s="539" t="str">
        <f t="shared" si="11"/>
        <v>--</v>
      </c>
      <c r="X28" s="417" t="str">
        <f t="shared" si="12"/>
        <v>--</v>
      </c>
      <c r="Y28" s="180">
        <f t="shared" si="13"/>
      </c>
      <c r="Z28" s="473">
        <f t="shared" si="14"/>
      </c>
      <c r="AA28" s="545"/>
    </row>
    <row r="29" spans="2:27" s="8" customFormat="1" ht="16.5" customHeight="1">
      <c r="B29" s="55"/>
      <c r="C29" s="150"/>
      <c r="D29" s="150"/>
      <c r="E29" s="150"/>
      <c r="F29" s="541"/>
      <c r="G29" s="464"/>
      <c r="H29" s="542"/>
      <c r="I29" s="362">
        <f t="shared" si="0"/>
        <v>0</v>
      </c>
      <c r="J29" s="467"/>
      <c r="K29" s="204"/>
      <c r="L29" s="469">
        <f t="shared" si="1"/>
      </c>
      <c r="M29" s="470">
        <f t="shared" si="2"/>
      </c>
      <c r="N29" s="178"/>
      <c r="O29" s="273">
        <f t="shared" si="3"/>
      </c>
      <c r="P29" s="180">
        <f t="shared" si="4"/>
      </c>
      <c r="Q29" s="543">
        <f t="shared" si="5"/>
        <v>20</v>
      </c>
      <c r="R29" s="544" t="str">
        <f t="shared" si="6"/>
        <v>--</v>
      </c>
      <c r="S29" s="537" t="str">
        <f t="shared" si="7"/>
        <v>--</v>
      </c>
      <c r="T29" s="538" t="str">
        <f t="shared" si="8"/>
        <v>--</v>
      </c>
      <c r="U29" s="373" t="str">
        <f t="shared" si="9"/>
        <v>--</v>
      </c>
      <c r="V29" s="374" t="str">
        <f t="shared" si="10"/>
        <v>--</v>
      </c>
      <c r="W29" s="539" t="str">
        <f t="shared" si="11"/>
        <v>--</v>
      </c>
      <c r="X29" s="417" t="str">
        <f t="shared" si="12"/>
        <v>--</v>
      </c>
      <c r="Y29" s="180">
        <f t="shared" si="13"/>
      </c>
      <c r="Z29" s="473">
        <f t="shared" si="14"/>
      </c>
      <c r="AA29" s="545"/>
    </row>
    <row r="30" spans="2:27" s="8" customFormat="1" ht="16.5" customHeight="1">
      <c r="B30" s="55"/>
      <c r="C30" s="150"/>
      <c r="D30" s="150"/>
      <c r="E30" s="169"/>
      <c r="F30" s="541"/>
      <c r="G30" s="464"/>
      <c r="H30" s="542"/>
      <c r="I30" s="362">
        <f t="shared" si="0"/>
        <v>0</v>
      </c>
      <c r="J30" s="467"/>
      <c r="K30" s="204"/>
      <c r="L30" s="469">
        <f t="shared" si="1"/>
      </c>
      <c r="M30" s="470">
        <f t="shared" si="2"/>
      </c>
      <c r="N30" s="178"/>
      <c r="O30" s="273">
        <f t="shared" si="3"/>
      </c>
      <c r="P30" s="180">
        <f t="shared" si="4"/>
      </c>
      <c r="Q30" s="543">
        <f t="shared" si="5"/>
        <v>20</v>
      </c>
      <c r="R30" s="544" t="str">
        <f t="shared" si="6"/>
        <v>--</v>
      </c>
      <c r="S30" s="537" t="str">
        <f t="shared" si="7"/>
        <v>--</v>
      </c>
      <c r="T30" s="538" t="str">
        <f t="shared" si="8"/>
        <v>--</v>
      </c>
      <c r="U30" s="373" t="str">
        <f t="shared" si="9"/>
        <v>--</v>
      </c>
      <c r="V30" s="374" t="str">
        <f t="shared" si="10"/>
        <v>--</v>
      </c>
      <c r="W30" s="539" t="str">
        <f t="shared" si="11"/>
        <v>--</v>
      </c>
      <c r="X30" s="417" t="str">
        <f t="shared" si="12"/>
        <v>--</v>
      </c>
      <c r="Y30" s="180">
        <f t="shared" si="13"/>
      </c>
      <c r="Z30" s="473">
        <f t="shared" si="14"/>
      </c>
      <c r="AA30" s="545"/>
    </row>
    <row r="31" spans="2:27" s="8" customFormat="1" ht="16.5" customHeight="1">
      <c r="B31" s="55"/>
      <c r="C31" s="150"/>
      <c r="D31" s="150"/>
      <c r="E31" s="150"/>
      <c r="F31" s="541"/>
      <c r="G31" s="464"/>
      <c r="H31" s="542"/>
      <c r="I31" s="362">
        <f t="shared" si="0"/>
        <v>0</v>
      </c>
      <c r="J31" s="467"/>
      <c r="K31" s="204"/>
      <c r="L31" s="469">
        <f t="shared" si="1"/>
      </c>
      <c r="M31" s="470">
        <f t="shared" si="2"/>
      </c>
      <c r="N31" s="178"/>
      <c r="O31" s="273">
        <f t="shared" si="3"/>
      </c>
      <c r="P31" s="180">
        <f t="shared" si="4"/>
      </c>
      <c r="Q31" s="543">
        <f t="shared" si="5"/>
        <v>20</v>
      </c>
      <c r="R31" s="544" t="str">
        <f t="shared" si="6"/>
        <v>--</v>
      </c>
      <c r="S31" s="537" t="str">
        <f t="shared" si="7"/>
        <v>--</v>
      </c>
      <c r="T31" s="538" t="str">
        <f t="shared" si="8"/>
        <v>--</v>
      </c>
      <c r="U31" s="373" t="str">
        <f t="shared" si="9"/>
        <v>--</v>
      </c>
      <c r="V31" s="374" t="str">
        <f t="shared" si="10"/>
        <v>--</v>
      </c>
      <c r="W31" s="539" t="str">
        <f t="shared" si="11"/>
        <v>--</v>
      </c>
      <c r="X31" s="417" t="str">
        <f t="shared" si="12"/>
        <v>--</v>
      </c>
      <c r="Y31" s="180">
        <f t="shared" si="13"/>
      </c>
      <c r="Z31" s="473">
        <f t="shared" si="14"/>
      </c>
      <c r="AA31" s="60"/>
    </row>
    <row r="32" spans="2:27" s="8" customFormat="1" ht="16.5" customHeight="1">
      <c r="B32" s="55"/>
      <c r="C32" s="150"/>
      <c r="D32" s="150"/>
      <c r="E32" s="169"/>
      <c r="F32" s="541"/>
      <c r="G32" s="464"/>
      <c r="H32" s="542"/>
      <c r="I32" s="362">
        <f t="shared" si="0"/>
        <v>0</v>
      </c>
      <c r="J32" s="467"/>
      <c r="K32" s="204"/>
      <c r="L32" s="469">
        <f t="shared" si="1"/>
      </c>
      <c r="M32" s="470">
        <f t="shared" si="2"/>
      </c>
      <c r="N32" s="178"/>
      <c r="O32" s="273">
        <f t="shared" si="3"/>
      </c>
      <c r="P32" s="180">
        <f t="shared" si="4"/>
      </c>
      <c r="Q32" s="543">
        <f t="shared" si="5"/>
        <v>20</v>
      </c>
      <c r="R32" s="544" t="str">
        <f t="shared" si="6"/>
        <v>--</v>
      </c>
      <c r="S32" s="537" t="str">
        <f t="shared" si="7"/>
        <v>--</v>
      </c>
      <c r="T32" s="538" t="str">
        <f t="shared" si="8"/>
        <v>--</v>
      </c>
      <c r="U32" s="373" t="str">
        <f t="shared" si="9"/>
        <v>--</v>
      </c>
      <c r="V32" s="374" t="str">
        <f t="shared" si="10"/>
        <v>--</v>
      </c>
      <c r="W32" s="539" t="str">
        <f t="shared" si="11"/>
        <v>--</v>
      </c>
      <c r="X32" s="417" t="str">
        <f t="shared" si="12"/>
        <v>--</v>
      </c>
      <c r="Y32" s="180">
        <f t="shared" si="13"/>
      </c>
      <c r="Z32" s="473">
        <f t="shared" si="14"/>
      </c>
      <c r="AA32" s="60"/>
    </row>
    <row r="33" spans="2:27" s="8" customFormat="1" ht="16.5" customHeight="1">
      <c r="B33" s="55"/>
      <c r="C33" s="150"/>
      <c r="D33" s="150"/>
      <c r="E33" s="150"/>
      <c r="F33" s="541"/>
      <c r="G33" s="464"/>
      <c r="H33" s="542"/>
      <c r="I33" s="362">
        <f t="shared" si="0"/>
        <v>0</v>
      </c>
      <c r="J33" s="467"/>
      <c r="K33" s="204"/>
      <c r="L33" s="469">
        <f t="shared" si="1"/>
      </c>
      <c r="M33" s="470">
        <f t="shared" si="2"/>
      </c>
      <c r="N33" s="178"/>
      <c r="O33" s="273">
        <f t="shared" si="3"/>
      </c>
      <c r="P33" s="180">
        <f t="shared" si="4"/>
      </c>
      <c r="Q33" s="543">
        <f t="shared" si="5"/>
        <v>20</v>
      </c>
      <c r="R33" s="544" t="str">
        <f t="shared" si="6"/>
        <v>--</v>
      </c>
      <c r="S33" s="537" t="str">
        <f t="shared" si="7"/>
        <v>--</v>
      </c>
      <c r="T33" s="538" t="str">
        <f t="shared" si="8"/>
        <v>--</v>
      </c>
      <c r="U33" s="373" t="str">
        <f t="shared" si="9"/>
        <v>--</v>
      </c>
      <c r="V33" s="374" t="str">
        <f t="shared" si="10"/>
        <v>--</v>
      </c>
      <c r="W33" s="539" t="str">
        <f t="shared" si="11"/>
        <v>--</v>
      </c>
      <c r="X33" s="417" t="str">
        <f t="shared" si="12"/>
        <v>--</v>
      </c>
      <c r="Y33" s="180">
        <f t="shared" si="13"/>
      </c>
      <c r="Z33" s="473">
        <f t="shared" si="14"/>
      </c>
      <c r="AA33" s="60"/>
    </row>
    <row r="34" spans="2:27" s="8" customFormat="1" ht="16.5" customHeight="1">
      <c r="B34" s="55"/>
      <c r="C34" s="150"/>
      <c r="D34" s="150"/>
      <c r="E34" s="169"/>
      <c r="F34" s="541"/>
      <c r="G34" s="464"/>
      <c r="H34" s="542"/>
      <c r="I34" s="362">
        <f t="shared" si="0"/>
        <v>0</v>
      </c>
      <c r="J34" s="467"/>
      <c r="K34" s="204"/>
      <c r="L34" s="469">
        <f t="shared" si="1"/>
      </c>
      <c r="M34" s="470">
        <f t="shared" si="2"/>
      </c>
      <c r="N34" s="178"/>
      <c r="O34" s="273">
        <f t="shared" si="3"/>
      </c>
      <c r="P34" s="180">
        <f t="shared" si="4"/>
      </c>
      <c r="Q34" s="543">
        <f t="shared" si="5"/>
        <v>20</v>
      </c>
      <c r="R34" s="544" t="str">
        <f t="shared" si="6"/>
        <v>--</v>
      </c>
      <c r="S34" s="537" t="str">
        <f t="shared" si="7"/>
        <v>--</v>
      </c>
      <c r="T34" s="538" t="str">
        <f t="shared" si="8"/>
        <v>--</v>
      </c>
      <c r="U34" s="373" t="str">
        <f t="shared" si="9"/>
        <v>--</v>
      </c>
      <c r="V34" s="374" t="str">
        <f t="shared" si="10"/>
        <v>--</v>
      </c>
      <c r="W34" s="539" t="str">
        <f t="shared" si="11"/>
        <v>--</v>
      </c>
      <c r="X34" s="417" t="str">
        <f t="shared" si="12"/>
        <v>--</v>
      </c>
      <c r="Y34" s="180">
        <f t="shared" si="13"/>
      </c>
      <c r="Z34" s="473">
        <f t="shared" si="14"/>
      </c>
      <c r="AA34" s="60"/>
    </row>
    <row r="35" spans="2:27" s="8" customFormat="1" ht="16.5" customHeight="1">
      <c r="B35" s="55"/>
      <c r="C35" s="150"/>
      <c r="D35" s="150"/>
      <c r="E35" s="150"/>
      <c r="F35" s="541"/>
      <c r="G35" s="464"/>
      <c r="H35" s="542"/>
      <c r="I35" s="362">
        <f t="shared" si="0"/>
        <v>0</v>
      </c>
      <c r="J35" s="467"/>
      <c r="K35" s="204"/>
      <c r="L35" s="469">
        <f t="shared" si="1"/>
      </c>
      <c r="M35" s="470">
        <f t="shared" si="2"/>
      </c>
      <c r="N35" s="178"/>
      <c r="O35" s="273">
        <f t="shared" si="3"/>
      </c>
      <c r="P35" s="180">
        <f t="shared" si="4"/>
      </c>
      <c r="Q35" s="543">
        <f t="shared" si="5"/>
        <v>20</v>
      </c>
      <c r="R35" s="544" t="str">
        <f t="shared" si="6"/>
        <v>--</v>
      </c>
      <c r="S35" s="537" t="str">
        <f t="shared" si="7"/>
        <v>--</v>
      </c>
      <c r="T35" s="538" t="str">
        <f t="shared" si="8"/>
        <v>--</v>
      </c>
      <c r="U35" s="373" t="str">
        <f t="shared" si="9"/>
        <v>--</v>
      </c>
      <c r="V35" s="374" t="str">
        <f t="shared" si="10"/>
        <v>--</v>
      </c>
      <c r="W35" s="539" t="str">
        <f t="shared" si="11"/>
        <v>--</v>
      </c>
      <c r="X35" s="417" t="str">
        <f t="shared" si="12"/>
        <v>--</v>
      </c>
      <c r="Y35" s="180">
        <f t="shared" si="13"/>
      </c>
      <c r="Z35" s="473">
        <f t="shared" si="14"/>
      </c>
      <c r="AA35" s="60"/>
    </row>
    <row r="36" spans="2:27" s="8" customFormat="1" ht="16.5" customHeight="1">
      <c r="B36" s="55"/>
      <c r="C36" s="150"/>
      <c r="D36" s="150"/>
      <c r="E36" s="169"/>
      <c r="F36" s="541"/>
      <c r="G36" s="464"/>
      <c r="H36" s="542"/>
      <c r="I36" s="362">
        <f t="shared" si="0"/>
        <v>0</v>
      </c>
      <c r="J36" s="467"/>
      <c r="K36" s="204"/>
      <c r="L36" s="469">
        <f t="shared" si="1"/>
      </c>
      <c r="M36" s="470">
        <f t="shared" si="2"/>
      </c>
      <c r="N36" s="178"/>
      <c r="O36" s="273">
        <f t="shared" si="3"/>
      </c>
      <c r="P36" s="180">
        <f t="shared" si="4"/>
      </c>
      <c r="Q36" s="543">
        <f t="shared" si="5"/>
        <v>20</v>
      </c>
      <c r="R36" s="544" t="str">
        <f t="shared" si="6"/>
        <v>--</v>
      </c>
      <c r="S36" s="537" t="str">
        <f t="shared" si="7"/>
        <v>--</v>
      </c>
      <c r="T36" s="538" t="str">
        <f t="shared" si="8"/>
        <v>--</v>
      </c>
      <c r="U36" s="373" t="str">
        <f t="shared" si="9"/>
        <v>--</v>
      </c>
      <c r="V36" s="374" t="str">
        <f t="shared" si="10"/>
        <v>--</v>
      </c>
      <c r="W36" s="539" t="str">
        <f t="shared" si="11"/>
        <v>--</v>
      </c>
      <c r="X36" s="417" t="str">
        <f t="shared" si="12"/>
        <v>--</v>
      </c>
      <c r="Y36" s="180">
        <f t="shared" si="13"/>
      </c>
      <c r="Z36" s="473">
        <f t="shared" si="14"/>
      </c>
      <c r="AA36" s="60"/>
    </row>
    <row r="37" spans="2:27" s="8" customFormat="1" ht="16.5" customHeight="1">
      <c r="B37" s="55"/>
      <c r="C37" s="150"/>
      <c r="D37" s="150"/>
      <c r="E37" s="150"/>
      <c r="F37" s="541"/>
      <c r="G37" s="464"/>
      <c r="H37" s="542"/>
      <c r="I37" s="362">
        <f t="shared" si="0"/>
        <v>0</v>
      </c>
      <c r="J37" s="467"/>
      <c r="K37" s="204"/>
      <c r="L37" s="469">
        <f t="shared" si="1"/>
      </c>
      <c r="M37" s="470">
        <f t="shared" si="2"/>
      </c>
      <c r="N37" s="178"/>
      <c r="O37" s="273">
        <f t="shared" si="3"/>
      </c>
      <c r="P37" s="180">
        <f t="shared" si="4"/>
      </c>
      <c r="Q37" s="543">
        <f t="shared" si="5"/>
        <v>20</v>
      </c>
      <c r="R37" s="544" t="str">
        <f t="shared" si="6"/>
        <v>--</v>
      </c>
      <c r="S37" s="537" t="str">
        <f t="shared" si="7"/>
        <v>--</v>
      </c>
      <c r="T37" s="538" t="str">
        <f t="shared" si="8"/>
        <v>--</v>
      </c>
      <c r="U37" s="373" t="str">
        <f t="shared" si="9"/>
        <v>--</v>
      </c>
      <c r="V37" s="374" t="str">
        <f t="shared" si="10"/>
        <v>--</v>
      </c>
      <c r="W37" s="539" t="str">
        <f t="shared" si="11"/>
        <v>--</v>
      </c>
      <c r="X37" s="417" t="str">
        <f t="shared" si="12"/>
        <v>--</v>
      </c>
      <c r="Y37" s="180">
        <f t="shared" si="13"/>
      </c>
      <c r="Z37" s="473">
        <f t="shared" si="14"/>
      </c>
      <c r="AA37" s="60"/>
    </row>
    <row r="38" spans="2:27" s="8" customFormat="1" ht="16.5" customHeight="1">
      <c r="B38" s="55"/>
      <c r="C38" s="150"/>
      <c r="D38" s="150"/>
      <c r="E38" s="169"/>
      <c r="F38" s="541"/>
      <c r="G38" s="464"/>
      <c r="H38" s="542"/>
      <c r="I38" s="362">
        <f t="shared" si="0"/>
        <v>0</v>
      </c>
      <c r="J38" s="467"/>
      <c r="K38" s="204"/>
      <c r="L38" s="469">
        <f t="shared" si="1"/>
      </c>
      <c r="M38" s="470">
        <f t="shared" si="2"/>
      </c>
      <c r="N38" s="178"/>
      <c r="O38" s="273">
        <f t="shared" si="3"/>
      </c>
      <c r="P38" s="180">
        <f t="shared" si="4"/>
      </c>
      <c r="Q38" s="543">
        <f t="shared" si="5"/>
        <v>20</v>
      </c>
      <c r="R38" s="544" t="str">
        <f t="shared" si="6"/>
        <v>--</v>
      </c>
      <c r="S38" s="537" t="str">
        <f t="shared" si="7"/>
        <v>--</v>
      </c>
      <c r="T38" s="538" t="str">
        <f t="shared" si="8"/>
        <v>--</v>
      </c>
      <c r="U38" s="373" t="str">
        <f t="shared" si="9"/>
        <v>--</v>
      </c>
      <c r="V38" s="374" t="str">
        <f t="shared" si="10"/>
        <v>--</v>
      </c>
      <c r="W38" s="539" t="str">
        <f t="shared" si="11"/>
        <v>--</v>
      </c>
      <c r="X38" s="417" t="str">
        <f t="shared" si="12"/>
        <v>--</v>
      </c>
      <c r="Y38" s="180">
        <f t="shared" si="13"/>
      </c>
      <c r="Z38" s="473">
        <f t="shared" si="14"/>
      </c>
      <c r="AA38" s="60"/>
    </row>
    <row r="39" spans="2:27" s="8" customFormat="1" ht="16.5" customHeight="1">
      <c r="B39" s="55"/>
      <c r="C39" s="150"/>
      <c r="D39" s="150"/>
      <c r="E39" s="150"/>
      <c r="F39" s="541"/>
      <c r="G39" s="464"/>
      <c r="H39" s="542"/>
      <c r="I39" s="362">
        <f t="shared" si="0"/>
        <v>0</v>
      </c>
      <c r="J39" s="467"/>
      <c r="K39" s="204"/>
      <c r="L39" s="469">
        <f t="shared" si="1"/>
      </c>
      <c r="M39" s="470">
        <f t="shared" si="2"/>
      </c>
      <c r="N39" s="178"/>
      <c r="O39" s="273">
        <f t="shared" si="3"/>
      </c>
      <c r="P39" s="180">
        <f t="shared" si="4"/>
      </c>
      <c r="Q39" s="543">
        <f t="shared" si="5"/>
        <v>20</v>
      </c>
      <c r="R39" s="544" t="str">
        <f t="shared" si="6"/>
        <v>--</v>
      </c>
      <c r="S39" s="537" t="str">
        <f t="shared" si="7"/>
        <v>--</v>
      </c>
      <c r="T39" s="538" t="str">
        <f t="shared" si="8"/>
        <v>--</v>
      </c>
      <c r="U39" s="373" t="str">
        <f t="shared" si="9"/>
        <v>--</v>
      </c>
      <c r="V39" s="374" t="str">
        <f t="shared" si="10"/>
        <v>--</v>
      </c>
      <c r="W39" s="539" t="str">
        <f t="shared" si="11"/>
        <v>--</v>
      </c>
      <c r="X39" s="417" t="str">
        <f t="shared" si="12"/>
        <v>--</v>
      </c>
      <c r="Y39" s="180">
        <f t="shared" si="13"/>
      </c>
      <c r="Z39" s="473">
        <f t="shared" si="14"/>
      </c>
      <c r="AA39" s="60"/>
    </row>
    <row r="40" spans="2:27" s="8" customFormat="1" ht="16.5" customHeight="1">
      <c r="B40" s="55"/>
      <c r="C40" s="150"/>
      <c r="D40" s="150"/>
      <c r="E40" s="169"/>
      <c r="F40" s="541"/>
      <c r="G40" s="464"/>
      <c r="H40" s="542"/>
      <c r="I40" s="362">
        <f t="shared" si="0"/>
        <v>0</v>
      </c>
      <c r="J40" s="467"/>
      <c r="K40" s="204"/>
      <c r="L40" s="469">
        <f t="shared" si="1"/>
      </c>
      <c r="M40" s="470">
        <f t="shared" si="2"/>
      </c>
      <c r="N40" s="178"/>
      <c r="O40" s="273">
        <f t="shared" si="3"/>
      </c>
      <c r="P40" s="180">
        <f t="shared" si="4"/>
      </c>
      <c r="Q40" s="543">
        <f t="shared" si="5"/>
        <v>20</v>
      </c>
      <c r="R40" s="544" t="str">
        <f t="shared" si="6"/>
        <v>--</v>
      </c>
      <c r="S40" s="537" t="str">
        <f t="shared" si="7"/>
        <v>--</v>
      </c>
      <c r="T40" s="538" t="str">
        <f t="shared" si="8"/>
        <v>--</v>
      </c>
      <c r="U40" s="373" t="str">
        <f t="shared" si="9"/>
        <v>--</v>
      </c>
      <c r="V40" s="374" t="str">
        <f t="shared" si="10"/>
        <v>--</v>
      </c>
      <c r="W40" s="539" t="str">
        <f t="shared" si="11"/>
        <v>--</v>
      </c>
      <c r="X40" s="417" t="str">
        <f t="shared" si="12"/>
        <v>--</v>
      </c>
      <c r="Y40" s="180">
        <f t="shared" si="13"/>
      </c>
      <c r="Z40" s="473">
        <f t="shared" si="14"/>
      </c>
      <c r="AA40" s="60"/>
    </row>
    <row r="41" spans="2:27" s="8" customFormat="1" ht="16.5" customHeight="1">
      <c r="B41" s="55"/>
      <c r="C41" s="150"/>
      <c r="D41" s="150"/>
      <c r="E41" s="150"/>
      <c r="F41" s="541"/>
      <c r="G41" s="464"/>
      <c r="H41" s="542"/>
      <c r="I41" s="362">
        <f t="shared" si="0"/>
        <v>0</v>
      </c>
      <c r="J41" s="467"/>
      <c r="K41" s="204"/>
      <c r="L41" s="469">
        <f t="shared" si="1"/>
      </c>
      <c r="M41" s="470">
        <f t="shared" si="2"/>
      </c>
      <c r="N41" s="178"/>
      <c r="O41" s="273">
        <f t="shared" si="3"/>
      </c>
      <c r="P41" s="180">
        <f t="shared" si="4"/>
      </c>
      <c r="Q41" s="543">
        <f t="shared" si="5"/>
        <v>20</v>
      </c>
      <c r="R41" s="544" t="str">
        <f t="shared" si="6"/>
        <v>--</v>
      </c>
      <c r="S41" s="537" t="str">
        <f t="shared" si="7"/>
        <v>--</v>
      </c>
      <c r="T41" s="538" t="str">
        <f t="shared" si="8"/>
        <v>--</v>
      </c>
      <c r="U41" s="373" t="str">
        <f t="shared" si="9"/>
        <v>--</v>
      </c>
      <c r="V41" s="374" t="str">
        <f t="shared" si="10"/>
        <v>--</v>
      </c>
      <c r="W41" s="539" t="str">
        <f t="shared" si="11"/>
        <v>--</v>
      </c>
      <c r="X41" s="417" t="str">
        <f t="shared" si="12"/>
        <v>--</v>
      </c>
      <c r="Y41" s="180">
        <f t="shared" si="13"/>
      </c>
      <c r="Z41" s="473">
        <f t="shared" si="14"/>
      </c>
      <c r="AA41" s="60"/>
    </row>
    <row r="42" spans="2:27" s="8" customFormat="1" ht="16.5" customHeight="1" thickBot="1">
      <c r="B42" s="55"/>
      <c r="C42" s="546"/>
      <c r="D42" s="546"/>
      <c r="E42" s="546"/>
      <c r="F42" s="546"/>
      <c r="G42" s="546"/>
      <c r="H42" s="546"/>
      <c r="I42" s="382"/>
      <c r="J42" s="474"/>
      <c r="K42" s="474"/>
      <c r="L42" s="475"/>
      <c r="M42" s="475"/>
      <c r="N42" s="474"/>
      <c r="O42" s="216"/>
      <c r="P42" s="215"/>
      <c r="Q42" s="547"/>
      <c r="R42" s="548"/>
      <c r="S42" s="549"/>
      <c r="T42" s="550"/>
      <c r="U42" s="394"/>
      <c r="V42" s="395"/>
      <c r="W42" s="551"/>
      <c r="X42" s="551"/>
      <c r="Y42" s="215"/>
      <c r="Z42" s="552"/>
      <c r="AA42" s="60"/>
    </row>
    <row r="43" spans="2:27" s="8" customFormat="1" ht="16.5" customHeight="1" thickBot="1" thickTop="1">
      <c r="B43" s="55"/>
      <c r="C43" s="229" t="s">
        <v>322</v>
      </c>
      <c r="D43" s="270" t="s">
        <v>365</v>
      </c>
      <c r="E43" s="229"/>
      <c r="F43" s="230"/>
      <c r="I43" s="11"/>
      <c r="J43" s="11"/>
      <c r="K43" s="11"/>
      <c r="L43" s="11"/>
      <c r="M43" s="11"/>
      <c r="N43" s="11"/>
      <c r="O43" s="11"/>
      <c r="P43" s="11"/>
      <c r="Q43" s="11"/>
      <c r="R43" s="553">
        <f aca="true" t="shared" si="15" ref="R43:X43">SUM(R20:R42)</f>
        <v>37973.76</v>
      </c>
      <c r="S43" s="554">
        <f t="shared" si="15"/>
        <v>0</v>
      </c>
      <c r="T43" s="555">
        <f t="shared" si="15"/>
        <v>0</v>
      </c>
      <c r="U43" s="404">
        <f t="shared" si="15"/>
        <v>0</v>
      </c>
      <c r="V43" s="405">
        <f t="shared" si="15"/>
        <v>0</v>
      </c>
      <c r="W43" s="556">
        <f t="shared" si="15"/>
        <v>0</v>
      </c>
      <c r="X43" s="556">
        <f t="shared" si="15"/>
        <v>0</v>
      </c>
      <c r="Z43" s="487">
        <f>ROUND(SUM(Z20:Z42),2)</f>
        <v>37973.76</v>
      </c>
      <c r="AA43" s="557"/>
    </row>
    <row r="44" spans="2:27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6"/>
    </row>
    <row r="45" spans="6:29" ht="16.5" customHeight="1" thickTop="1">
      <c r="F45" s="558"/>
      <c r="G45" s="558"/>
      <c r="H45" s="558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</row>
    <row r="46" spans="6:29" ht="16.5" customHeight="1">
      <c r="F46" s="558"/>
      <c r="G46" s="558"/>
      <c r="H46" s="558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</row>
    <row r="47" spans="6:29" ht="16.5" customHeight="1">
      <c r="F47" s="558"/>
      <c r="G47" s="558"/>
      <c r="H47" s="558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</row>
    <row r="48" spans="6:29" ht="16.5" customHeight="1">
      <c r="F48" s="558"/>
      <c r="G48" s="558"/>
      <c r="H48" s="558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</row>
    <row r="49" spans="6:29" ht="16.5" customHeight="1">
      <c r="F49" s="558"/>
      <c r="G49" s="558"/>
      <c r="H49" s="558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</row>
    <row r="50" spans="6:29" ht="16.5" customHeight="1">
      <c r="F50" s="558"/>
      <c r="G50" s="558"/>
      <c r="H50" s="558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</row>
    <row r="51" spans="6:29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</row>
    <row r="52" spans="6:29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</row>
    <row r="53" spans="6:29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</row>
    <row r="54" spans="6:29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</row>
    <row r="55" spans="6:29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</row>
    <row r="56" spans="6:29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</row>
    <row r="57" spans="6:29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</row>
    <row r="58" spans="6:29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</row>
    <row r="59" spans="6:29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</row>
    <row r="60" spans="6:29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</row>
    <row r="61" spans="6:29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</row>
    <row r="62" spans="6:29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</row>
    <row r="63" spans="6:29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</row>
    <row r="64" spans="6:29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</row>
    <row r="65" spans="6:29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</row>
    <row r="66" spans="6:29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</row>
    <row r="67" spans="6:29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</row>
    <row r="68" spans="6:29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</row>
    <row r="69" spans="6:29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</row>
    <row r="70" spans="6:29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</row>
    <row r="71" spans="6:29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</row>
    <row r="72" spans="6:29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</row>
    <row r="73" spans="6:29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</row>
    <row r="74" spans="6:29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</row>
    <row r="75" spans="6:29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</row>
    <row r="76" spans="6:29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</row>
    <row r="77" spans="6:29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</row>
    <row r="78" spans="6:29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</row>
    <row r="79" spans="6:29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</row>
    <row r="80" spans="6:29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</row>
    <row r="81" spans="6:29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</row>
    <row r="82" spans="6:29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</row>
    <row r="83" spans="6:29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</row>
    <row r="84" spans="6:29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</row>
    <row r="85" spans="6:29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</row>
    <row r="86" spans="6:29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</row>
    <row r="87" spans="6:29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</row>
    <row r="88" spans="6:29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</row>
    <row r="89" spans="6:29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</row>
    <row r="90" spans="6:29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</row>
    <row r="91" spans="6:29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</row>
    <row r="92" spans="6:29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</row>
    <row r="93" spans="6:29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</row>
    <row r="94" spans="6:29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</row>
    <row r="95" spans="6:29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</row>
    <row r="96" spans="6:29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</row>
    <row r="97" spans="6:29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</row>
    <row r="98" spans="6:29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</row>
    <row r="99" spans="6:29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</row>
    <row r="100" spans="6:29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</row>
    <row r="101" spans="6:29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</row>
    <row r="102" spans="6:29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</row>
    <row r="103" spans="6:29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</row>
    <row r="104" spans="6:29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</row>
    <row r="105" spans="6:29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</row>
    <row r="106" spans="6:29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</row>
    <row r="107" spans="6:29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</row>
    <row r="108" spans="6:29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</row>
    <row r="109" spans="6:29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</row>
    <row r="110" spans="6:29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</row>
    <row r="111" spans="6:29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</row>
    <row r="112" spans="6:29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</row>
    <row r="113" spans="6:29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</row>
    <row r="114" spans="6:29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</row>
    <row r="115" spans="6:29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</row>
    <row r="116" spans="6:29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</row>
    <row r="117" spans="6:29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</row>
    <row r="118" spans="6:29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</row>
    <row r="119" spans="6:29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</row>
    <row r="120" spans="6:29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</row>
    <row r="121" spans="6:29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</row>
    <row r="122" spans="6:29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</row>
    <row r="123" spans="6:29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</row>
    <row r="124" spans="6:29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</row>
    <row r="125" spans="6:29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</row>
    <row r="126" spans="6:29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</row>
    <row r="127" spans="6:29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</row>
    <row r="128" spans="6:29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</row>
    <row r="129" spans="6:29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</row>
    <row r="130" spans="6:29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</row>
    <row r="131" spans="6:29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</row>
    <row r="132" spans="6:29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</row>
    <row r="133" spans="6:29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</row>
    <row r="134" spans="6:29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</row>
    <row r="135" spans="6:29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</row>
    <row r="136" spans="6:29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</row>
    <row r="137" spans="6:29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</row>
    <row r="138" spans="6:29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</row>
    <row r="139" spans="6:29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</row>
    <row r="140" spans="6:29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</row>
    <row r="141" spans="6:29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</row>
    <row r="142" spans="6:29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</row>
    <row r="143" spans="6:29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</row>
    <row r="144" spans="6:29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</row>
    <row r="145" spans="6:29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</row>
    <row r="146" spans="6:29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</row>
    <row r="147" spans="6:29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</row>
    <row r="148" spans="6:29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</row>
    <row r="149" spans="6:29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</row>
    <row r="150" spans="6:29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</row>
    <row r="151" spans="6:29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</row>
    <row r="152" spans="6:29" ht="16.5" customHeight="1">
      <c r="F152" s="413"/>
      <c r="G152" s="413"/>
      <c r="H152" s="413"/>
      <c r="AB152" s="413"/>
      <c r="AC152" s="413"/>
    </row>
    <row r="153" spans="6:8" ht="16.5" customHeight="1">
      <c r="F153" s="413"/>
      <c r="G153" s="413"/>
      <c r="H153" s="413"/>
    </row>
    <row r="154" spans="6:8" ht="16.5" customHeight="1">
      <c r="F154" s="413"/>
      <c r="G154" s="413"/>
      <c r="H154" s="413"/>
    </row>
    <row r="155" spans="6:8" ht="16.5" customHeight="1">
      <c r="F155" s="413"/>
      <c r="G155" s="413"/>
      <c r="H155" s="413"/>
    </row>
    <row r="156" spans="6:8" ht="16.5" customHeight="1">
      <c r="F156" s="413"/>
      <c r="G156" s="413"/>
      <c r="H156" s="413"/>
    </row>
    <row r="157" spans="6:8" ht="16.5" customHeight="1">
      <c r="F157" s="413"/>
      <c r="G157" s="413"/>
      <c r="H157" s="413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25" right="0.25" top="0.75" bottom="0.75" header="0.3" footer="0.3"/>
  <pageSetup fitToHeight="1" fitToWidth="1" horizontalDpi="1200" verticalDpi="12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AG95"/>
  <sheetViews>
    <sheetView zoomScale="70" zoomScaleNormal="70" zoomScalePageLayoutView="0" workbookViewId="0" topLeftCell="A1">
      <selection activeCell="F55" sqref="F55:G55"/>
    </sheetView>
  </sheetViews>
  <sheetFormatPr defaultColWidth="11.421875" defaultRowHeight="12.75"/>
  <cols>
    <col min="1" max="1" width="25.00390625" style="1345" customWidth="1"/>
    <col min="2" max="2" width="17.140625" style="1345" customWidth="1"/>
    <col min="3" max="3" width="4.7109375" style="1345" customWidth="1"/>
    <col min="4" max="4" width="30.7109375" style="1345" customWidth="1"/>
    <col min="5" max="6" width="17.57421875" style="1345" customWidth="1"/>
    <col min="7" max="7" width="15.00390625" style="1345" customWidth="1"/>
    <col min="8" max="8" width="7.421875" style="1345" hidden="1" customWidth="1"/>
    <col min="9" max="9" width="8.57421875" style="1345" hidden="1" customWidth="1"/>
    <col min="10" max="11" width="18.7109375" style="1345" customWidth="1"/>
    <col min="12" max="12" width="11.8515625" style="1345" customWidth="1"/>
    <col min="13" max="13" width="11.57421875" style="1345" customWidth="1"/>
    <col min="14" max="14" width="9.7109375" style="1345" customWidth="1"/>
    <col min="15" max="15" width="10.57421875" style="1345" customWidth="1"/>
    <col min="16" max="16" width="8.421875" style="1345" customWidth="1"/>
    <col min="17" max="17" width="5.421875" style="1345" bestFit="1" customWidth="1"/>
    <col min="18" max="18" width="11.28125" style="1345" hidden="1" customWidth="1"/>
    <col min="19" max="19" width="11.8515625" style="1345" hidden="1" customWidth="1"/>
    <col min="20" max="21" width="5.28125" style="1345" hidden="1" customWidth="1"/>
    <col min="22" max="22" width="11.57421875" style="1345" hidden="1" customWidth="1"/>
    <col min="23" max="23" width="5.28125" style="1345" hidden="1" customWidth="1"/>
    <col min="24" max="24" width="11.57421875" style="1345" hidden="1" customWidth="1"/>
    <col min="25" max="25" width="11.28125" style="1345" hidden="1" customWidth="1"/>
    <col min="26" max="27" width="5.28125" style="1345" hidden="1" customWidth="1"/>
    <col min="28" max="28" width="10.57421875" style="1345" customWidth="1"/>
    <col min="29" max="29" width="19.8515625" style="1345" customWidth="1"/>
    <col min="30" max="30" width="17.7109375" style="1345" customWidth="1"/>
    <col min="31" max="31" width="4.140625" style="1345" customWidth="1"/>
    <col min="32" max="32" width="7.140625" style="1345" customWidth="1"/>
    <col min="33" max="33" width="5.28125" style="1345" customWidth="1"/>
    <col min="34" max="34" width="5.421875" style="1345" customWidth="1"/>
    <col min="35" max="35" width="4.7109375" style="1345" customWidth="1"/>
    <col min="36" max="36" width="5.28125" style="1345" customWidth="1"/>
    <col min="37" max="38" width="13.28125" style="1345" customWidth="1"/>
    <col min="39" max="39" width="6.57421875" style="1345" customWidth="1"/>
    <col min="40" max="40" width="6.421875" style="1345" customWidth="1"/>
    <col min="41" max="44" width="11.421875" style="1345" customWidth="1"/>
    <col min="45" max="45" width="12.7109375" style="1345" customWidth="1"/>
    <col min="46" max="48" width="11.421875" style="1345" customWidth="1"/>
    <col min="49" max="49" width="21.00390625" style="1345" customWidth="1"/>
    <col min="50" max="16384" width="11.421875" style="1345" customWidth="1"/>
  </cols>
  <sheetData>
    <row r="1" spans="1:30" ht="13.5">
      <c r="A1" s="1343"/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4"/>
      <c r="T1" s="1344"/>
      <c r="U1" s="1344"/>
      <c r="V1" s="1344"/>
      <c r="AD1" s="1346"/>
    </row>
    <row r="2" spans="1:23" ht="27" customHeight="1">
      <c r="A2" s="1343"/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  <c r="T2" s="1344"/>
      <c r="U2" s="1344"/>
      <c r="V2" s="1344"/>
      <c r="W2" s="1344"/>
    </row>
    <row r="3" spans="1:30" s="1350" customFormat="1" ht="30.75">
      <c r="A3" s="1347"/>
      <c r="B3" s="1348" t="str">
        <f>'TOT-1215'!B14</f>
        <v>Desde el 01 al 31 de diciembre de 2015</v>
      </c>
      <c r="C3" s="1349"/>
      <c r="D3" s="1349"/>
      <c r="E3" s="1349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  <c r="S3" s="1349"/>
      <c r="T3" s="1349"/>
      <c r="U3" s="1349"/>
      <c r="V3" s="1349"/>
      <c r="W3" s="1349"/>
      <c r="AB3" s="1349"/>
      <c r="AC3" s="1349"/>
      <c r="AD3" s="1349"/>
    </row>
    <row r="4" spans="1:2" s="1353" customFormat="1" ht="11.25">
      <c r="A4" s="1351" t="s">
        <v>2</v>
      </c>
      <c r="B4" s="1352"/>
    </row>
    <row r="5" spans="1:2" s="1353" customFormat="1" ht="12" thickBot="1">
      <c r="A5" s="1351" t="s">
        <v>3</v>
      </c>
      <c r="B5" s="1351"/>
    </row>
    <row r="6" spans="1:30" ht="16.5" customHeight="1" thickTop="1">
      <c r="A6" s="1344"/>
      <c r="B6" s="1354"/>
      <c r="C6" s="1355"/>
      <c r="D6" s="1355"/>
      <c r="E6" s="1356"/>
      <c r="F6" s="1355"/>
      <c r="G6" s="1355"/>
      <c r="H6" s="1355"/>
      <c r="I6" s="1355"/>
      <c r="J6" s="1355"/>
      <c r="K6" s="1355"/>
      <c r="L6" s="1355"/>
      <c r="M6" s="1355"/>
      <c r="N6" s="1355"/>
      <c r="O6" s="1355"/>
      <c r="P6" s="1355"/>
      <c r="Q6" s="1355"/>
      <c r="R6" s="1355"/>
      <c r="S6" s="1355"/>
      <c r="T6" s="1355"/>
      <c r="U6" s="1355"/>
      <c r="V6" s="1355"/>
      <c r="W6" s="1357"/>
      <c r="X6" s="1357"/>
      <c r="Y6" s="1357"/>
      <c r="Z6" s="1357"/>
      <c r="AA6" s="1357"/>
      <c r="AB6" s="1357"/>
      <c r="AC6" s="1357"/>
      <c r="AD6" s="1358"/>
    </row>
    <row r="7" spans="1:30" ht="20.25">
      <c r="A7" s="1344"/>
      <c r="B7" s="1359"/>
      <c r="C7" s="1360"/>
      <c r="D7" s="1361" t="s">
        <v>78</v>
      </c>
      <c r="E7" s="1360"/>
      <c r="F7" s="1360"/>
      <c r="G7" s="1360"/>
      <c r="H7" s="1360"/>
      <c r="I7" s="1360"/>
      <c r="J7" s="1360"/>
      <c r="K7" s="1360"/>
      <c r="L7" s="1360"/>
      <c r="M7" s="1360"/>
      <c r="N7" s="1360"/>
      <c r="O7" s="1360"/>
      <c r="P7" s="1362"/>
      <c r="Q7" s="1362"/>
      <c r="R7" s="1360"/>
      <c r="S7" s="1360"/>
      <c r="T7" s="1360"/>
      <c r="U7" s="1360"/>
      <c r="V7" s="1360"/>
      <c r="AD7" s="1363"/>
    </row>
    <row r="8" spans="1:30" ht="16.5" customHeight="1">
      <c r="A8" s="1344"/>
      <c r="B8" s="1359"/>
      <c r="C8" s="1360"/>
      <c r="D8" s="1360"/>
      <c r="E8" s="1360"/>
      <c r="F8" s="1360"/>
      <c r="G8" s="1360"/>
      <c r="H8" s="1360"/>
      <c r="I8" s="1360"/>
      <c r="J8" s="1360"/>
      <c r="K8" s="1360"/>
      <c r="L8" s="1360"/>
      <c r="M8" s="1360"/>
      <c r="N8" s="1360"/>
      <c r="O8" s="1360"/>
      <c r="P8" s="1360"/>
      <c r="Q8" s="1360"/>
      <c r="R8" s="1360"/>
      <c r="S8" s="1360"/>
      <c r="T8" s="1360"/>
      <c r="U8" s="1360"/>
      <c r="V8" s="1360"/>
      <c r="AD8" s="1363"/>
    </row>
    <row r="9" spans="2:30" s="1364" customFormat="1" ht="20.25">
      <c r="B9" s="1365"/>
      <c r="C9" s="1366"/>
      <c r="D9" s="1361" t="s">
        <v>79</v>
      </c>
      <c r="E9" s="1366"/>
      <c r="F9" s="1366"/>
      <c r="G9" s="1366"/>
      <c r="H9" s="1366"/>
      <c r="N9" s="1366"/>
      <c r="O9" s="1366"/>
      <c r="P9" s="1367"/>
      <c r="Q9" s="1367"/>
      <c r="R9" s="1366"/>
      <c r="S9" s="1366"/>
      <c r="T9" s="1366"/>
      <c r="U9" s="1366"/>
      <c r="V9" s="1366"/>
      <c r="W9" s="1345"/>
      <c r="X9" s="1366"/>
      <c r="Y9" s="1366"/>
      <c r="Z9" s="1366"/>
      <c r="AA9" s="1366"/>
      <c r="AB9" s="1366"/>
      <c r="AC9" s="1345"/>
      <c r="AD9" s="1368"/>
    </row>
    <row r="10" spans="1:30" ht="16.5" customHeight="1">
      <c r="A10" s="1344"/>
      <c r="B10" s="1359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AD10" s="1363"/>
    </row>
    <row r="11" spans="2:30" s="1364" customFormat="1" ht="20.25">
      <c r="B11" s="1365"/>
      <c r="C11" s="1366"/>
      <c r="D11" s="1361" t="s">
        <v>371</v>
      </c>
      <c r="E11" s="1366"/>
      <c r="F11" s="1366"/>
      <c r="G11" s="1366"/>
      <c r="H11" s="1366"/>
      <c r="N11" s="1366"/>
      <c r="O11" s="1366"/>
      <c r="P11" s="1367"/>
      <c r="Q11" s="1367"/>
      <c r="R11" s="1366"/>
      <c r="S11" s="1366"/>
      <c r="T11" s="1366"/>
      <c r="U11" s="1366"/>
      <c r="V11" s="1366"/>
      <c r="W11" s="1345"/>
      <c r="X11" s="1366"/>
      <c r="Y11" s="1366"/>
      <c r="Z11" s="1366"/>
      <c r="AA11" s="1366"/>
      <c r="AB11" s="1366"/>
      <c r="AC11" s="1345"/>
      <c r="AD11" s="1368"/>
    </row>
    <row r="12" spans="1:30" ht="16.5" customHeight="1">
      <c r="A12" s="1344"/>
      <c r="B12" s="1359"/>
      <c r="C12" s="1360"/>
      <c r="D12" s="1360"/>
      <c r="E12" s="1344"/>
      <c r="F12" s="1344"/>
      <c r="G12" s="1344"/>
      <c r="H12" s="1344"/>
      <c r="I12" s="1369"/>
      <c r="J12" s="1369"/>
      <c r="K12" s="1369"/>
      <c r="L12" s="1369"/>
      <c r="M12" s="1369"/>
      <c r="N12" s="1369"/>
      <c r="O12" s="1369"/>
      <c r="P12" s="1369"/>
      <c r="Q12" s="1369"/>
      <c r="R12" s="1360"/>
      <c r="S12" s="1360"/>
      <c r="T12" s="1360"/>
      <c r="U12" s="1360"/>
      <c r="V12" s="1360"/>
      <c r="AD12" s="1363"/>
    </row>
    <row r="13" spans="2:30" s="1364" customFormat="1" ht="19.5">
      <c r="B13" s="1370" t="str">
        <f>'TOT-1215'!B14</f>
        <v>Desde el 01 al 31 de diciembre de 2015</v>
      </c>
      <c r="C13" s="1371"/>
      <c r="D13" s="1372"/>
      <c r="E13" s="1372"/>
      <c r="F13" s="1372"/>
      <c r="G13" s="1372"/>
      <c r="H13" s="1372"/>
      <c r="I13" s="1373"/>
      <c r="J13" s="1374"/>
      <c r="K13" s="1373"/>
      <c r="L13" s="1373"/>
      <c r="M13" s="1373"/>
      <c r="N13" s="1373"/>
      <c r="O13" s="1373"/>
      <c r="P13" s="1373"/>
      <c r="Q13" s="1373"/>
      <c r="R13" s="1373"/>
      <c r="S13" s="1373"/>
      <c r="T13" s="1373"/>
      <c r="U13" s="1375"/>
      <c r="V13" s="1375"/>
      <c r="W13" s="1345"/>
      <c r="X13" s="1376"/>
      <c r="Y13" s="1376"/>
      <c r="Z13" s="1376"/>
      <c r="AA13" s="1376"/>
      <c r="AB13" s="1375"/>
      <c r="AC13" s="1374"/>
      <c r="AD13" s="1377"/>
    </row>
    <row r="14" spans="1:30" ht="16.5" customHeight="1">
      <c r="A14" s="1344"/>
      <c r="B14" s="1359"/>
      <c r="C14" s="1360"/>
      <c r="D14" s="1360"/>
      <c r="E14" s="1378"/>
      <c r="F14" s="1378"/>
      <c r="G14" s="1360"/>
      <c r="H14" s="1360"/>
      <c r="I14" s="1360"/>
      <c r="J14" s="1379"/>
      <c r="K14" s="1360"/>
      <c r="L14" s="1360"/>
      <c r="M14" s="1360"/>
      <c r="N14" s="1344"/>
      <c r="O14" s="1344"/>
      <c r="P14" s="1360"/>
      <c r="Q14" s="1360"/>
      <c r="R14" s="1360"/>
      <c r="S14" s="1360"/>
      <c r="T14" s="1360"/>
      <c r="U14" s="1360"/>
      <c r="V14" s="1360"/>
      <c r="AD14" s="1363"/>
    </row>
    <row r="15" spans="1:30" ht="16.5" customHeight="1">
      <c r="A15" s="1344"/>
      <c r="B15" s="1359"/>
      <c r="C15" s="1360"/>
      <c r="D15" s="1360"/>
      <c r="E15" s="1378"/>
      <c r="F15" s="1378"/>
      <c r="G15" s="1360"/>
      <c r="H15" s="1360"/>
      <c r="I15" s="1380"/>
      <c r="J15" s="1360"/>
      <c r="K15" s="1381"/>
      <c r="M15" s="1360"/>
      <c r="N15" s="1344"/>
      <c r="O15" s="1344"/>
      <c r="P15" s="1360"/>
      <c r="Q15" s="1360"/>
      <c r="R15" s="1360"/>
      <c r="S15" s="1360"/>
      <c r="T15" s="1360"/>
      <c r="U15" s="1360"/>
      <c r="V15" s="1360"/>
      <c r="AD15" s="1363"/>
    </row>
    <row r="16" spans="1:30" ht="16.5" customHeight="1">
      <c r="A16" s="1344"/>
      <c r="B16" s="1359"/>
      <c r="C16" s="1360"/>
      <c r="D16" s="1360"/>
      <c r="E16" s="1378"/>
      <c r="F16" s="1378"/>
      <c r="G16" s="1360"/>
      <c r="H16" s="1360"/>
      <c r="I16" s="1380"/>
      <c r="J16" s="1360"/>
      <c r="K16" s="1381"/>
      <c r="M16" s="1360"/>
      <c r="N16" s="1344"/>
      <c r="O16" s="1344"/>
      <c r="P16" s="1360"/>
      <c r="Q16" s="1360"/>
      <c r="R16" s="1360"/>
      <c r="S16" s="1360"/>
      <c r="T16" s="1360"/>
      <c r="U16" s="1360"/>
      <c r="V16" s="1360"/>
      <c r="AD16" s="1363"/>
    </row>
    <row r="17" spans="1:30" ht="16.5" customHeight="1">
      <c r="A17" s="1344"/>
      <c r="B17" s="1359"/>
      <c r="C17" s="1382" t="s">
        <v>80</v>
      </c>
      <c r="D17" s="1383" t="s">
        <v>81</v>
      </c>
      <c r="E17" s="1378"/>
      <c r="F17" s="1378"/>
      <c r="G17" s="1360"/>
      <c r="H17" s="1360"/>
      <c r="I17" s="1360"/>
      <c r="J17" s="1379"/>
      <c r="K17" s="1360"/>
      <c r="L17" s="1360"/>
      <c r="M17" s="1360"/>
      <c r="N17" s="1344"/>
      <c r="O17" s="1344"/>
      <c r="P17" s="1360"/>
      <c r="Q17" s="1360"/>
      <c r="R17" s="1360"/>
      <c r="S17" s="1360"/>
      <c r="T17" s="1360"/>
      <c r="U17" s="1360"/>
      <c r="V17" s="1360"/>
      <c r="AD17" s="1363"/>
    </row>
    <row r="18" spans="2:30" s="1384" customFormat="1" ht="16.5" customHeight="1">
      <c r="B18" s="1385"/>
      <c r="C18" s="1386"/>
      <c r="D18" s="1387"/>
      <c r="E18" s="1388"/>
      <c r="F18" s="1389"/>
      <c r="G18" s="1386"/>
      <c r="H18" s="1386"/>
      <c r="I18" s="1386"/>
      <c r="J18" s="1390"/>
      <c r="K18" s="1386"/>
      <c r="L18" s="1386"/>
      <c r="M18" s="1386"/>
      <c r="P18" s="1386"/>
      <c r="Q18" s="1386"/>
      <c r="R18" s="1386"/>
      <c r="S18" s="1386"/>
      <c r="T18" s="1386"/>
      <c r="U18" s="1386"/>
      <c r="V18" s="1386"/>
      <c r="W18" s="1345"/>
      <c r="AD18" s="1391"/>
    </row>
    <row r="19" spans="2:30" s="1384" customFormat="1" ht="16.5" customHeight="1">
      <c r="B19" s="1385"/>
      <c r="C19" s="1386"/>
      <c r="D19" s="1392" t="s">
        <v>82</v>
      </c>
      <c r="F19" s="1393">
        <v>506.119</v>
      </c>
      <c r="G19" s="1392" t="s">
        <v>83</v>
      </c>
      <c r="H19" s="1386"/>
      <c r="I19" s="1386"/>
      <c r="J19" s="1394"/>
      <c r="K19" s="1395" t="s">
        <v>84</v>
      </c>
      <c r="L19" s="1396">
        <v>0.025</v>
      </c>
      <c r="R19" s="1386"/>
      <c r="S19" s="1386"/>
      <c r="T19" s="1386"/>
      <c r="U19" s="1386"/>
      <c r="V19" s="1386"/>
      <c r="W19" s="1345"/>
      <c r="AD19" s="1391"/>
    </row>
    <row r="20" spans="2:30" s="1384" customFormat="1" ht="16.5" customHeight="1">
      <c r="B20" s="1385"/>
      <c r="C20" s="1386"/>
      <c r="D20" s="1392" t="s">
        <v>85</v>
      </c>
      <c r="F20" s="1393">
        <v>1.391</v>
      </c>
      <c r="G20" s="1392" t="s">
        <v>86</v>
      </c>
      <c r="H20" s="1386"/>
      <c r="I20" s="1386"/>
      <c r="J20" s="1386"/>
      <c r="K20" s="1387" t="s">
        <v>87</v>
      </c>
      <c r="L20" s="1386">
        <f>MID(B13,16,2)*24</f>
        <v>744</v>
      </c>
      <c r="M20" s="1386" t="s">
        <v>88</v>
      </c>
      <c r="N20" s="1386"/>
      <c r="O20" s="1386"/>
      <c r="P20" s="1397"/>
      <c r="Q20" s="1386"/>
      <c r="R20" s="1386"/>
      <c r="S20" s="1386"/>
      <c r="T20" s="1386"/>
      <c r="U20" s="1386"/>
      <c r="V20" s="1386"/>
      <c r="W20" s="1345"/>
      <c r="AD20" s="1391"/>
    </row>
    <row r="21" spans="2:30" s="1384" customFormat="1" ht="16.5" customHeight="1">
      <c r="B21" s="1385"/>
      <c r="C21" s="1386"/>
      <c r="D21" s="1392" t="s">
        <v>120</v>
      </c>
      <c r="F21" s="1393">
        <v>220.831</v>
      </c>
      <c r="G21" s="1392" t="s">
        <v>121</v>
      </c>
      <c r="H21" s="1386"/>
      <c r="I21" s="1386"/>
      <c r="J21" s="1386"/>
      <c r="K21" s="1398"/>
      <c r="L21" s="1399"/>
      <c r="M21" s="1386"/>
      <c r="N21" s="1386"/>
      <c r="O21" s="1386"/>
      <c r="P21" s="1397"/>
      <c r="Q21" s="1386"/>
      <c r="R21" s="1386"/>
      <c r="S21" s="1386"/>
      <c r="T21" s="1386"/>
      <c r="U21" s="1386"/>
      <c r="V21" s="1386"/>
      <c r="W21" s="1345"/>
      <c r="AD21" s="1391"/>
    </row>
    <row r="22" spans="2:30" s="1384" customFormat="1" ht="16.5" customHeight="1">
      <c r="B22" s="1385"/>
      <c r="C22" s="1386"/>
      <c r="D22" s="1392" t="s">
        <v>122</v>
      </c>
      <c r="F22" s="1393">
        <v>276.033</v>
      </c>
      <c r="G22" s="1392" t="s">
        <v>121</v>
      </c>
      <c r="H22" s="1386"/>
      <c r="I22" s="1386"/>
      <c r="J22" s="1386"/>
      <c r="K22" s="1398"/>
      <c r="L22" s="1399"/>
      <c r="M22" s="1386"/>
      <c r="N22" s="1386"/>
      <c r="O22" s="1386"/>
      <c r="P22" s="1397"/>
      <c r="Q22" s="1386"/>
      <c r="R22" s="1386"/>
      <c r="S22" s="1386"/>
      <c r="T22" s="1386"/>
      <c r="U22" s="1386"/>
      <c r="V22" s="1386"/>
      <c r="W22" s="1345"/>
      <c r="AD22" s="1391"/>
    </row>
    <row r="23" spans="2:30" s="1384" customFormat="1" ht="8.25" customHeight="1">
      <c r="B23" s="1385"/>
      <c r="C23" s="1386"/>
      <c r="D23" s="1386"/>
      <c r="E23" s="1400"/>
      <c r="F23" s="1386"/>
      <c r="G23" s="1386"/>
      <c r="H23" s="1386"/>
      <c r="I23" s="1386"/>
      <c r="J23" s="1386"/>
      <c r="K23" s="1386"/>
      <c r="L23" s="1386"/>
      <c r="M23" s="1386"/>
      <c r="N23" s="1386"/>
      <c r="O23" s="1386"/>
      <c r="P23" s="1386"/>
      <c r="Q23" s="1386"/>
      <c r="R23" s="1386"/>
      <c r="S23" s="1386"/>
      <c r="T23" s="1386"/>
      <c r="U23" s="1386"/>
      <c r="V23" s="1386"/>
      <c r="W23" s="1345"/>
      <c r="AD23" s="1391"/>
    </row>
    <row r="24" spans="1:30" ht="16.5" customHeight="1">
      <c r="A24" s="1344"/>
      <c r="B24" s="1359"/>
      <c r="C24" s="1382" t="s">
        <v>89</v>
      </c>
      <c r="D24" s="1401" t="s">
        <v>361</v>
      </c>
      <c r="I24" s="1360"/>
      <c r="J24" s="1384"/>
      <c r="O24" s="1360"/>
      <c r="P24" s="1360"/>
      <c r="Q24" s="1360"/>
      <c r="R24" s="1360"/>
      <c r="S24" s="1360"/>
      <c r="T24" s="1360"/>
      <c r="V24" s="1360"/>
      <c r="X24" s="1360"/>
      <c r="Y24" s="1360"/>
      <c r="Z24" s="1360"/>
      <c r="AA24" s="1360"/>
      <c r="AB24" s="1360"/>
      <c r="AC24" s="1360"/>
      <c r="AD24" s="1363"/>
    </row>
    <row r="25" spans="1:30" ht="10.5" customHeight="1" thickBot="1">
      <c r="A25" s="1344"/>
      <c r="B25" s="1359"/>
      <c r="C25" s="1378"/>
      <c r="D25" s="1401"/>
      <c r="I25" s="1360"/>
      <c r="J25" s="1384"/>
      <c r="O25" s="1360"/>
      <c r="P25" s="1360"/>
      <c r="Q25" s="1360"/>
      <c r="R25" s="1360"/>
      <c r="S25" s="1360"/>
      <c r="T25" s="1360"/>
      <c r="V25" s="1360"/>
      <c r="X25" s="1360"/>
      <c r="Y25" s="1360"/>
      <c r="Z25" s="1360"/>
      <c r="AA25" s="1360"/>
      <c r="AB25" s="1360"/>
      <c r="AC25" s="1360"/>
      <c r="AD25" s="1363"/>
    </row>
    <row r="26" spans="2:30" s="1384" customFormat="1" ht="16.5" customHeight="1" thickBot="1" thickTop="1">
      <c r="B26" s="1385"/>
      <c r="C26" s="1389"/>
      <c r="D26" s="1345"/>
      <c r="E26" s="1345"/>
      <c r="F26" s="1345"/>
      <c r="G26" s="1345"/>
      <c r="H26" s="1345"/>
      <c r="I26" s="1345"/>
      <c r="J26" s="1402" t="s">
        <v>90</v>
      </c>
      <c r="K26" s="1403">
        <f>L19*AC88</f>
        <v>113293.29659399998</v>
      </c>
      <c r="L26" s="1345"/>
      <c r="S26" s="1345"/>
      <c r="T26" s="1345"/>
      <c r="U26" s="1345"/>
      <c r="W26" s="1345"/>
      <c r="AD26" s="1391"/>
    </row>
    <row r="27" spans="2:30" s="1384" customFormat="1" ht="11.25" customHeight="1" thickTop="1">
      <c r="B27" s="1385"/>
      <c r="C27" s="1389"/>
      <c r="D27" s="1386"/>
      <c r="E27" s="1400"/>
      <c r="F27" s="1386"/>
      <c r="G27" s="1386"/>
      <c r="H27" s="1386"/>
      <c r="I27" s="1386"/>
      <c r="J27" s="1386"/>
      <c r="K27" s="1386"/>
      <c r="L27" s="1386"/>
      <c r="M27" s="1386"/>
      <c r="N27" s="1386"/>
      <c r="O27" s="1386"/>
      <c r="P27" s="1386"/>
      <c r="Q27" s="1386"/>
      <c r="R27" s="1386"/>
      <c r="S27" s="1386"/>
      <c r="T27" s="1386"/>
      <c r="U27" s="1345"/>
      <c r="W27" s="1345"/>
      <c r="AD27" s="1391"/>
    </row>
    <row r="28" spans="1:30" ht="16.5" customHeight="1">
      <c r="A28" s="1344"/>
      <c r="B28" s="1359"/>
      <c r="C28" s="1382" t="s">
        <v>91</v>
      </c>
      <c r="D28" s="1401" t="s">
        <v>323</v>
      </c>
      <c r="E28" s="1404"/>
      <c r="F28" s="1360"/>
      <c r="G28" s="1360"/>
      <c r="H28" s="1360"/>
      <c r="I28" s="1360"/>
      <c r="J28" s="1360"/>
      <c r="K28" s="1360"/>
      <c r="L28" s="1360"/>
      <c r="M28" s="1360"/>
      <c r="N28" s="1360"/>
      <c r="O28" s="1360"/>
      <c r="P28" s="1360"/>
      <c r="Q28" s="1360"/>
      <c r="R28" s="1360"/>
      <c r="S28" s="1360"/>
      <c r="T28" s="1360"/>
      <c r="U28" s="1360"/>
      <c r="V28" s="1360"/>
      <c r="AD28" s="1363"/>
    </row>
    <row r="29" spans="1:30" ht="21.75" customHeight="1" thickBot="1">
      <c r="A29" s="1344"/>
      <c r="B29" s="1359"/>
      <c r="C29" s="1360"/>
      <c r="D29" s="1360"/>
      <c r="E29" s="1404"/>
      <c r="F29" s="1360"/>
      <c r="G29" s="1360"/>
      <c r="H29" s="1360"/>
      <c r="I29" s="1360"/>
      <c r="J29" s="1360"/>
      <c r="K29" s="1360"/>
      <c r="L29" s="1360"/>
      <c r="M29" s="1360"/>
      <c r="N29" s="1360"/>
      <c r="O29" s="1360"/>
      <c r="P29" s="1360"/>
      <c r="Q29" s="1360"/>
      <c r="R29" s="1360"/>
      <c r="S29" s="1360"/>
      <c r="T29" s="1360"/>
      <c r="U29" s="1360"/>
      <c r="V29" s="1360"/>
      <c r="AD29" s="1363"/>
    </row>
    <row r="30" spans="2:31" s="1344" customFormat="1" ht="33.75" customHeight="1" thickBot="1" thickTop="1">
      <c r="B30" s="1359"/>
      <c r="C30" s="1405" t="s">
        <v>25</v>
      </c>
      <c r="D30" s="1406" t="s">
        <v>5</v>
      </c>
      <c r="E30" s="1407" t="s">
        <v>28</v>
      </c>
      <c r="F30" s="1408" t="s">
        <v>29</v>
      </c>
      <c r="G30" s="1409" t="s">
        <v>30</v>
      </c>
      <c r="H30" s="1410" t="s">
        <v>31</v>
      </c>
      <c r="I30" s="1411" t="s">
        <v>32</v>
      </c>
      <c r="J30" s="1412" t="s">
        <v>33</v>
      </c>
      <c r="K30" s="1413" t="s">
        <v>34</v>
      </c>
      <c r="L30" s="1414" t="s">
        <v>35</v>
      </c>
      <c r="M30" s="1415" t="s">
        <v>36</v>
      </c>
      <c r="N30" s="1414" t="s">
        <v>92</v>
      </c>
      <c r="O30" s="1414" t="s">
        <v>37</v>
      </c>
      <c r="P30" s="1413" t="s">
        <v>38</v>
      </c>
      <c r="Q30" s="1412" t="s">
        <v>39</v>
      </c>
      <c r="R30" s="1416" t="s">
        <v>40</v>
      </c>
      <c r="S30" s="1417" t="s">
        <v>41</v>
      </c>
      <c r="T30" s="1418" t="s">
        <v>48</v>
      </c>
      <c r="U30" s="1419"/>
      <c r="V30" s="1420"/>
      <c r="W30" s="1421" t="s">
        <v>93</v>
      </c>
      <c r="X30" s="1422"/>
      <c r="Y30" s="1423"/>
      <c r="Z30" s="1424" t="s">
        <v>44</v>
      </c>
      <c r="AA30" s="1425" t="s">
        <v>94</v>
      </c>
      <c r="AB30" s="1426" t="s">
        <v>46</v>
      </c>
      <c r="AC30" s="1427" t="s">
        <v>47</v>
      </c>
      <c r="AD30" s="1428"/>
      <c r="AE30" s="1345"/>
    </row>
    <row r="31" spans="1:30" ht="16.5" customHeight="1" thickTop="1">
      <c r="A31" s="1344"/>
      <c r="B31" s="1359"/>
      <c r="C31" s="1429"/>
      <c r="D31" s="1430"/>
      <c r="E31" s="1431"/>
      <c r="F31" s="1432"/>
      <c r="G31" s="1433"/>
      <c r="H31" s="1434"/>
      <c r="I31" s="1435"/>
      <c r="J31" s="1436"/>
      <c r="K31" s="1437"/>
      <c r="L31" s="1429"/>
      <c r="M31" s="1429"/>
      <c r="N31" s="1438"/>
      <c r="O31" s="1438"/>
      <c r="P31" s="1429"/>
      <c r="Q31" s="1439"/>
      <c r="R31" s="1440"/>
      <c r="S31" s="1441"/>
      <c r="T31" s="1442"/>
      <c r="U31" s="1443"/>
      <c r="V31" s="1444"/>
      <c r="W31" s="1445"/>
      <c r="X31" s="1446"/>
      <c r="Y31" s="1447"/>
      <c r="Z31" s="1448"/>
      <c r="AA31" s="1449"/>
      <c r="AB31" s="1450"/>
      <c r="AC31" s="1451"/>
      <c r="AD31" s="1363"/>
    </row>
    <row r="32" spans="1:30" ht="16.5" customHeight="1">
      <c r="A32" s="1344"/>
      <c r="B32" s="1359"/>
      <c r="C32" s="895" t="s">
        <v>95</v>
      </c>
      <c r="D32" s="152"/>
      <c r="E32" s="559"/>
      <c r="F32" s="560"/>
      <c r="G32" s="561"/>
      <c r="H32" s="1456">
        <f>IF(G32="A",200,IF(G32="B",60,20))</f>
        <v>20</v>
      </c>
      <c r="I32" s="1457">
        <f>IF(F32&gt;100,F32,100)*$F$19/100</f>
        <v>506.119</v>
      </c>
      <c r="J32" s="562"/>
      <c r="K32" s="563"/>
      <c r="L32" s="1460">
        <f>IF(D32="","",(K32-J32)*24)</f>
      </c>
      <c r="M32" s="1461">
        <f>IF(D32="","",ROUND((K32-J32)*24*60,0))</f>
      </c>
      <c r="N32" s="564"/>
      <c r="O32" s="1463">
        <f>IF(D32="","","--")</f>
      </c>
      <c r="P32" s="1464">
        <f>IF(D32="","","NO")</f>
      </c>
      <c r="Q32" s="1464">
        <f>IF(D32="","",IF(OR(N32="P",N32="RP"),"--","NO"))</f>
      </c>
      <c r="R32" s="1465" t="str">
        <f>IF(N32="P",+I32*H32*ROUND(M32/60,2)/100,"--")</f>
        <v>--</v>
      </c>
      <c r="S32" s="1466" t="str">
        <f>IF(N32="RP",I32*H32*ROUND(M32/60,2)*0.01*O32/100,"--")</f>
        <v>--</v>
      </c>
      <c r="T32" s="1467" t="str">
        <f>IF(AND(N32="F",Q32="NO"),IF(P32="SI",1.2,1)*I32*H32,"--")</f>
        <v>--</v>
      </c>
      <c r="U32" s="1468" t="str">
        <f>IF(AND(M32&gt;10,N32="F"),IF(M32&lt;=300,ROUND(M32/60,2),5)*I32*H32*IF(P32="SI",1.2,1),"--")</f>
        <v>--</v>
      </c>
      <c r="V32" s="1469" t="str">
        <f>IF(AND(N32="F",M32&gt;300),IF(P32="SI",1.2,1)*(ROUND(M32/60,2)-5)*I32*H32*0.1,"--")</f>
        <v>--</v>
      </c>
      <c r="W32" s="1470" t="str">
        <f>IF(AND(N32="R",Q32="NO"),IF(P32="SI",1.2,1)*I32*H32*O32/100,"--")</f>
        <v>--</v>
      </c>
      <c r="X32" s="1471" t="str">
        <f>IF(AND(M32&gt;10,N32="R"),IF(M32&lt;=300,ROUND(M32/60,2),5)*I32*H32*O32/100*IF(P32="SI",1.2,1),"--")</f>
        <v>--</v>
      </c>
      <c r="Y32" s="1472" t="str">
        <f>IF(AND(N32="R",M32&gt;300),IF(P32="SI",1.2,1)*(ROUND(M32/60,2)-5)*I32*H32*O32/100*0.1,"--")</f>
        <v>--</v>
      </c>
      <c r="Z32" s="1473" t="str">
        <f>IF(N32="RF",IF(P32="SI",1.2,1)*ROUND(M32/60,2)*I32*H32*0.1,"--")</f>
        <v>--</v>
      </c>
      <c r="AA32" s="1474" t="str">
        <f>IF(N32="RR",IF(P32="SI",1.2,1)*ROUND(M32/60,2)*I32*H32*O32/100*0.1,"--")</f>
        <v>--</v>
      </c>
      <c r="AB32" s="1475">
        <f>IF(D32="","","SI")</f>
      </c>
      <c r="AC32" s="1476">
        <f>IF(D32="","",SUM(R32:AA32)*IF(AB32="SI",1,2))</f>
      </c>
      <c r="AD32" s="1363"/>
    </row>
    <row r="33" spans="1:30" ht="16.5" customHeight="1">
      <c r="A33" s="1344"/>
      <c r="B33" s="1359"/>
      <c r="C33" s="895" t="s">
        <v>96</v>
      </c>
      <c r="D33" s="152"/>
      <c r="E33" s="559"/>
      <c r="F33" s="560"/>
      <c r="G33" s="561"/>
      <c r="H33" s="1456">
        <f>IF(G33="A",200,IF(G33="B",60,20))</f>
        <v>20</v>
      </c>
      <c r="I33" s="1457">
        <f>IF(F33&gt;100,F33,100)*$F$19/100</f>
        <v>506.119</v>
      </c>
      <c r="J33" s="562"/>
      <c r="K33" s="563"/>
      <c r="L33" s="1460">
        <f>IF(D33="","",(K33-J33)*24)</f>
      </c>
      <c r="M33" s="1461">
        <f>IF(D33="","",ROUND((K33-J33)*24*60,0))</f>
      </c>
      <c r="N33" s="564"/>
      <c r="O33" s="1463">
        <f>IF(D33="","","--")</f>
      </c>
      <c r="P33" s="1464">
        <f>IF(D33="","","NO")</f>
      </c>
      <c r="Q33" s="1464">
        <f>IF(D33="","",IF(OR(N33="P",N33="RP"),"--","NO"))</f>
      </c>
      <c r="R33" s="1465" t="str">
        <f>IF(N33="P",+I33*H33*ROUND(M33/60,2)/100,"--")</f>
        <v>--</v>
      </c>
      <c r="S33" s="1466" t="str">
        <f>IF(N33="RP",I33*H33*ROUND(M33/60,2)*0.01*O33/100,"--")</f>
        <v>--</v>
      </c>
      <c r="T33" s="1467" t="str">
        <f>IF(AND(N33="F",Q33="NO"),IF(P33="SI",1.2,1)*I33*H33,"--")</f>
        <v>--</v>
      </c>
      <c r="U33" s="1468" t="str">
        <f>IF(AND(M33&gt;10,N33="F"),IF(M33&lt;=300,ROUND(M33/60,2),5)*I33*H33*IF(P33="SI",1.2,1),"--")</f>
        <v>--</v>
      </c>
      <c r="V33" s="1469" t="str">
        <f>IF(AND(N33="F",M33&gt;300),IF(P33="SI",1.2,1)*(ROUND(M33/60,2)-5)*I33*H33*0.1,"--")</f>
        <v>--</v>
      </c>
      <c r="W33" s="1470" t="str">
        <f>IF(AND(N33="R",Q33="NO"),IF(P33="SI",1.2,1)*I33*H33*O33/100,"--")</f>
        <v>--</v>
      </c>
      <c r="X33" s="1471" t="str">
        <f>IF(AND(M33&gt;10,N33="R"),IF(M33&lt;=300,ROUND(M33/60,2),5)*I33*H33*O33/100*IF(P33="SI",1.2,1),"--")</f>
        <v>--</v>
      </c>
      <c r="Y33" s="1472" t="str">
        <f>IF(AND(N33="R",M33&gt;300),IF(P33="SI",1.2,1)*(ROUND(M33/60,2)-5)*I33*H33*O33/100*0.1,"--")</f>
        <v>--</v>
      </c>
      <c r="Z33" s="1473" t="str">
        <f>IF(N33="RF",IF(P33="SI",1.2,1)*ROUND(M33/60,2)*I33*H33*0.1,"--")</f>
        <v>--</v>
      </c>
      <c r="AA33" s="1474" t="str">
        <f>IF(N33="RR",IF(P33="SI",1.2,1)*ROUND(M33/60,2)*I33*H33*O33/100*0.1,"--")</f>
        <v>--</v>
      </c>
      <c r="AB33" s="1475">
        <f>IF(D33="","","SI")</f>
      </c>
      <c r="AC33" s="1476">
        <f>IF(D33="","",SUM(R33:AA33)*IF(AB33="SI",1,2))</f>
      </c>
      <c r="AD33" s="1363"/>
    </row>
    <row r="34" spans="1:30" ht="16.5" customHeight="1">
      <c r="A34" s="1344"/>
      <c r="B34" s="1359"/>
      <c r="C34" s="895" t="s">
        <v>97</v>
      </c>
      <c r="D34" s="152"/>
      <c r="E34" s="559"/>
      <c r="F34" s="560"/>
      <c r="G34" s="561"/>
      <c r="H34" s="1456">
        <f>IF(G34="A",200,IF(G34="B",60,20))</f>
        <v>20</v>
      </c>
      <c r="I34" s="1457">
        <f>IF(F34&gt;100,F34,100)*$F$19/100</f>
        <v>506.119</v>
      </c>
      <c r="J34" s="562"/>
      <c r="K34" s="563"/>
      <c r="L34" s="1460">
        <f>IF(D34="","",(K34-J34)*24)</f>
      </c>
      <c r="M34" s="1461">
        <f>IF(D34="","",ROUND((K34-J34)*24*60,0))</f>
      </c>
      <c r="N34" s="564"/>
      <c r="O34" s="1463">
        <f>IF(D34="","","--")</f>
      </c>
      <c r="P34" s="1464">
        <f>IF(D34="","","NO")</f>
      </c>
      <c r="Q34" s="1464">
        <f>IF(D34="","",IF(OR(N34="P",N34="RP"),"--","NO"))</f>
      </c>
      <c r="R34" s="1465" t="str">
        <f>IF(N34="P",+I34*H34*ROUND(M34/60,2)/100,"--")</f>
        <v>--</v>
      </c>
      <c r="S34" s="1466" t="str">
        <f>IF(N34="RP",I34*H34*ROUND(M34/60,2)*0.01*O34/100,"--")</f>
        <v>--</v>
      </c>
      <c r="T34" s="1467" t="str">
        <f>IF(AND(N34="F",Q34="NO"),IF(P34="SI",1.2,1)*I34*H34,"--")</f>
        <v>--</v>
      </c>
      <c r="U34" s="1468" t="str">
        <f>IF(AND(M34&gt;10,N34="F"),IF(M34&lt;=300,ROUND(M34/60,2),5)*I34*H34*IF(P34="SI",1.2,1),"--")</f>
        <v>--</v>
      </c>
      <c r="V34" s="1469" t="str">
        <f>IF(AND(N34="F",M34&gt;300),IF(P34="SI",1.2,1)*(ROUND(M34/60,2)-5)*I34*H34*0.1,"--")</f>
        <v>--</v>
      </c>
      <c r="W34" s="1470" t="str">
        <f>IF(AND(N34="R",Q34="NO"),IF(P34="SI",1.2,1)*I34*H34*O34/100,"--")</f>
        <v>--</v>
      </c>
      <c r="X34" s="1471" t="str">
        <f>IF(AND(M34&gt;10,N34="R"),IF(M34&lt;=300,ROUND(M34/60,2),5)*I34*H34*O34/100*IF(P34="SI",1.2,1),"--")</f>
        <v>--</v>
      </c>
      <c r="Y34" s="1472" t="str">
        <f>IF(AND(N34="R",M34&gt;300),IF(P34="SI",1.2,1)*(ROUND(M34/60,2)-5)*I34*H34*O34/100*0.1,"--")</f>
        <v>--</v>
      </c>
      <c r="Z34" s="1473" t="str">
        <f>IF(N34="RF",IF(P34="SI",1.2,1)*ROUND(M34/60,2)*I34*H34*0.1,"--")</f>
        <v>--</v>
      </c>
      <c r="AA34" s="1474" t="str">
        <f>IF(N34="RR",IF(P34="SI",1.2,1)*ROUND(M34/60,2)*I34*H34*O34/100*0.1,"--")</f>
        <v>--</v>
      </c>
      <c r="AB34" s="1475">
        <f>IF(D34="","","SI")</f>
      </c>
      <c r="AC34" s="1476">
        <f>IF(D34="","",SUM(R34:AA34)*IF(AB34="SI",1,2))</f>
      </c>
      <c r="AD34" s="1363"/>
    </row>
    <row r="35" spans="1:30" ht="16.5" customHeight="1">
      <c r="A35" s="1344"/>
      <c r="B35" s="1359"/>
      <c r="C35" s="895" t="s">
        <v>98</v>
      </c>
      <c r="D35" s="152"/>
      <c r="E35" s="559"/>
      <c r="F35" s="560"/>
      <c r="G35" s="561"/>
      <c r="H35" s="1456">
        <f>IF(G35="A",200,IF(G35="B",60,20))</f>
        <v>20</v>
      </c>
      <c r="I35" s="1457">
        <f>IF(F35&gt;100,F35,100)*$F$19/100</f>
        <v>506.119</v>
      </c>
      <c r="J35" s="562"/>
      <c r="K35" s="563"/>
      <c r="L35" s="1460">
        <f>IF(D35="","",(K35-J35)*24)</f>
      </c>
      <c r="M35" s="1461">
        <f>IF(D35="","",ROUND((K35-J35)*24*60,0))</f>
      </c>
      <c r="N35" s="564"/>
      <c r="O35" s="1463">
        <f>IF(D35="","","--")</f>
      </c>
      <c r="P35" s="1464">
        <f>IF(D35="","","NO")</f>
      </c>
      <c r="Q35" s="1464">
        <f>IF(D35="","",IF(OR(N35="P",N35="RP"),"--","NO"))</f>
      </c>
      <c r="R35" s="1465" t="str">
        <f>IF(N35="P",+I35*H35*ROUND(M35/60,2)/100,"--")</f>
        <v>--</v>
      </c>
      <c r="S35" s="1466" t="str">
        <f>IF(N35="RP",I35*H35*ROUND(M35/60,2)*0.01*O35/100,"--")</f>
        <v>--</v>
      </c>
      <c r="T35" s="1467" t="str">
        <f>IF(AND(N35="F",Q35="NO"),IF(P35="SI",1.2,1)*I35*H35,"--")</f>
        <v>--</v>
      </c>
      <c r="U35" s="1468" t="str">
        <f>IF(AND(M35&gt;10,N35="F"),IF(M35&lt;=300,ROUND(M35/60,2),5)*I35*H35*IF(P35="SI",1.2,1),"--")</f>
        <v>--</v>
      </c>
      <c r="V35" s="1469" t="str">
        <f>IF(AND(N35="F",M35&gt;300),IF(P35="SI",1.2,1)*(ROUND(M35/60,2)-5)*I35*H35*0.1,"--")</f>
        <v>--</v>
      </c>
      <c r="W35" s="1470" t="str">
        <f>IF(AND(N35="R",Q35="NO"),IF(P35="SI",1.2,1)*I35*H35*O35/100,"--")</f>
        <v>--</v>
      </c>
      <c r="X35" s="1471" t="str">
        <f>IF(AND(M35&gt;10,N35="R"),IF(M35&lt;=300,ROUND(M35/60,2),5)*I35*H35*O35/100*IF(P35="SI",1.2,1),"--")</f>
        <v>--</v>
      </c>
      <c r="Y35" s="1472" t="str">
        <f>IF(AND(N35="R",M35&gt;300),IF(P35="SI",1.2,1)*(ROUND(M35/60,2)-5)*I35*H35*O35/100*0.1,"--")</f>
        <v>--</v>
      </c>
      <c r="Z35" s="1473" t="str">
        <f>IF(N35="RF",IF(P35="SI",1.2,1)*ROUND(M35/60,2)*I35*H35*0.1,"--")</f>
        <v>--</v>
      </c>
      <c r="AA35" s="1474" t="str">
        <f>IF(N35="RR",IF(P35="SI",1.2,1)*ROUND(M35/60,2)*I35*H35*O35/100*0.1,"--")</f>
        <v>--</v>
      </c>
      <c r="AB35" s="1475">
        <f>IF(D35="","","SI")</f>
      </c>
      <c r="AC35" s="1476">
        <f>IF(D35="","",SUM(R35:AA35)*IF(AB35="SI",1,2))</f>
      </c>
      <c r="AD35" s="1477"/>
    </row>
    <row r="36" spans="1:30" ht="16.5" customHeight="1" thickBot="1">
      <c r="A36" s="1384"/>
      <c r="B36" s="1359"/>
      <c r="C36" s="1478"/>
      <c r="D36" s="1479"/>
      <c r="E36" s="1480"/>
      <c r="F36" s="1481"/>
      <c r="G36" s="1482"/>
      <c r="H36" s="1483"/>
      <c r="I36" s="1484"/>
      <c r="J36" s="1485"/>
      <c r="K36" s="1485"/>
      <c r="L36" s="1486"/>
      <c r="M36" s="1486"/>
      <c r="N36" s="1486"/>
      <c r="O36" s="1487"/>
      <c r="P36" s="1486"/>
      <c r="Q36" s="1486"/>
      <c r="R36" s="1488"/>
      <c r="S36" s="1489"/>
      <c r="T36" s="1490"/>
      <c r="U36" s="1491"/>
      <c r="V36" s="1492"/>
      <c r="W36" s="1493"/>
      <c r="X36" s="1494"/>
      <c r="Y36" s="1495"/>
      <c r="Z36" s="1496"/>
      <c r="AA36" s="1497"/>
      <c r="AB36" s="1498"/>
      <c r="AC36" s="1499"/>
      <c r="AD36" s="1477"/>
    </row>
    <row r="37" spans="1:30" ht="16.5" customHeight="1" thickBot="1" thickTop="1">
      <c r="A37" s="1384"/>
      <c r="B37" s="1359"/>
      <c r="C37" s="1389"/>
      <c r="D37" s="1389"/>
      <c r="E37" s="1500"/>
      <c r="F37" s="1400"/>
      <c r="G37" s="1501"/>
      <c r="H37" s="1501"/>
      <c r="I37" s="1502"/>
      <c r="J37" s="1502"/>
      <c r="K37" s="1502"/>
      <c r="L37" s="1502"/>
      <c r="M37" s="1502"/>
      <c r="N37" s="1502"/>
      <c r="O37" s="1503"/>
      <c r="P37" s="1502"/>
      <c r="Q37" s="1502"/>
      <c r="R37" s="1504">
        <f aca="true" t="shared" si="0" ref="R37:AA37">SUM(R31:R36)</f>
        <v>0</v>
      </c>
      <c r="S37" s="1505">
        <f t="shared" si="0"/>
        <v>0</v>
      </c>
      <c r="T37" s="1506">
        <f t="shared" si="0"/>
        <v>0</v>
      </c>
      <c r="U37" s="1506">
        <f t="shared" si="0"/>
        <v>0</v>
      </c>
      <c r="V37" s="1506">
        <f t="shared" si="0"/>
        <v>0</v>
      </c>
      <c r="W37" s="1507">
        <f t="shared" si="0"/>
        <v>0</v>
      </c>
      <c r="X37" s="1507">
        <f t="shared" si="0"/>
        <v>0</v>
      </c>
      <c r="Y37" s="1507">
        <f t="shared" si="0"/>
        <v>0</v>
      </c>
      <c r="Z37" s="1508">
        <f t="shared" si="0"/>
        <v>0</v>
      </c>
      <c r="AA37" s="1509">
        <f t="shared" si="0"/>
        <v>0</v>
      </c>
      <c r="AB37" s="1510"/>
      <c r="AC37" s="1511">
        <f>SUM(AC31:AC36)</f>
        <v>0</v>
      </c>
      <c r="AD37" s="1477"/>
    </row>
    <row r="38" spans="1:30" ht="13.5" customHeight="1" thickBot="1" thickTop="1">
      <c r="A38" s="1384"/>
      <c r="B38" s="1359"/>
      <c r="C38" s="1389"/>
      <c r="D38" s="1389"/>
      <c r="E38" s="1500"/>
      <c r="F38" s="1400"/>
      <c r="G38" s="1501"/>
      <c r="H38" s="1501"/>
      <c r="I38" s="1502"/>
      <c r="J38" s="1502"/>
      <c r="K38" s="1502"/>
      <c r="L38" s="1502"/>
      <c r="M38" s="1502"/>
      <c r="N38" s="1502"/>
      <c r="O38" s="1503"/>
      <c r="P38" s="1502"/>
      <c r="Q38" s="1502"/>
      <c r="R38" s="1512"/>
      <c r="S38" s="1513"/>
      <c r="T38" s="1514"/>
      <c r="U38" s="1514"/>
      <c r="V38" s="1514"/>
      <c r="W38" s="1512"/>
      <c r="X38" s="1512"/>
      <c r="Y38" s="1512"/>
      <c r="Z38" s="1512"/>
      <c r="AA38" s="1512"/>
      <c r="AB38" s="1515"/>
      <c r="AC38" s="1516"/>
      <c r="AD38" s="1477"/>
    </row>
    <row r="39" spans="1:33" s="1344" customFormat="1" ht="33.75" customHeight="1" thickBot="1" thickTop="1">
      <c r="A39" s="1343"/>
      <c r="B39" s="1517"/>
      <c r="C39" s="1518" t="s">
        <v>25</v>
      </c>
      <c r="D39" s="1519" t="s">
        <v>54</v>
      </c>
      <c r="E39" s="1520" t="s">
        <v>55</v>
      </c>
      <c r="F39" s="1521" t="s">
        <v>56</v>
      </c>
      <c r="G39" s="1427" t="s">
        <v>28</v>
      </c>
      <c r="H39" s="1522" t="s">
        <v>32</v>
      </c>
      <c r="I39" s="1523"/>
      <c r="J39" s="1520" t="s">
        <v>33</v>
      </c>
      <c r="K39" s="1520" t="s">
        <v>34</v>
      </c>
      <c r="L39" s="1519" t="s">
        <v>57</v>
      </c>
      <c r="M39" s="1519" t="s">
        <v>36</v>
      </c>
      <c r="N39" s="1414" t="s">
        <v>104</v>
      </c>
      <c r="O39" s="1520" t="s">
        <v>39</v>
      </c>
      <c r="P39" s="1524" t="s">
        <v>58</v>
      </c>
      <c r="Q39" s="1525"/>
      <c r="R39" s="1522" t="s">
        <v>106</v>
      </c>
      <c r="S39" s="1526" t="s">
        <v>40</v>
      </c>
      <c r="T39" s="1527" t="s">
        <v>107</v>
      </c>
      <c r="U39" s="1528"/>
      <c r="V39" s="1529" t="s">
        <v>44</v>
      </c>
      <c r="W39" s="1530"/>
      <c r="X39" s="1531"/>
      <c r="Y39" s="1531"/>
      <c r="Z39" s="1531"/>
      <c r="AA39" s="1532"/>
      <c r="AB39" s="1533" t="s">
        <v>46</v>
      </c>
      <c r="AC39" s="1427" t="s">
        <v>47</v>
      </c>
      <c r="AD39" s="1363"/>
      <c r="AF39" s="1345"/>
      <c r="AG39" s="1345"/>
    </row>
    <row r="40" spans="1:30" ht="16.5" customHeight="1" thickTop="1">
      <c r="A40" s="1344"/>
      <c r="B40" s="1359"/>
      <c r="C40" s="1429"/>
      <c r="D40" s="1534"/>
      <c r="E40" s="1534"/>
      <c r="F40" s="1534"/>
      <c r="G40" s="1535"/>
      <c r="H40" s="1536"/>
      <c r="I40" s="1537"/>
      <c r="J40" s="1534"/>
      <c r="K40" s="1534"/>
      <c r="L40" s="1534"/>
      <c r="M40" s="1534"/>
      <c r="N40" s="1534"/>
      <c r="O40" s="1538"/>
      <c r="P40" s="2862"/>
      <c r="Q40" s="2865"/>
      <c r="R40" s="1540"/>
      <c r="S40" s="1541"/>
      <c r="T40" s="1542"/>
      <c r="U40" s="1543"/>
      <c r="V40" s="1544"/>
      <c r="W40" s="1545"/>
      <c r="X40" s="1546"/>
      <c r="Y40" s="1546"/>
      <c r="Z40" s="1546"/>
      <c r="AA40" s="1547"/>
      <c r="AB40" s="1538"/>
      <c r="AC40" s="1548"/>
      <c r="AD40" s="1363"/>
    </row>
    <row r="41" spans="1:30" ht="16.5" customHeight="1">
      <c r="A41" s="1344"/>
      <c r="B41" s="1359"/>
      <c r="C41" s="895" t="s">
        <v>95</v>
      </c>
      <c r="D41" s="1549"/>
      <c r="E41" s="1550"/>
      <c r="F41" s="1551"/>
      <c r="G41" s="1552"/>
      <c r="H41" s="1553">
        <f>F41*$F$20</f>
        <v>0</v>
      </c>
      <c r="I41" s="1554"/>
      <c r="J41" s="742"/>
      <c r="K41" s="742"/>
      <c r="L41" s="1555">
        <f>IF(D41="","",(K41-J41)*24)</f>
      </c>
      <c r="M41" s="1556">
        <f>IF(D41="","",(K41-J41)*24*60)</f>
      </c>
      <c r="N41" s="1557"/>
      <c r="O41" s="1558">
        <f>IF(D41="","",IF(OR(N41="P",N41="RP"),"--","NO"))</f>
      </c>
      <c r="P41" s="2843"/>
      <c r="Q41" s="2844"/>
      <c r="R41" s="1560">
        <f>200*IF(P41="SI",1,0.1)*IF(N41="P",0.1,1)</f>
        <v>20</v>
      </c>
      <c r="S41" s="1561" t="str">
        <f>IF(N41="P",H41*R41*ROUND(M41/60,2),"--")</f>
        <v>--</v>
      </c>
      <c r="T41" s="1562" t="str">
        <f>IF(AND(N41="F",O41="NO"),H41*R41,"--")</f>
        <v>--</v>
      </c>
      <c r="U41" s="1563" t="str">
        <f>IF(N41="F",H41*R41*ROUND(M41/60,2),"--")</f>
        <v>--</v>
      </c>
      <c r="V41" s="1564" t="str">
        <f>IF(N41="RF",H41*R41*ROUND(M41/60,2),"--")</f>
        <v>--</v>
      </c>
      <c r="W41" s="1565"/>
      <c r="X41" s="1566"/>
      <c r="Y41" s="1566"/>
      <c r="Z41" s="1566"/>
      <c r="AA41" s="1567"/>
      <c r="AB41" s="1568">
        <f>IF(D41="","","SI")</f>
      </c>
      <c r="AC41" s="1569">
        <f>IF(D41="","",SUM(S41:V41)*IF(AB41="SI",1,2))</f>
      </c>
      <c r="AD41" s="1363"/>
    </row>
    <row r="42" spans="1:30" ht="16.5" customHeight="1">
      <c r="A42" s="1344"/>
      <c r="B42" s="1359"/>
      <c r="C42" s="895" t="s">
        <v>96</v>
      </c>
      <c r="D42" s="1570"/>
      <c r="E42" s="1571"/>
      <c r="F42" s="1572"/>
      <c r="G42" s="1573"/>
      <c r="H42" s="1553">
        <f>F42*$F$20</f>
        <v>0</v>
      </c>
      <c r="I42" s="1554"/>
      <c r="J42" s="1574"/>
      <c r="K42" s="1574"/>
      <c r="L42" s="1555">
        <f>IF(D42="","",(K42-J42)*24)</f>
      </c>
      <c r="M42" s="1556">
        <f>IF(D42="","",(K42-J42)*24*60)</f>
      </c>
      <c r="N42" s="1557"/>
      <c r="O42" s="1558">
        <f>IF(D42="","",IF(OR(N42="P",N42="RP"),"--","NO"))</f>
      </c>
      <c r="P42" s="2843">
        <f>IF(D42="","","NO")</f>
      </c>
      <c r="Q42" s="2844"/>
      <c r="R42" s="1560">
        <f>200*IF(P42="SI",1,0.1)*IF(N42="P",0.1,1)</f>
        <v>20</v>
      </c>
      <c r="S42" s="1561" t="str">
        <f>IF(N42="P",H42*R42*ROUND(M42/60,2),"--")</f>
        <v>--</v>
      </c>
      <c r="T42" s="1562" t="str">
        <f>IF(AND(N42="F",O42="NO"),H42*R42,"--")</f>
        <v>--</v>
      </c>
      <c r="U42" s="1563" t="str">
        <f>IF(N42="F",H42*R42*ROUND(M42/60,2),"--")</f>
        <v>--</v>
      </c>
      <c r="V42" s="1564" t="str">
        <f>IF(N42="RF",H42*R42*ROUND(M42/60,2),"--")</f>
        <v>--</v>
      </c>
      <c r="W42" s="1565"/>
      <c r="X42" s="1566"/>
      <c r="Y42" s="1566"/>
      <c r="Z42" s="1566"/>
      <c r="AA42" s="1567"/>
      <c r="AB42" s="1568">
        <f>IF(D42="","","SI")</f>
      </c>
      <c r="AC42" s="1569">
        <f>IF(D42="","",SUM(S42:V42)*IF(AB42="SI",1,2))</f>
      </c>
      <c r="AD42" s="1363"/>
    </row>
    <row r="43" spans="1:30" ht="16.5" customHeight="1">
      <c r="A43" s="1344"/>
      <c r="B43" s="1359"/>
      <c r="C43" s="895" t="s">
        <v>97</v>
      </c>
      <c r="D43" s="1570"/>
      <c r="E43" s="1571"/>
      <c r="F43" s="1572"/>
      <c r="G43" s="1573"/>
      <c r="H43" s="1553">
        <f>F43*$F$20</f>
        <v>0</v>
      </c>
      <c r="I43" s="1554"/>
      <c r="J43" s="1574"/>
      <c r="K43" s="1574"/>
      <c r="L43" s="1555">
        <f>IF(D43="","",(K43-J43)*24)</f>
      </c>
      <c r="M43" s="1556">
        <f>IF(D43="","",(K43-J43)*24*60)</f>
      </c>
      <c r="N43" s="1557"/>
      <c r="O43" s="1558">
        <f>IF(D43="","",IF(OR(N43="P",N43="RP"),"--","NO"))</f>
      </c>
      <c r="P43" s="2843">
        <f>IF(D43="","","NO")</f>
      </c>
      <c r="Q43" s="2844"/>
      <c r="R43" s="1560">
        <f>200*IF(P43="SI",1,0.1)*IF(N43="P",0.1,1)</f>
        <v>20</v>
      </c>
      <c r="S43" s="1561" t="str">
        <f>IF(N43="P",H43*R43*ROUND(M43/60,2),"--")</f>
        <v>--</v>
      </c>
      <c r="T43" s="1562" t="str">
        <f>IF(AND(N43="F",O43="NO"),H43*R43,"--")</f>
        <v>--</v>
      </c>
      <c r="U43" s="1563" t="str">
        <f>IF(N43="F",H43*R43*ROUND(M43/60,2),"--")</f>
        <v>--</v>
      </c>
      <c r="V43" s="1564" t="str">
        <f>IF(N43="RF",H43*R43*ROUND(M43/60,2),"--")</f>
        <v>--</v>
      </c>
      <c r="W43" s="1565"/>
      <c r="X43" s="1566"/>
      <c r="Y43" s="1566"/>
      <c r="Z43" s="1566"/>
      <c r="AA43" s="1567"/>
      <c r="AB43" s="1568">
        <f>IF(D43="","","SI")</f>
      </c>
      <c r="AC43" s="1569">
        <f>IF(D43="","",SUM(S43:V43)*IF(AB43="SI",1,2))</f>
      </c>
      <c r="AD43" s="1363"/>
    </row>
    <row r="44" spans="1:30" ht="16.5" customHeight="1" thickBot="1">
      <c r="A44" s="1384"/>
      <c r="B44" s="1359"/>
      <c r="C44" s="1478"/>
      <c r="D44" s="1575"/>
      <c r="E44" s="1576"/>
      <c r="F44" s="1577"/>
      <c r="G44" s="1578"/>
      <c r="H44" s="1579"/>
      <c r="I44" s="1580"/>
      <c r="J44" s="1581"/>
      <c r="K44" s="1582"/>
      <c r="L44" s="1583"/>
      <c r="M44" s="1584"/>
      <c r="N44" s="1585"/>
      <c r="O44" s="1486"/>
      <c r="P44" s="2839"/>
      <c r="Q44" s="2840"/>
      <c r="R44" s="1586"/>
      <c r="S44" s="1587"/>
      <c r="T44" s="1588"/>
      <c r="U44" s="1589"/>
      <c r="V44" s="1590"/>
      <c r="W44" s="1591"/>
      <c r="X44" s="1592"/>
      <c r="Y44" s="1592"/>
      <c r="Z44" s="1592"/>
      <c r="AA44" s="1593"/>
      <c r="AB44" s="1594"/>
      <c r="AC44" s="1595"/>
      <c r="AD44" s="1477"/>
    </row>
    <row r="45" spans="1:30" ht="16.5" customHeight="1" thickBot="1" thickTop="1">
      <c r="A45" s="1384"/>
      <c r="B45" s="1359"/>
      <c r="C45" s="1596"/>
      <c r="D45" s="1404"/>
      <c r="E45" s="1404"/>
      <c r="F45" s="1597"/>
      <c r="G45" s="1598"/>
      <c r="H45" s="1599"/>
      <c r="I45" s="1600"/>
      <c r="J45" s="1601"/>
      <c r="K45" s="1602"/>
      <c r="L45" s="1603"/>
      <c r="M45" s="1599"/>
      <c r="N45" s="1604"/>
      <c r="O45" s="1605"/>
      <c r="P45" s="1606"/>
      <c r="Q45" s="1607"/>
      <c r="R45" s="1608"/>
      <c r="S45" s="1608"/>
      <c r="T45" s="1608"/>
      <c r="U45" s="1609"/>
      <c r="V45" s="1609"/>
      <c r="W45" s="1609"/>
      <c r="X45" s="1609"/>
      <c r="Y45" s="1609"/>
      <c r="Z45" s="1609"/>
      <c r="AA45" s="1609"/>
      <c r="AB45" s="1609"/>
      <c r="AC45" s="1610">
        <f>SUM(AC40:AC44)</f>
        <v>0</v>
      </c>
      <c r="AD45" s="1477"/>
    </row>
    <row r="46" spans="1:30" ht="13.5" customHeight="1" thickBot="1" thickTop="1">
      <c r="A46" s="1384"/>
      <c r="B46" s="1359"/>
      <c r="C46" s="1389"/>
      <c r="D46" s="1389"/>
      <c r="E46" s="1389"/>
      <c r="F46" s="1389"/>
      <c r="G46" s="1389"/>
      <c r="H46" s="1389"/>
      <c r="I46" s="1389"/>
      <c r="J46" s="1389"/>
      <c r="K46" s="1389"/>
      <c r="L46" s="1389"/>
      <c r="M46" s="1389"/>
      <c r="N46" s="1389"/>
      <c r="O46" s="1389"/>
      <c r="P46" s="1389"/>
      <c r="Q46" s="1389"/>
      <c r="R46" s="1389"/>
      <c r="S46" s="1389"/>
      <c r="T46" s="1389"/>
      <c r="U46" s="1389"/>
      <c r="V46" s="1389"/>
      <c r="W46" s="1389"/>
      <c r="X46" s="1389"/>
      <c r="Y46" s="1389"/>
      <c r="Z46" s="1389"/>
      <c r="AA46" s="1389"/>
      <c r="AB46" s="1389"/>
      <c r="AC46" s="1389"/>
      <c r="AD46" s="1477"/>
    </row>
    <row r="47" spans="1:33" s="1344" customFormat="1" ht="33.75" customHeight="1" thickBot="1" thickTop="1">
      <c r="A47" s="1343"/>
      <c r="B47" s="1517"/>
      <c r="C47" s="1518" t="s">
        <v>25</v>
      </c>
      <c r="D47" s="1519" t="s">
        <v>54</v>
      </c>
      <c r="E47" s="2858" t="s">
        <v>55</v>
      </c>
      <c r="F47" s="2859"/>
      <c r="G47" s="1611" t="s">
        <v>28</v>
      </c>
      <c r="H47" s="1522" t="s">
        <v>32</v>
      </c>
      <c r="I47" s="1523"/>
      <c r="J47" s="1520" t="s">
        <v>33</v>
      </c>
      <c r="K47" s="1520" t="s">
        <v>34</v>
      </c>
      <c r="L47" s="1519" t="s">
        <v>57</v>
      </c>
      <c r="M47" s="1519" t="s">
        <v>36</v>
      </c>
      <c r="N47" s="1414" t="s">
        <v>104</v>
      </c>
      <c r="O47" s="2858" t="s">
        <v>39</v>
      </c>
      <c r="P47" s="2860"/>
      <c r="Q47" s="2861"/>
      <c r="R47" s="1411" t="s">
        <v>31</v>
      </c>
      <c r="S47" s="1612" t="s">
        <v>68</v>
      </c>
      <c r="T47" s="1613" t="s">
        <v>69</v>
      </c>
      <c r="U47" s="1614"/>
      <c r="V47" s="1615" t="s">
        <v>44</v>
      </c>
      <c r="W47" s="1531"/>
      <c r="X47" s="1531"/>
      <c r="Y47" s="1531"/>
      <c r="Z47" s="1531"/>
      <c r="AA47" s="1532"/>
      <c r="AB47" s="1533" t="s">
        <v>46</v>
      </c>
      <c r="AC47" s="1427" t="s">
        <v>47</v>
      </c>
      <c r="AD47" s="1363"/>
      <c r="AF47" s="1345"/>
      <c r="AG47" s="1345"/>
    </row>
    <row r="48" spans="1:30" ht="16.5" customHeight="1" thickTop="1">
      <c r="A48" s="1344"/>
      <c r="B48" s="1359"/>
      <c r="C48" s="1429"/>
      <c r="D48" s="1534"/>
      <c r="E48" s="2862"/>
      <c r="F48" s="2863"/>
      <c r="G48" s="1539"/>
      <c r="H48" s="1536"/>
      <c r="I48" s="1537"/>
      <c r="J48" s="1534"/>
      <c r="K48" s="1534"/>
      <c r="L48" s="1534"/>
      <c r="M48" s="1534"/>
      <c r="N48" s="1534"/>
      <c r="O48" s="2862"/>
      <c r="P48" s="2864"/>
      <c r="Q48" s="2865"/>
      <c r="R48" s="1616"/>
      <c r="S48" s="1617"/>
      <c r="T48" s="1618"/>
      <c r="U48" s="1619"/>
      <c r="V48" s="1620"/>
      <c r="W48" s="1546"/>
      <c r="X48" s="1546"/>
      <c r="Y48" s="1546"/>
      <c r="Z48" s="1546"/>
      <c r="AA48" s="1547"/>
      <c r="AB48" s="1538"/>
      <c r="AC48" s="1548"/>
      <c r="AD48" s="1363"/>
    </row>
    <row r="49" spans="1:30" ht="15">
      <c r="A49" s="1344"/>
      <c r="B49" s="1359"/>
      <c r="C49" s="967" t="s">
        <v>95</v>
      </c>
      <c r="D49" s="1621" t="s">
        <v>353</v>
      </c>
      <c r="E49" s="2849" t="s">
        <v>468</v>
      </c>
      <c r="F49" s="2850"/>
      <c r="G49" s="1622">
        <v>132</v>
      </c>
      <c r="H49" s="1553">
        <f>IF(G49=132,$F$21,IF(G49=500,$F$22,0))</f>
        <v>220.831</v>
      </c>
      <c r="I49" s="1554"/>
      <c r="J49" s="467">
        <v>42344.31527777778</v>
      </c>
      <c r="K49" s="468">
        <v>42344.510416666664</v>
      </c>
      <c r="L49" s="469">
        <f>IF(D49="","",(K49-J49)*24)</f>
        <v>4.68333333323244</v>
      </c>
      <c r="M49" s="2668">
        <f>IF(D49="","",ROUND((K49-J49)*24*60,0))</f>
        <v>281</v>
      </c>
      <c r="N49" s="178" t="s">
        <v>332</v>
      </c>
      <c r="O49" s="2866" t="str">
        <f>IF(D49="","",IF(N49="P","--","NO"))</f>
        <v>--</v>
      </c>
      <c r="P49" s="2867"/>
      <c r="Q49" s="2868"/>
      <c r="R49" s="1616">
        <f>IF(G49=500,200,IF(G49=132,40,0))</f>
        <v>40</v>
      </c>
      <c r="S49" s="1624">
        <f>IF(N49="P",H49*R49*ROUND(M49/60,2)*0.1,"--")</f>
        <v>4133.95632</v>
      </c>
      <c r="T49" s="1625" t="str">
        <f>IF(AND(N49="F",O49="NO"),H49*R49,"--")</f>
        <v>--</v>
      </c>
      <c r="U49" s="1626" t="str">
        <f>IF(N49="F",H49*R49*ROUND(M49/60,2),"--")</f>
        <v>--</v>
      </c>
      <c r="V49" s="1564" t="str">
        <f>IF(N49="RF",H49*R49*ROUND(M49/60,2),"--")</f>
        <v>--</v>
      </c>
      <c r="W49" s="1566"/>
      <c r="X49" s="1566"/>
      <c r="Y49" s="1566"/>
      <c r="Z49" s="1566"/>
      <c r="AA49" s="1567"/>
      <c r="AB49" s="1568" t="s">
        <v>77</v>
      </c>
      <c r="AC49" s="1627">
        <f>IF(D49="","",SUM(S49:V49)*IF(AB49="SI",1,2))</f>
        <v>4133.95632</v>
      </c>
      <c r="AD49" s="1477"/>
    </row>
    <row r="50" spans="1:30" ht="16.5" customHeight="1">
      <c r="A50" s="1344"/>
      <c r="B50" s="1359"/>
      <c r="C50" s="895" t="s">
        <v>96</v>
      </c>
      <c r="D50" s="1621"/>
      <c r="E50" s="2849"/>
      <c r="F50" s="2850"/>
      <c r="G50" s="1622"/>
      <c r="H50" s="1553">
        <f>IF(G50=132,$F$21,IF(G50=500,$F$22,0))</f>
        <v>0</v>
      </c>
      <c r="I50" s="1554"/>
      <c r="J50" s="1340"/>
      <c r="K50" s="1623"/>
      <c r="L50" s="1555"/>
      <c r="M50" s="1556"/>
      <c r="N50" s="1557"/>
      <c r="O50" s="2851"/>
      <c r="P50" s="2852"/>
      <c r="Q50" s="2853"/>
      <c r="R50" s="1616">
        <f>IF(G50=500,200,IF(G50=132,40,0))</f>
        <v>0</v>
      </c>
      <c r="S50" s="1624" t="str">
        <f>IF(N50="P",H50*R50*ROUND(M50/60,2)*0.1,"--")</f>
        <v>--</v>
      </c>
      <c r="T50" s="1625" t="str">
        <f>IF(AND(N50="F",O50="NO"),H50*R50,"--")</f>
        <v>--</v>
      </c>
      <c r="U50" s="1626" t="str">
        <f>IF(N50="F",H50*R50*ROUND(M50/60,2),"--")</f>
        <v>--</v>
      </c>
      <c r="V50" s="1564" t="str">
        <f>IF(N50="RF",H50*R50*ROUND(M50/60,2),"--")</f>
        <v>--</v>
      </c>
      <c r="W50" s="1566"/>
      <c r="X50" s="1566"/>
      <c r="Y50" s="1566"/>
      <c r="Z50" s="1566"/>
      <c r="AA50" s="1567"/>
      <c r="AB50" s="1568"/>
      <c r="AC50" s="1627">
        <f>IF(D50="","",SUM(S50:V50)*IF(AB50="SI",1,2))</f>
      </c>
      <c r="AD50" s="1363"/>
    </row>
    <row r="51" spans="1:30" ht="16.5" customHeight="1">
      <c r="A51" s="1344"/>
      <c r="B51" s="1359"/>
      <c r="C51" s="895" t="s">
        <v>97</v>
      </c>
      <c r="D51" s="1628"/>
      <c r="E51" s="2849"/>
      <c r="F51" s="2854"/>
      <c r="G51" s="1629"/>
      <c r="H51" s="1553">
        <f>IF(G51=132,$F$21,IF(G51=500,$F$22,0))</f>
        <v>0</v>
      </c>
      <c r="I51" s="1554"/>
      <c r="J51" s="1630"/>
      <c r="K51" s="1631"/>
      <c r="L51" s="1555">
        <f>IF(D51="","",(K51-J51)*24)</f>
      </c>
      <c r="M51" s="1556">
        <f>IF(D51="","",(K51-J51)*24*60)</f>
      </c>
      <c r="N51" s="1557"/>
      <c r="O51" s="2851">
        <f>IF(D51="","",IF(N51="P","--","NO"))</f>
      </c>
      <c r="P51" s="2852"/>
      <c r="Q51" s="2853"/>
      <c r="R51" s="1616">
        <f>IF(G51=500,200,IF(G51=132,40,0))</f>
        <v>0</v>
      </c>
      <c r="S51" s="1624" t="str">
        <f>IF(N51="P",H51*R51*ROUND(M51/60,2)*0.1,"--")</f>
        <v>--</v>
      </c>
      <c r="T51" s="1625" t="str">
        <f>IF(AND(N51="F",O51="NO"),H51*R51,"--")</f>
        <v>--</v>
      </c>
      <c r="U51" s="1626" t="str">
        <f>IF(N51="F",H51*R51*ROUND(M51/60,2),"--")</f>
        <v>--</v>
      </c>
      <c r="V51" s="1564" t="str">
        <f>IF(N51="RF",H51*R51*ROUND(M51/60,2),"--")</f>
        <v>--</v>
      </c>
      <c r="W51" s="1566"/>
      <c r="X51" s="1566"/>
      <c r="Y51" s="1566"/>
      <c r="Z51" s="1566"/>
      <c r="AA51" s="1567"/>
      <c r="AB51" s="1568">
        <f>IF(D51="","","SI")</f>
      </c>
      <c r="AC51" s="1627">
        <f>IF(D51="","",SUM(S51:V51)*IF(AB51="SI",1,2))</f>
      </c>
      <c r="AD51" s="1363"/>
    </row>
    <row r="52" spans="1:30" ht="16.5" customHeight="1" thickBot="1">
      <c r="A52" s="1384"/>
      <c r="B52" s="1359"/>
      <c r="C52" s="1478"/>
      <c r="D52" s="1575"/>
      <c r="E52" s="2855"/>
      <c r="F52" s="2856"/>
      <c r="G52" s="1632"/>
      <c r="H52" s="1579"/>
      <c r="I52" s="1580"/>
      <c r="J52" s="1581"/>
      <c r="K52" s="1582"/>
      <c r="L52" s="1583"/>
      <c r="M52" s="1584"/>
      <c r="N52" s="1585"/>
      <c r="O52" s="2839"/>
      <c r="P52" s="2857"/>
      <c r="Q52" s="2840"/>
      <c r="R52" s="1616"/>
      <c r="S52" s="1624"/>
      <c r="T52" s="1625"/>
      <c r="U52" s="1626"/>
      <c r="V52" s="1564"/>
      <c r="W52" s="1592"/>
      <c r="X52" s="1592"/>
      <c r="Y52" s="1592"/>
      <c r="Z52" s="1592"/>
      <c r="AA52" s="1593"/>
      <c r="AB52" s="1594"/>
      <c r="AC52" s="1627">
        <f>IF(D52="","",SUM(S52:V52)*IF(AB52="SI",1,2))</f>
      </c>
      <c r="AD52" s="1477"/>
    </row>
    <row r="53" spans="1:30" ht="16.5" customHeight="1" thickBot="1" thickTop="1">
      <c r="A53" s="1384"/>
      <c r="B53" s="1359"/>
      <c r="C53" s="1596"/>
      <c r="D53" s="1404"/>
      <c r="E53" s="1404"/>
      <c r="F53" s="1597"/>
      <c r="G53" s="1598"/>
      <c r="H53" s="1599"/>
      <c r="I53" s="1600"/>
      <c r="J53" s="1601"/>
      <c r="K53" s="1602"/>
      <c r="L53" s="1603"/>
      <c r="M53" s="1599"/>
      <c r="N53" s="1604"/>
      <c r="O53" s="1605"/>
      <c r="P53" s="1633"/>
      <c r="Q53" s="1634"/>
      <c r="R53" s="1635"/>
      <c r="S53" s="1635"/>
      <c r="T53" s="1635"/>
      <c r="U53" s="1636"/>
      <c r="V53" s="1636"/>
      <c r="W53" s="1636"/>
      <c r="X53" s="1636"/>
      <c r="Y53" s="1636"/>
      <c r="Z53" s="1636"/>
      <c r="AA53" s="1636"/>
      <c r="AB53" s="1636"/>
      <c r="AC53" s="1610">
        <f>ROUND(SUM(AC48:AC52),2)</f>
        <v>4133.96</v>
      </c>
      <c r="AD53" s="1477"/>
    </row>
    <row r="54" spans="1:30" ht="16.5" customHeight="1" thickBot="1" thickTop="1">
      <c r="A54" s="1384"/>
      <c r="B54" s="1359"/>
      <c r="C54" s="1596"/>
      <c r="D54" s="1404"/>
      <c r="E54" s="1404"/>
      <c r="F54" s="1597"/>
      <c r="G54" s="1598"/>
      <c r="H54" s="1599"/>
      <c r="I54" s="1600"/>
      <c r="J54" s="1601"/>
      <c r="K54" s="1602"/>
      <c r="L54" s="1603"/>
      <c r="M54" s="1599"/>
      <c r="N54" s="1604"/>
      <c r="O54" s="1605"/>
      <c r="P54" s="1633"/>
      <c r="Q54" s="1634"/>
      <c r="R54" s="1635"/>
      <c r="S54" s="1635"/>
      <c r="T54" s="1635"/>
      <c r="U54" s="1636"/>
      <c r="V54" s="1636"/>
      <c r="W54" s="1636"/>
      <c r="X54" s="1636"/>
      <c r="Y54" s="1636"/>
      <c r="Z54" s="1636"/>
      <c r="AA54" s="1636"/>
      <c r="AB54" s="1636"/>
      <c r="AC54" s="1637"/>
      <c r="AD54" s="1477"/>
    </row>
    <row r="55" spans="1:30" ht="43.5" customHeight="1" thickBot="1" thickTop="1">
      <c r="A55" s="1384"/>
      <c r="B55" s="1385"/>
      <c r="C55" s="1518" t="s">
        <v>25</v>
      </c>
      <c r="D55" s="1519" t="s">
        <v>54</v>
      </c>
      <c r="E55" s="1412" t="s">
        <v>55</v>
      </c>
      <c r="F55" s="2872" t="s">
        <v>74</v>
      </c>
      <c r="G55" s="2873"/>
      <c r="H55" s="1522" t="s">
        <v>32</v>
      </c>
      <c r="I55" s="1638"/>
      <c r="J55" s="1412" t="s">
        <v>33</v>
      </c>
      <c r="K55" s="1412" t="s">
        <v>34</v>
      </c>
      <c r="L55" s="1415" t="s">
        <v>35</v>
      </c>
      <c r="M55" s="1415" t="s">
        <v>36</v>
      </c>
      <c r="N55" s="1414" t="s">
        <v>321</v>
      </c>
      <c r="O55" s="1414" t="s">
        <v>37</v>
      </c>
      <c r="P55" s="2874" t="s">
        <v>39</v>
      </c>
      <c r="Q55" s="2875"/>
      <c r="R55" s="1639" t="s">
        <v>31</v>
      </c>
      <c r="S55" s="1640" t="s">
        <v>68</v>
      </c>
      <c r="T55" s="1641" t="s">
        <v>75</v>
      </c>
      <c r="U55" s="1642"/>
      <c r="V55" s="1643" t="s">
        <v>76</v>
      </c>
      <c r="W55" s="1644"/>
      <c r="X55" s="1645" t="s">
        <v>44</v>
      </c>
      <c r="Y55" s="1646" t="s">
        <v>41</v>
      </c>
      <c r="Z55" s="1638"/>
      <c r="AA55" s="1638"/>
      <c r="AB55" s="1533" t="s">
        <v>46</v>
      </c>
      <c r="AC55" s="1647" t="s">
        <v>47</v>
      </c>
      <c r="AD55" s="1648"/>
    </row>
    <row r="56" spans="1:30" ht="16.5" customHeight="1" thickTop="1">
      <c r="A56" s="1384"/>
      <c r="B56" s="1385"/>
      <c r="C56" s="1649"/>
      <c r="D56" s="1650"/>
      <c r="E56" s="1650"/>
      <c r="F56" s="2845"/>
      <c r="G56" s="2846"/>
      <c r="H56" s="1651"/>
      <c r="I56" s="1638"/>
      <c r="J56" s="1652"/>
      <c r="K56" s="1652"/>
      <c r="L56" s="1653"/>
      <c r="M56" s="1653"/>
      <c r="N56" s="1650"/>
      <c r="O56" s="1654"/>
      <c r="P56" s="2845"/>
      <c r="Q56" s="2846"/>
      <c r="R56" s="1655"/>
      <c r="S56" s="1656"/>
      <c r="T56" s="1657"/>
      <c r="U56" s="1658"/>
      <c r="V56" s="1659"/>
      <c r="W56" s="1660"/>
      <c r="X56" s="1661"/>
      <c r="Y56" s="1661"/>
      <c r="Z56" s="1638"/>
      <c r="AA56" s="1638"/>
      <c r="AB56" s="1662"/>
      <c r="AC56" s="1663"/>
      <c r="AD56" s="1648"/>
    </row>
    <row r="57" spans="1:30" ht="16.5" customHeight="1">
      <c r="A57" s="1384"/>
      <c r="B57" s="1385"/>
      <c r="C57" s="967" t="s">
        <v>95</v>
      </c>
      <c r="D57" s="2497"/>
      <c r="E57" s="2497"/>
      <c r="F57" s="2847"/>
      <c r="G57" s="2848"/>
      <c r="H57" s="1664">
        <f>F57*$F$20</f>
        <v>0</v>
      </c>
      <c r="I57" s="1638"/>
      <c r="J57" s="2498"/>
      <c r="K57" s="2499"/>
      <c r="L57" s="1665">
        <f aca="true" t="shared" si="1" ref="L57:L65">IF(D57="","",(K57-J57)*24)</f>
      </c>
      <c r="M57" s="1666">
        <f aca="true" t="shared" si="2" ref="M57:M65">IF(D57="","",ROUND((K57-J57)*24*60,0))</f>
      </c>
      <c r="N57" s="1559"/>
      <c r="O57" s="1463">
        <f aca="true" t="shared" si="3" ref="O57:O65">IF(D57="","","--")</f>
      </c>
      <c r="P57" s="2843">
        <f>IF(D57="","",IF(OR(N57="P",N57="RP"),"--","NO"))</f>
      </c>
      <c r="Q57" s="2844"/>
      <c r="R57" s="1667">
        <f aca="true" t="shared" si="4" ref="R57:R64">IF(OR(N57="P",N57="RP"),20/10,20)</f>
        <v>20</v>
      </c>
      <c r="S57" s="1668" t="str">
        <f aca="true" t="shared" si="5" ref="S57:S64">IF(N57="P",H57*R57*ROUND(M57/60,2),"--")</f>
        <v>--</v>
      </c>
      <c r="T57" s="1669" t="str">
        <f aca="true" t="shared" si="6" ref="T57:T64">IF(AND(N57="F",P57="NO"),H57*R57,"--")</f>
        <v>--</v>
      </c>
      <c r="U57" s="1670" t="str">
        <f aca="true" t="shared" si="7" ref="U57:U64">IF(N57="F",H57*R57*ROUND(M57/60,2),"--")</f>
        <v>--</v>
      </c>
      <c r="V57" s="1671" t="str">
        <f aca="true" t="shared" si="8" ref="V57:V64">IF(AND(N57="R",P57="NO"),H57*R57*O57/100,"--")</f>
        <v>--</v>
      </c>
      <c r="W57" s="1672" t="str">
        <f aca="true" t="shared" si="9" ref="W57:W64">IF(N57="R",H57*R57*O57/100*ROUND(M57/60,2),"--")</f>
        <v>--</v>
      </c>
      <c r="X57" s="1673" t="str">
        <f aca="true" t="shared" si="10" ref="X57:X64">IF(N57="RF",H57*R57*ROUND(M57/60,2),"--")</f>
        <v>--</v>
      </c>
      <c r="Y57" s="1674" t="str">
        <f aca="true" t="shared" si="11" ref="Y57:Y64">IF(N57="RP",H57*R57*O57/100*ROUND(M57/60,2),"--")</f>
        <v>--</v>
      </c>
      <c r="Z57" s="1638"/>
      <c r="AA57" s="1638"/>
      <c r="AB57" s="1675">
        <f aca="true" t="shared" si="12" ref="AB57:AB64">IF(D57="","","SI")</f>
      </c>
      <c r="AC57" s="1676">
        <f aca="true" t="shared" si="13" ref="AC57:AC64">IF(D57="","",SUM(S57:Y57)*IF(AB57="SI",1,2)*IF(AND(O57&lt;&gt;"--",N57="RF"),O57/100,1))</f>
      </c>
      <c r="AD57" s="1648"/>
    </row>
    <row r="58" spans="2:30" s="1384" customFormat="1" ht="16.5" customHeight="1">
      <c r="B58" s="1385"/>
      <c r="C58" s="895" t="s">
        <v>96</v>
      </c>
      <c r="D58" s="542"/>
      <c r="E58" s="542"/>
      <c r="F58" s="2841"/>
      <c r="G58" s="2842"/>
      <c r="H58" s="1664">
        <f>F58*$F$20</f>
        <v>0</v>
      </c>
      <c r="I58" s="1638"/>
      <c r="J58" s="467"/>
      <c r="K58" s="204"/>
      <c r="L58" s="1678">
        <f t="shared" si="1"/>
      </c>
      <c r="M58" s="1461">
        <f t="shared" si="2"/>
      </c>
      <c r="N58" s="1679"/>
      <c r="O58" s="1463">
        <f t="shared" si="3"/>
      </c>
      <c r="P58" s="2843">
        <f>IF(D58="","",IF(OR(N58="P",N58="RP"),"--","NO"))</f>
      </c>
      <c r="Q58" s="2844"/>
      <c r="R58" s="1667">
        <f t="shared" si="4"/>
        <v>20</v>
      </c>
      <c r="S58" s="1668" t="str">
        <f t="shared" si="5"/>
        <v>--</v>
      </c>
      <c r="T58" s="1669" t="str">
        <f t="shared" si="6"/>
        <v>--</v>
      </c>
      <c r="U58" s="1670" t="str">
        <f t="shared" si="7"/>
        <v>--</v>
      </c>
      <c r="V58" s="1671" t="str">
        <f t="shared" si="8"/>
        <v>--</v>
      </c>
      <c r="W58" s="1672" t="str">
        <f t="shared" si="9"/>
        <v>--</v>
      </c>
      <c r="X58" s="1673" t="str">
        <f t="shared" si="10"/>
        <v>--</v>
      </c>
      <c r="Y58" s="1681" t="str">
        <f t="shared" si="11"/>
        <v>--</v>
      </c>
      <c r="Z58" s="1638"/>
      <c r="AA58" s="1638"/>
      <c r="AB58" s="1464">
        <f t="shared" si="12"/>
      </c>
      <c r="AC58" s="1627">
        <f t="shared" si="13"/>
      </c>
      <c r="AD58" s="1648"/>
    </row>
    <row r="59" spans="2:30" s="1384" customFormat="1" ht="16.5" customHeight="1">
      <c r="B59" s="1385"/>
      <c r="C59" s="895" t="s">
        <v>97</v>
      </c>
      <c r="D59" s="1682"/>
      <c r="E59" s="1683"/>
      <c r="F59" s="2841"/>
      <c r="G59" s="2842"/>
      <c r="H59" s="1677">
        <f>F59*$F$21</f>
        <v>0</v>
      </c>
      <c r="I59" s="1638"/>
      <c r="J59" s="1684"/>
      <c r="K59" s="1685"/>
      <c r="L59" s="1678">
        <f t="shared" si="1"/>
      </c>
      <c r="M59" s="1461">
        <f t="shared" si="2"/>
      </c>
      <c r="N59" s="1679"/>
      <c r="O59" s="1463">
        <f t="shared" si="3"/>
      </c>
      <c r="P59" s="2843">
        <f aca="true" t="shared" si="14" ref="P59:P64">IF(D59="","",IF(OR(N59="P",N59="RP"),"--","NO"))</f>
      </c>
      <c r="Q59" s="2844"/>
      <c r="R59" s="1667">
        <f t="shared" si="4"/>
        <v>20</v>
      </c>
      <c r="S59" s="1680" t="str">
        <f t="shared" si="5"/>
        <v>--</v>
      </c>
      <c r="T59" s="1669" t="str">
        <f t="shared" si="6"/>
        <v>--</v>
      </c>
      <c r="U59" s="1670" t="str">
        <f t="shared" si="7"/>
        <v>--</v>
      </c>
      <c r="V59" s="1671" t="str">
        <f t="shared" si="8"/>
        <v>--</v>
      </c>
      <c r="W59" s="1672" t="str">
        <f t="shared" si="9"/>
        <v>--</v>
      </c>
      <c r="X59" s="1673" t="str">
        <f t="shared" si="10"/>
        <v>--</v>
      </c>
      <c r="Y59" s="1681" t="str">
        <f t="shared" si="11"/>
        <v>--</v>
      </c>
      <c r="Z59" s="1638"/>
      <c r="AA59" s="1638"/>
      <c r="AB59" s="1464">
        <f t="shared" si="12"/>
      </c>
      <c r="AC59" s="1627">
        <f t="shared" si="13"/>
      </c>
      <c r="AD59" s="1648"/>
    </row>
    <row r="60" spans="2:30" s="1384" customFormat="1" ht="16.5" customHeight="1">
      <c r="B60" s="1385"/>
      <c r="C60" s="895" t="s">
        <v>98</v>
      </c>
      <c r="D60" s="1682"/>
      <c r="E60" s="1683"/>
      <c r="F60" s="2841"/>
      <c r="G60" s="2842"/>
      <c r="H60" s="1677">
        <f>F60*$F$20</f>
        <v>0</v>
      </c>
      <c r="I60" s="1638"/>
      <c r="J60" s="1684"/>
      <c r="K60" s="1685"/>
      <c r="L60" s="1678">
        <f t="shared" si="1"/>
      </c>
      <c r="M60" s="1461">
        <f t="shared" si="2"/>
      </c>
      <c r="N60" s="1679"/>
      <c r="O60" s="1463">
        <f t="shared" si="3"/>
      </c>
      <c r="P60" s="2843">
        <f t="shared" si="14"/>
      </c>
      <c r="Q60" s="2844"/>
      <c r="R60" s="1667">
        <f t="shared" si="4"/>
        <v>20</v>
      </c>
      <c r="S60" s="1680" t="str">
        <f t="shared" si="5"/>
        <v>--</v>
      </c>
      <c r="T60" s="1669" t="str">
        <f t="shared" si="6"/>
        <v>--</v>
      </c>
      <c r="U60" s="1670" t="str">
        <f t="shared" si="7"/>
        <v>--</v>
      </c>
      <c r="V60" s="1671" t="str">
        <f t="shared" si="8"/>
        <v>--</v>
      </c>
      <c r="W60" s="1672" t="str">
        <f t="shared" si="9"/>
        <v>--</v>
      </c>
      <c r="X60" s="1673" t="str">
        <f t="shared" si="10"/>
        <v>--</v>
      </c>
      <c r="Y60" s="1681" t="str">
        <f t="shared" si="11"/>
        <v>--</v>
      </c>
      <c r="Z60" s="1638"/>
      <c r="AA60" s="1638"/>
      <c r="AB60" s="1464">
        <f t="shared" si="12"/>
      </c>
      <c r="AC60" s="1627">
        <f t="shared" si="13"/>
      </c>
      <c r="AD60" s="1648"/>
    </row>
    <row r="61" spans="2:30" s="1384" customFormat="1" ht="16.5" customHeight="1">
      <c r="B61" s="1385"/>
      <c r="C61" s="895" t="s">
        <v>99</v>
      </c>
      <c r="D61" s="1682"/>
      <c r="E61" s="1683"/>
      <c r="F61" s="2841"/>
      <c r="G61" s="2842"/>
      <c r="H61" s="1677">
        <f>F61*$F$21</f>
        <v>0</v>
      </c>
      <c r="I61" s="1638"/>
      <c r="J61" s="1684"/>
      <c r="K61" s="1685"/>
      <c r="L61" s="1678">
        <f t="shared" si="1"/>
      </c>
      <c r="M61" s="1461">
        <f t="shared" si="2"/>
      </c>
      <c r="N61" s="1679"/>
      <c r="O61" s="1463">
        <f t="shared" si="3"/>
      </c>
      <c r="P61" s="2843">
        <f t="shared" si="14"/>
      </c>
      <c r="Q61" s="2844"/>
      <c r="R61" s="1667">
        <f t="shared" si="4"/>
        <v>20</v>
      </c>
      <c r="S61" s="1680" t="str">
        <f t="shared" si="5"/>
        <v>--</v>
      </c>
      <c r="T61" s="1669" t="str">
        <f t="shared" si="6"/>
        <v>--</v>
      </c>
      <c r="U61" s="1670" t="str">
        <f t="shared" si="7"/>
        <v>--</v>
      </c>
      <c r="V61" s="1671" t="str">
        <f t="shared" si="8"/>
        <v>--</v>
      </c>
      <c r="W61" s="1672" t="str">
        <f t="shared" si="9"/>
        <v>--</v>
      </c>
      <c r="X61" s="1673" t="str">
        <f t="shared" si="10"/>
        <v>--</v>
      </c>
      <c r="Y61" s="1681" t="str">
        <f t="shared" si="11"/>
        <v>--</v>
      </c>
      <c r="Z61" s="1638"/>
      <c r="AA61" s="1638"/>
      <c r="AB61" s="1464">
        <f t="shared" si="12"/>
      </c>
      <c r="AC61" s="1627">
        <f t="shared" si="13"/>
      </c>
      <c r="AD61" s="1648"/>
    </row>
    <row r="62" spans="1:30" ht="16.5" customHeight="1">
      <c r="A62" s="1384"/>
      <c r="B62" s="1385"/>
      <c r="C62" s="895" t="s">
        <v>100</v>
      </c>
      <c r="D62" s="1682"/>
      <c r="E62" s="1683"/>
      <c r="F62" s="2841"/>
      <c r="G62" s="2842"/>
      <c r="H62" s="1677">
        <f>F62*$F$21</f>
        <v>0</v>
      </c>
      <c r="I62" s="1638"/>
      <c r="J62" s="1684"/>
      <c r="K62" s="1685"/>
      <c r="L62" s="1678">
        <f t="shared" si="1"/>
      </c>
      <c r="M62" s="1461">
        <f t="shared" si="2"/>
      </c>
      <c r="N62" s="1679"/>
      <c r="O62" s="1463">
        <f t="shared" si="3"/>
      </c>
      <c r="P62" s="2843">
        <f t="shared" si="14"/>
      </c>
      <c r="Q62" s="2844"/>
      <c r="R62" s="1667">
        <f t="shared" si="4"/>
        <v>20</v>
      </c>
      <c r="S62" s="1680" t="str">
        <f t="shared" si="5"/>
        <v>--</v>
      </c>
      <c r="T62" s="1669" t="str">
        <f t="shared" si="6"/>
        <v>--</v>
      </c>
      <c r="U62" s="1670" t="str">
        <f t="shared" si="7"/>
        <v>--</v>
      </c>
      <c r="V62" s="1671" t="str">
        <f t="shared" si="8"/>
        <v>--</v>
      </c>
      <c r="W62" s="1672" t="str">
        <f t="shared" si="9"/>
        <v>--</v>
      </c>
      <c r="X62" s="1673" t="str">
        <f t="shared" si="10"/>
        <v>--</v>
      </c>
      <c r="Y62" s="1681" t="str">
        <f t="shared" si="11"/>
        <v>--</v>
      </c>
      <c r="Z62" s="1638"/>
      <c r="AA62" s="1638"/>
      <c r="AB62" s="1464">
        <f t="shared" si="12"/>
      </c>
      <c r="AC62" s="1627">
        <f t="shared" si="13"/>
      </c>
      <c r="AD62" s="1648"/>
    </row>
    <row r="63" spans="1:30" ht="16.5" customHeight="1">
      <c r="A63" s="1384"/>
      <c r="B63" s="1385"/>
      <c r="C63" s="895" t="s">
        <v>101</v>
      </c>
      <c r="D63" s="1682"/>
      <c r="E63" s="1683"/>
      <c r="F63" s="2841"/>
      <c r="G63" s="2842"/>
      <c r="H63" s="1677">
        <f>F63*$F$21</f>
        <v>0</v>
      </c>
      <c r="I63" s="1638"/>
      <c r="J63" s="1684"/>
      <c r="K63" s="1685"/>
      <c r="L63" s="1678">
        <f t="shared" si="1"/>
      </c>
      <c r="M63" s="1461">
        <f t="shared" si="2"/>
      </c>
      <c r="N63" s="1679"/>
      <c r="O63" s="1463">
        <f t="shared" si="3"/>
      </c>
      <c r="P63" s="2843">
        <f t="shared" si="14"/>
      </c>
      <c r="Q63" s="2844"/>
      <c r="R63" s="1667">
        <f t="shared" si="4"/>
        <v>20</v>
      </c>
      <c r="S63" s="1680" t="str">
        <f t="shared" si="5"/>
        <v>--</v>
      </c>
      <c r="T63" s="1669" t="str">
        <f t="shared" si="6"/>
        <v>--</v>
      </c>
      <c r="U63" s="1670" t="str">
        <f t="shared" si="7"/>
        <v>--</v>
      </c>
      <c r="V63" s="1671" t="str">
        <f t="shared" si="8"/>
        <v>--</v>
      </c>
      <c r="W63" s="1672" t="str">
        <f t="shared" si="9"/>
        <v>--</v>
      </c>
      <c r="X63" s="1673" t="str">
        <f t="shared" si="10"/>
        <v>--</v>
      </c>
      <c r="Y63" s="1681" t="str">
        <f t="shared" si="11"/>
        <v>--</v>
      </c>
      <c r="Z63" s="1638"/>
      <c r="AA63" s="1638"/>
      <c r="AB63" s="1464">
        <f t="shared" si="12"/>
      </c>
      <c r="AC63" s="1627">
        <f t="shared" si="13"/>
      </c>
      <c r="AD63" s="1648"/>
    </row>
    <row r="64" spans="1:30" ht="16.5" customHeight="1">
      <c r="A64" s="1384"/>
      <c r="B64" s="1385"/>
      <c r="C64" s="895" t="s">
        <v>102</v>
      </c>
      <c r="D64" s="1682"/>
      <c r="E64" s="1683"/>
      <c r="F64" s="2841"/>
      <c r="G64" s="2842"/>
      <c r="H64" s="1677">
        <f>F64*$F$21</f>
        <v>0</v>
      </c>
      <c r="I64" s="1638"/>
      <c r="J64" s="1684"/>
      <c r="K64" s="1685"/>
      <c r="L64" s="1678">
        <f t="shared" si="1"/>
      </c>
      <c r="M64" s="1461">
        <f t="shared" si="2"/>
      </c>
      <c r="N64" s="1679"/>
      <c r="O64" s="1463">
        <f t="shared" si="3"/>
      </c>
      <c r="P64" s="2843">
        <f t="shared" si="14"/>
      </c>
      <c r="Q64" s="2844"/>
      <c r="R64" s="1667">
        <f t="shared" si="4"/>
        <v>20</v>
      </c>
      <c r="S64" s="1680" t="str">
        <f t="shared" si="5"/>
        <v>--</v>
      </c>
      <c r="T64" s="1669" t="str">
        <f t="shared" si="6"/>
        <v>--</v>
      </c>
      <c r="U64" s="1670" t="str">
        <f t="shared" si="7"/>
        <v>--</v>
      </c>
      <c r="V64" s="1671" t="str">
        <f t="shared" si="8"/>
        <v>--</v>
      </c>
      <c r="W64" s="1672" t="str">
        <f t="shared" si="9"/>
        <v>--</v>
      </c>
      <c r="X64" s="1673" t="str">
        <f t="shared" si="10"/>
        <v>--</v>
      </c>
      <c r="Y64" s="1681" t="str">
        <f t="shared" si="11"/>
        <v>--</v>
      </c>
      <c r="Z64" s="1638"/>
      <c r="AA64" s="1638"/>
      <c r="AB64" s="1464">
        <f t="shared" si="12"/>
      </c>
      <c r="AC64" s="1627">
        <f t="shared" si="13"/>
      </c>
      <c r="AD64" s="1648"/>
    </row>
    <row r="65" spans="1:30" ht="16.5" customHeight="1" thickBot="1">
      <c r="A65" s="1384"/>
      <c r="B65" s="1385"/>
      <c r="C65" s="1686"/>
      <c r="D65" s="1687"/>
      <c r="E65" s="1688"/>
      <c r="F65" s="2837"/>
      <c r="G65" s="2838"/>
      <c r="H65" s="1677">
        <f>F65*$F$21</f>
        <v>0</v>
      </c>
      <c r="I65" s="1638"/>
      <c r="J65" s="1689"/>
      <c r="K65" s="1690"/>
      <c r="L65" s="1691">
        <f t="shared" si="1"/>
      </c>
      <c r="M65" s="1692">
        <f t="shared" si="2"/>
      </c>
      <c r="N65" s="1693"/>
      <c r="O65" s="1694">
        <f t="shared" si="3"/>
      </c>
      <c r="P65" s="2839"/>
      <c r="Q65" s="2840"/>
      <c r="R65" s="1695"/>
      <c r="S65" s="1696"/>
      <c r="T65" s="1697"/>
      <c r="U65" s="1698"/>
      <c r="V65" s="1699"/>
      <c r="W65" s="1700"/>
      <c r="X65" s="1701"/>
      <c r="Y65" s="1702"/>
      <c r="Z65" s="1592"/>
      <c r="AA65" s="1592"/>
      <c r="AB65" s="1486"/>
      <c r="AC65" s="1703"/>
      <c r="AD65" s="1648"/>
    </row>
    <row r="66" spans="1:30" ht="16.5" customHeight="1" thickBot="1" thickTop="1">
      <c r="A66" s="1384"/>
      <c r="B66" s="1385"/>
      <c r="C66" s="1596"/>
      <c r="D66" s="1404"/>
      <c r="E66" s="1636"/>
      <c r="F66" s="1636"/>
      <c r="G66" s="1636"/>
      <c r="H66" s="1636"/>
      <c r="I66" s="1636"/>
      <c r="J66" s="1636"/>
      <c r="K66" s="1636"/>
      <c r="L66" s="1636"/>
      <c r="M66" s="1636"/>
      <c r="N66" s="1636"/>
      <c r="O66" s="1636"/>
      <c r="P66" s="1636"/>
      <c r="Q66" s="1636"/>
      <c r="R66" s="1636"/>
      <c r="S66" s="1636"/>
      <c r="T66" s="1636"/>
      <c r="U66" s="1636"/>
      <c r="V66" s="1636"/>
      <c r="W66" s="1636"/>
      <c r="X66" s="1636"/>
      <c r="Y66" s="1636"/>
      <c r="Z66" s="1636"/>
      <c r="AA66" s="1636"/>
      <c r="AB66" s="1636"/>
      <c r="AC66" s="1610">
        <f>SUM(AC56:AC65)</f>
        <v>0</v>
      </c>
      <c r="AD66" s="1648"/>
    </row>
    <row r="67" spans="1:30" ht="16.5" customHeight="1" thickBot="1" thickTop="1">
      <c r="A67" s="1384"/>
      <c r="B67" s="1385"/>
      <c r="C67" s="1596"/>
      <c r="D67" s="1404"/>
      <c r="E67" s="1636"/>
      <c r="F67" s="1636"/>
      <c r="G67" s="1636"/>
      <c r="H67" s="1636"/>
      <c r="I67" s="1636"/>
      <c r="J67" s="1636"/>
      <c r="K67" s="1636"/>
      <c r="L67" s="1636"/>
      <c r="M67" s="1636"/>
      <c r="N67" s="1636"/>
      <c r="O67" s="1636"/>
      <c r="P67" s="1636"/>
      <c r="Q67" s="1636"/>
      <c r="R67" s="1636"/>
      <c r="S67" s="1636"/>
      <c r="T67" s="1636"/>
      <c r="U67" s="1636"/>
      <c r="V67" s="1636"/>
      <c r="W67" s="1636"/>
      <c r="X67" s="1636"/>
      <c r="Y67" s="1636"/>
      <c r="Z67" s="1636"/>
      <c r="AA67" s="1636"/>
      <c r="AB67" s="1636"/>
      <c r="AC67" s="1704"/>
      <c r="AD67" s="1648"/>
    </row>
    <row r="68" spans="1:30" ht="16.5" customHeight="1" thickBot="1" thickTop="1">
      <c r="A68" s="1384"/>
      <c r="B68" s="1359"/>
      <c r="C68" s="1596"/>
      <c r="D68" s="1404"/>
      <c r="E68" s="1404"/>
      <c r="F68" s="1597"/>
      <c r="G68" s="1598"/>
      <c r="H68" s="1599"/>
      <c r="I68" s="1600"/>
      <c r="J68" s="1402" t="s">
        <v>109</v>
      </c>
      <c r="K68" s="1403">
        <f>+AC45+AC37+AC53+AC66</f>
        <v>4133.96</v>
      </c>
      <c r="L68" s="1603"/>
      <c r="M68" s="1599"/>
      <c r="N68" s="1705"/>
      <c r="O68" s="1706"/>
      <c r="P68" s="1633"/>
      <c r="Q68" s="1634"/>
      <c r="R68" s="1635"/>
      <c r="S68" s="1635"/>
      <c r="T68" s="1635"/>
      <c r="U68" s="1636"/>
      <c r="V68" s="1636"/>
      <c r="W68" s="1636"/>
      <c r="X68" s="1636"/>
      <c r="Y68" s="1636"/>
      <c r="Z68" s="1636"/>
      <c r="AA68" s="1636"/>
      <c r="AB68" s="1636"/>
      <c r="AC68" s="1707"/>
      <c r="AD68" s="1477"/>
    </row>
    <row r="69" spans="1:30" ht="13.5" customHeight="1" thickTop="1">
      <c r="A69" s="1384"/>
      <c r="B69" s="1385"/>
      <c r="C69" s="1389"/>
      <c r="D69" s="1708"/>
      <c r="E69" s="1709"/>
      <c r="F69" s="1710"/>
      <c r="G69" s="1711"/>
      <c r="H69" s="1711"/>
      <c r="I69" s="1709"/>
      <c r="J69" s="1712"/>
      <c r="K69" s="1712"/>
      <c r="L69" s="1709"/>
      <c r="M69" s="1709"/>
      <c r="N69" s="1709"/>
      <c r="O69" s="1713"/>
      <c r="P69" s="1709"/>
      <c r="Q69" s="1709"/>
      <c r="R69" s="1714"/>
      <c r="S69" s="1715"/>
      <c r="T69" s="1715"/>
      <c r="U69" s="1716"/>
      <c r="AC69" s="1716"/>
      <c r="AD69" s="1648"/>
    </row>
    <row r="70" spans="1:30" ht="16.5" customHeight="1">
      <c r="A70" s="1384"/>
      <c r="B70" s="1385"/>
      <c r="C70" s="1717" t="s">
        <v>110</v>
      </c>
      <c r="D70" s="1718" t="s">
        <v>324</v>
      </c>
      <c r="E70" s="1709"/>
      <c r="F70" s="1710"/>
      <c r="G70" s="1711"/>
      <c r="H70" s="1711"/>
      <c r="I70" s="1709"/>
      <c r="J70" s="1712"/>
      <c r="K70" s="1712"/>
      <c r="L70" s="1709"/>
      <c r="M70" s="1709"/>
      <c r="N70" s="1709"/>
      <c r="O70" s="1713"/>
      <c r="P70" s="1709"/>
      <c r="Q70" s="1709"/>
      <c r="R70" s="1714"/>
      <c r="S70" s="1715"/>
      <c r="T70" s="1715"/>
      <c r="U70" s="1716"/>
      <c r="AC70" s="1716"/>
      <c r="AD70" s="1648"/>
    </row>
    <row r="71" spans="1:30" ht="16.5" customHeight="1">
      <c r="A71" s="1384"/>
      <c r="B71" s="1385"/>
      <c r="C71" s="1717"/>
      <c r="D71" s="1708"/>
      <c r="E71" s="1709"/>
      <c r="F71" s="1710"/>
      <c r="G71" s="1711"/>
      <c r="H71" s="1711"/>
      <c r="I71" s="1709"/>
      <c r="J71" s="1712"/>
      <c r="K71" s="1712"/>
      <c r="L71" s="1709"/>
      <c r="M71" s="1709"/>
      <c r="N71" s="1709"/>
      <c r="O71" s="1713"/>
      <c r="P71" s="1709"/>
      <c r="Q71" s="1709"/>
      <c r="R71" s="1709"/>
      <c r="S71" s="1714"/>
      <c r="T71" s="1715"/>
      <c r="AD71" s="1648"/>
    </row>
    <row r="72" spans="2:30" s="1384" customFormat="1" ht="16.5" customHeight="1">
      <c r="B72" s="1385"/>
      <c r="C72" s="1389"/>
      <c r="D72" s="1719" t="s">
        <v>5</v>
      </c>
      <c r="E72" s="1502" t="s">
        <v>111</v>
      </c>
      <c r="F72" s="1502" t="s">
        <v>112</v>
      </c>
      <c r="G72" s="1720" t="s">
        <v>325</v>
      </c>
      <c r="H72" s="1503"/>
      <c r="I72" s="1502"/>
      <c r="J72" s="1345"/>
      <c r="K72" s="1345"/>
      <c r="L72" s="1721" t="s">
        <v>326</v>
      </c>
      <c r="M72" s="1345"/>
      <c r="N72" s="1345"/>
      <c r="O72" s="1345"/>
      <c r="P72" s="1345"/>
      <c r="Q72" s="1722"/>
      <c r="R72" s="1722"/>
      <c r="S72" s="1386"/>
      <c r="T72" s="1345"/>
      <c r="U72" s="1345"/>
      <c r="V72" s="1345"/>
      <c r="W72" s="1345"/>
      <c r="X72" s="1386"/>
      <c r="Y72" s="1386"/>
      <c r="Z72" s="1386"/>
      <c r="AA72" s="1386"/>
      <c r="AB72" s="1386"/>
      <c r="AC72" s="1723" t="s">
        <v>328</v>
      </c>
      <c r="AD72" s="1648"/>
    </row>
    <row r="73" spans="2:30" s="1384" customFormat="1" ht="16.5" customHeight="1">
      <c r="B73" s="1385"/>
      <c r="C73" s="1389"/>
      <c r="D73" s="1502" t="s">
        <v>123</v>
      </c>
      <c r="E73" s="1724">
        <v>506</v>
      </c>
      <c r="F73" s="1724">
        <v>500</v>
      </c>
      <c r="G73" s="1725">
        <f>E73*$F$19*$L$20/100</f>
        <v>1905355.83216</v>
      </c>
      <c r="H73" s="1725"/>
      <c r="I73" s="1725"/>
      <c r="J73" s="1374"/>
      <c r="K73" s="1345"/>
      <c r="L73" s="1726">
        <v>733397</v>
      </c>
      <c r="M73" s="1374"/>
      <c r="N73" s="1727" t="str">
        <f>"(DTE "&amp;DATO!$G$14&amp;DATO!$H$14&amp;")"</f>
        <v>(DTE 1215)</v>
      </c>
      <c r="O73" s="1345"/>
      <c r="P73" s="1345"/>
      <c r="Q73" s="1722"/>
      <c r="R73" s="1722"/>
      <c r="S73" s="1386"/>
      <c r="T73" s="1345"/>
      <c r="U73" s="1345"/>
      <c r="V73" s="1345"/>
      <c r="W73" s="1345"/>
      <c r="X73" s="1386"/>
      <c r="Y73" s="1386"/>
      <c r="Z73" s="1386"/>
      <c r="AA73" s="1386"/>
      <c r="AB73" s="1728"/>
      <c r="AC73" s="1729">
        <f>L73+G73</f>
        <v>2638752.8321599998</v>
      </c>
      <c r="AD73" s="1648"/>
    </row>
    <row r="74" spans="2:30" s="1384" customFormat="1" ht="16.5" customHeight="1">
      <c r="B74" s="1385"/>
      <c r="C74" s="1389"/>
      <c r="D74" s="1730" t="s">
        <v>124</v>
      </c>
      <c r="E74" s="1724">
        <v>85</v>
      </c>
      <c r="F74" s="1724">
        <v>500</v>
      </c>
      <c r="G74" s="1725">
        <f>E74*$F$19*$L$20/100</f>
        <v>320069.6556</v>
      </c>
      <c r="H74" s="1730"/>
      <c r="I74" s="1731"/>
      <c r="J74" s="1374"/>
      <c r="K74" s="1345"/>
      <c r="L74" s="1725">
        <v>27637</v>
      </c>
      <c r="M74" s="1374"/>
      <c r="N74" s="1727" t="str">
        <f>"(DTE "&amp;DATO!$G$14&amp;DATO!$H$14&amp;")"</f>
        <v>(DTE 1215)</v>
      </c>
      <c r="O74" s="1732"/>
      <c r="P74" s="1345"/>
      <c r="Q74" s="1722"/>
      <c r="R74" s="1722"/>
      <c r="S74" s="1386"/>
      <c r="T74" s="1345"/>
      <c r="U74" s="1345"/>
      <c r="V74" s="1345"/>
      <c r="W74" s="1345"/>
      <c r="X74" s="1386"/>
      <c r="Y74" s="1386"/>
      <c r="Z74" s="1386"/>
      <c r="AA74" s="1386"/>
      <c r="AB74" s="1386"/>
      <c r="AC74" s="1729">
        <f>L74+G74</f>
        <v>347706.6556</v>
      </c>
      <c r="AD74" s="1648"/>
    </row>
    <row r="75" spans="2:30" s="1384" customFormat="1" ht="16.5" customHeight="1">
      <c r="B75" s="1385"/>
      <c r="C75" s="1389"/>
      <c r="E75" s="1394"/>
      <c r="F75" s="1502"/>
      <c r="G75" s="1503"/>
      <c r="H75" s="1345"/>
      <c r="I75" s="1502"/>
      <c r="J75" s="1502"/>
      <c r="K75" s="1345"/>
      <c r="L75" s="1729"/>
      <c r="M75" s="1733"/>
      <c r="N75" s="1733"/>
      <c r="O75" s="1722"/>
      <c r="P75" s="1722"/>
      <c r="Q75" s="1722"/>
      <c r="R75" s="1722"/>
      <c r="S75" s="1386"/>
      <c r="T75" s="1345"/>
      <c r="U75" s="1345"/>
      <c r="V75" s="1345"/>
      <c r="W75" s="1345"/>
      <c r="X75" s="1386"/>
      <c r="Y75" s="1386"/>
      <c r="Z75" s="1386"/>
      <c r="AA75" s="1386"/>
      <c r="AB75" s="1386"/>
      <c r="AC75" s="1729"/>
      <c r="AD75" s="1648"/>
    </row>
    <row r="76" spans="1:30" ht="16.5" customHeight="1">
      <c r="A76" s="1384"/>
      <c r="B76" s="1385"/>
      <c r="C76" s="1389"/>
      <c r="D76" s="1719" t="s">
        <v>125</v>
      </c>
      <c r="E76" s="1502" t="s">
        <v>126</v>
      </c>
      <c r="F76" s="1502" t="s">
        <v>112</v>
      </c>
      <c r="G76" s="1720" t="s">
        <v>329</v>
      </c>
      <c r="I76" s="1734"/>
      <c r="J76" s="1502"/>
      <c r="L76" s="1721" t="s">
        <v>327</v>
      </c>
      <c r="M76" s="1734"/>
      <c r="N76" s="1733"/>
      <c r="O76" s="1722"/>
      <c r="P76" s="1722"/>
      <c r="Q76" s="1722"/>
      <c r="R76" s="1722"/>
      <c r="S76" s="1722"/>
      <c r="AC76" s="1729"/>
      <c r="AD76" s="1648"/>
    </row>
    <row r="77" spans="1:30" ht="16.5" customHeight="1">
      <c r="A77" s="1384"/>
      <c r="B77" s="1385"/>
      <c r="C77" s="1389"/>
      <c r="D77" s="1502" t="s">
        <v>127</v>
      </c>
      <c r="E77" s="1724">
        <v>300</v>
      </c>
      <c r="F77" s="1724" t="s">
        <v>128</v>
      </c>
      <c r="G77" s="1725">
        <f>E77*F20*L20</f>
        <v>310471.2</v>
      </c>
      <c r="H77" s="1374"/>
      <c r="I77" s="1374"/>
      <c r="J77" s="1726"/>
      <c r="L77" s="1726">
        <v>0</v>
      </c>
      <c r="M77" s="1374"/>
      <c r="N77" s="1727" t="str">
        <f>"(DTE "&amp;DATO!$G$14&amp;DATO!$H$14&amp;")"</f>
        <v>(DTE 1215)</v>
      </c>
      <c r="O77" s="1735"/>
      <c r="P77" s="1735"/>
      <c r="Q77" s="1735"/>
      <c r="R77" s="1735"/>
      <c r="S77" s="1735"/>
      <c r="AC77" s="1736">
        <f>G77</f>
        <v>310471.2</v>
      </c>
      <c r="AD77" s="1648"/>
    </row>
    <row r="78" spans="1:30" ht="16.5" customHeight="1">
      <c r="A78" s="1384"/>
      <c r="B78" s="1385"/>
      <c r="C78" s="1389"/>
      <c r="D78" s="1502"/>
      <c r="E78" s="1724"/>
      <c r="F78" s="1724"/>
      <c r="G78" s="1725"/>
      <c r="H78" s="1374"/>
      <c r="I78" s="1374"/>
      <c r="J78" s="1726"/>
      <c r="L78" s="1726"/>
      <c r="M78" s="1374"/>
      <c r="N78" s="1737"/>
      <c r="O78" s="1735"/>
      <c r="P78" s="1735"/>
      <c r="Q78" s="1735"/>
      <c r="R78" s="1735"/>
      <c r="S78" s="1735"/>
      <c r="AC78" s="1736"/>
      <c r="AD78" s="1648"/>
    </row>
    <row r="79" spans="1:30" ht="16.5" customHeight="1">
      <c r="A79" s="1384"/>
      <c r="B79" s="1385"/>
      <c r="C79" s="1389"/>
      <c r="D79" s="1719" t="s">
        <v>129</v>
      </c>
      <c r="E79" s="1731" t="s">
        <v>130</v>
      </c>
      <c r="F79" s="1731"/>
      <c r="G79" s="1502" t="s">
        <v>112</v>
      </c>
      <c r="I79" s="1734"/>
      <c r="J79" s="1720" t="s">
        <v>330</v>
      </c>
      <c r="L79" s="1721"/>
      <c r="M79" s="1734"/>
      <c r="N79" s="1733"/>
      <c r="O79" s="1722"/>
      <c r="P79" s="1722"/>
      <c r="Q79" s="1722"/>
      <c r="R79" s="1722"/>
      <c r="S79" s="1722"/>
      <c r="AC79" s="1729"/>
      <c r="AD79" s="1648"/>
    </row>
    <row r="80" spans="1:30" ht="16.5" customHeight="1">
      <c r="A80" s="1384"/>
      <c r="B80" s="1385"/>
      <c r="C80" s="1389"/>
      <c r="D80" s="1502" t="s">
        <v>131</v>
      </c>
      <c r="E80" s="1738" t="s">
        <v>132</v>
      </c>
      <c r="F80" s="1739"/>
      <c r="G80" s="1724">
        <v>132</v>
      </c>
      <c r="H80" s="1374"/>
      <c r="I80" s="1374"/>
      <c r="J80" s="1725">
        <f>F21*L20*3</f>
        <v>492894.792</v>
      </c>
      <c r="L80" s="1726"/>
      <c r="M80" s="1374"/>
      <c r="N80" s="1737"/>
      <c r="O80" s="1735"/>
      <c r="P80" s="1735"/>
      <c r="Q80" s="1735"/>
      <c r="R80" s="1735"/>
      <c r="S80" s="1735"/>
      <c r="AC80" s="1736">
        <f>J80</f>
        <v>492894.792</v>
      </c>
      <c r="AD80" s="1648"/>
    </row>
    <row r="81" spans="1:30" ht="16.5" customHeight="1">
      <c r="A81" s="1384"/>
      <c r="B81" s="1385"/>
      <c r="C81" s="1389"/>
      <c r="D81" s="1502" t="s">
        <v>131</v>
      </c>
      <c r="E81" s="1738" t="s">
        <v>372</v>
      </c>
      <c r="F81" s="1739"/>
      <c r="G81" s="1724">
        <v>500</v>
      </c>
      <c r="H81" s="1374"/>
      <c r="I81" s="1374"/>
      <c r="J81" s="1725">
        <f>F22*L20*2</f>
        <v>410737.10400000005</v>
      </c>
      <c r="L81" s="1726"/>
      <c r="M81" s="1374"/>
      <c r="N81" s="1737"/>
      <c r="O81" s="1735"/>
      <c r="P81" s="1735"/>
      <c r="Q81" s="1735"/>
      <c r="R81" s="1735"/>
      <c r="S81" s="1735"/>
      <c r="AC81" s="1736">
        <f>J81</f>
        <v>410737.10400000005</v>
      </c>
      <c r="AD81" s="1648"/>
    </row>
    <row r="82" spans="1:30" ht="7.5" customHeight="1">
      <c r="A82" s="1384"/>
      <c r="B82" s="1385"/>
      <c r="C82" s="1389"/>
      <c r="D82" s="1502"/>
      <c r="E82" s="1738"/>
      <c r="F82" s="1739"/>
      <c r="G82" s="1724"/>
      <c r="H82" s="1374"/>
      <c r="I82" s="1374"/>
      <c r="J82" s="1725"/>
      <c r="L82" s="1726"/>
      <c r="M82" s="1374"/>
      <c r="N82" s="1737"/>
      <c r="O82" s="1735"/>
      <c r="P82" s="1735"/>
      <c r="Q82" s="1735"/>
      <c r="R82" s="1735"/>
      <c r="S82" s="1735"/>
      <c r="AC82" s="1736"/>
      <c r="AD82" s="1648"/>
    </row>
    <row r="83" spans="1:30" ht="16.5" customHeight="1">
      <c r="A83" s="1384"/>
      <c r="B83" s="1385"/>
      <c r="C83" s="1389"/>
      <c r="D83" s="1719" t="s">
        <v>129</v>
      </c>
      <c r="E83" s="1502" t="s">
        <v>413</v>
      </c>
      <c r="F83" s="1739"/>
      <c r="G83" s="1720" t="s">
        <v>414</v>
      </c>
      <c r="H83" s="1374"/>
      <c r="I83" s="1374"/>
      <c r="J83" s="1725"/>
      <c r="L83" s="1726"/>
      <c r="M83" s="1374"/>
      <c r="N83" s="1737"/>
      <c r="O83" s="1735"/>
      <c r="P83" s="1735"/>
      <c r="Q83" s="1735"/>
      <c r="R83" s="1735"/>
      <c r="S83" s="1735"/>
      <c r="AC83" s="1736"/>
      <c r="AD83" s="1648"/>
    </row>
    <row r="84" spans="1:30" ht="16.5" customHeight="1">
      <c r="A84" s="1384"/>
      <c r="B84" s="1385"/>
      <c r="C84" s="1389"/>
      <c r="D84" s="2493" t="s">
        <v>131</v>
      </c>
      <c r="E84" s="2494">
        <v>160</v>
      </c>
      <c r="F84" s="2495"/>
      <c r="G84" s="2869">
        <f>E84*$F$20*$L$20</f>
        <v>165584.64</v>
      </c>
      <c r="H84" s="2869"/>
      <c r="I84" s="2869"/>
      <c r="J84" s="1725"/>
      <c r="L84" s="1726"/>
      <c r="M84" s="1374"/>
      <c r="N84" s="1737"/>
      <c r="O84" s="1735"/>
      <c r="P84" s="1735"/>
      <c r="Q84" s="1735"/>
      <c r="R84" s="1735"/>
      <c r="S84" s="1735"/>
      <c r="AC84" s="1736">
        <f>G84</f>
        <v>165584.64</v>
      </c>
      <c r="AD84" s="1648"/>
    </row>
    <row r="85" spans="1:30" ht="16.5" customHeight="1">
      <c r="A85" s="1384"/>
      <c r="B85" s="1385"/>
      <c r="C85" s="1389"/>
      <c r="D85" s="2493" t="s">
        <v>415</v>
      </c>
      <c r="E85" s="2494">
        <v>160</v>
      </c>
      <c r="F85" s="2496"/>
      <c r="G85" s="2870">
        <f>E85*$F$20*$L$20</f>
        <v>165584.64</v>
      </c>
      <c r="H85" s="2870"/>
      <c r="I85" s="2870"/>
      <c r="J85" s="1725"/>
      <c r="L85" s="1726"/>
      <c r="M85" s="1374"/>
      <c r="N85" s="1737"/>
      <c r="O85" s="1735"/>
      <c r="P85" s="1735"/>
      <c r="Q85" s="1735"/>
      <c r="R85" s="1735"/>
      <c r="S85" s="1735"/>
      <c r="AC85" s="1740">
        <f>G85</f>
        <v>165584.64</v>
      </c>
      <c r="AD85" s="1648"/>
    </row>
    <row r="86" spans="1:30" ht="16.5" customHeight="1">
      <c r="A86" s="1384"/>
      <c r="B86" s="1385"/>
      <c r="C86" s="1389"/>
      <c r="D86" s="1502"/>
      <c r="E86" s="1738"/>
      <c r="F86" s="1739"/>
      <c r="G86" s="2871">
        <f>SUM(G84:I85)</f>
        <v>331169.28</v>
      </c>
      <c r="H86" s="2871"/>
      <c r="I86" s="2871"/>
      <c r="J86" s="1725"/>
      <c r="L86" s="1726"/>
      <c r="M86" s="1374"/>
      <c r="N86" s="1737"/>
      <c r="O86" s="1735"/>
      <c r="P86" s="1735"/>
      <c r="Q86" s="1735"/>
      <c r="R86" s="1735"/>
      <c r="S86" s="1735"/>
      <c r="AC86" s="1736"/>
      <c r="AD86" s="1648"/>
    </row>
    <row r="87" spans="1:30" ht="6.75" customHeight="1" thickBot="1">
      <c r="A87" s="1384"/>
      <c r="B87" s="1385"/>
      <c r="C87" s="1389"/>
      <c r="D87" s="1712"/>
      <c r="E87" s="1394"/>
      <c r="F87" s="1502"/>
      <c r="G87" s="1502"/>
      <c r="H87" s="1503"/>
      <c r="J87" s="1502"/>
      <c r="L87" s="1741"/>
      <c r="M87" s="1733"/>
      <c r="N87" s="1733"/>
      <c r="O87" s="1722"/>
      <c r="P87" s="1722"/>
      <c r="Q87" s="1722"/>
      <c r="R87" s="1722"/>
      <c r="S87" s="1722"/>
      <c r="AA87" s="1381"/>
      <c r="AD87" s="1648"/>
    </row>
    <row r="88" spans="2:30" ht="16.5" customHeight="1" thickBot="1" thickTop="1">
      <c r="B88" s="1385"/>
      <c r="C88" s="1717" t="s">
        <v>115</v>
      </c>
      <c r="D88" s="1742" t="s">
        <v>116</v>
      </c>
      <c r="E88" s="1502"/>
      <c r="F88" s="1743"/>
      <c r="G88" s="1501"/>
      <c r="H88" s="1712"/>
      <c r="I88" s="1712"/>
      <c r="J88" s="1712"/>
      <c r="K88" s="1502"/>
      <c r="L88" s="1502"/>
      <c r="M88" s="1712"/>
      <c r="N88" s="1502"/>
      <c r="O88" s="1712"/>
      <c r="P88" s="1712"/>
      <c r="Q88" s="1712"/>
      <c r="R88" s="1712"/>
      <c r="S88" s="1712"/>
      <c r="T88" s="1712"/>
      <c r="U88" s="1712"/>
      <c r="AB88" s="1402" t="s">
        <v>147</v>
      </c>
      <c r="AC88" s="1403">
        <f>SUM(AC73:AC85)</f>
        <v>4531731.863759999</v>
      </c>
      <c r="AD88" s="1648"/>
    </row>
    <row r="89" spans="2:30" s="1384" customFormat="1" ht="16.5" customHeight="1" thickTop="1">
      <c r="B89" s="1385"/>
      <c r="C89" s="1389"/>
      <c r="D89" s="1719" t="s">
        <v>117</v>
      </c>
      <c r="E89" s="1744">
        <f>10*K68*K26/AC88</f>
        <v>1033.49</v>
      </c>
      <c r="G89" s="1501"/>
      <c r="L89" s="1502"/>
      <c r="N89" s="1502"/>
      <c r="O89" s="1503"/>
      <c r="V89" s="1345"/>
      <c r="W89" s="1345"/>
      <c r="AD89" s="1648"/>
    </row>
    <row r="90" spans="2:30" s="1384" customFormat="1" ht="16.5" customHeight="1">
      <c r="B90" s="1385"/>
      <c r="C90" s="1389"/>
      <c r="E90" s="1745"/>
      <c r="F90" s="1400"/>
      <c r="G90" s="1501"/>
      <c r="J90" s="1501"/>
      <c r="K90" s="1516"/>
      <c r="L90" s="1502"/>
      <c r="M90" s="1502"/>
      <c r="N90" s="1502"/>
      <c r="O90" s="1503"/>
      <c r="P90" s="1502"/>
      <c r="Q90" s="1502"/>
      <c r="R90" s="1515"/>
      <c r="S90" s="1515"/>
      <c r="T90" s="1515"/>
      <c r="U90" s="1746"/>
      <c r="V90" s="1345"/>
      <c r="W90" s="1345"/>
      <c r="AC90" s="1746"/>
      <c r="AD90" s="1648"/>
    </row>
    <row r="91" spans="2:30" ht="16.5" customHeight="1">
      <c r="B91" s="1385"/>
      <c r="C91" s="1389"/>
      <c r="D91" s="1747" t="s">
        <v>133</v>
      </c>
      <c r="E91" s="1748"/>
      <c r="F91" s="1400"/>
      <c r="G91" s="1501"/>
      <c r="H91" s="1712"/>
      <c r="I91" s="1712"/>
      <c r="N91" s="1502"/>
      <c r="O91" s="1503"/>
      <c r="P91" s="1502"/>
      <c r="Q91" s="1502"/>
      <c r="R91" s="1734"/>
      <c r="S91" s="1734"/>
      <c r="T91" s="1734"/>
      <c r="U91" s="1733"/>
      <c r="AC91" s="1733"/>
      <c r="AD91" s="1648"/>
    </row>
    <row r="92" spans="2:30" ht="16.5" customHeight="1" thickBot="1">
      <c r="B92" s="1385"/>
      <c r="C92" s="1389"/>
      <c r="D92" s="1747"/>
      <c r="E92" s="1748"/>
      <c r="F92" s="1400"/>
      <c r="G92" s="1501"/>
      <c r="H92" s="1712"/>
      <c r="I92" s="1712"/>
      <c r="N92" s="1502"/>
      <c r="O92" s="1503"/>
      <c r="P92" s="1502"/>
      <c r="Q92" s="1502"/>
      <c r="R92" s="1734"/>
      <c r="S92" s="1734"/>
      <c r="T92" s="1734"/>
      <c r="U92" s="1733"/>
      <c r="AC92" s="1733"/>
      <c r="AD92" s="1648"/>
    </row>
    <row r="93" spans="2:30" s="1749" customFormat="1" ht="21" thickBot="1" thickTop="1">
      <c r="B93" s="1750"/>
      <c r="C93" s="1751"/>
      <c r="D93" s="1752"/>
      <c r="E93" s="1753"/>
      <c r="F93" s="1754"/>
      <c r="G93" s="1755"/>
      <c r="I93" s="1345"/>
      <c r="J93" s="1756" t="s">
        <v>119</v>
      </c>
      <c r="K93" s="1757">
        <f>IF(E89&gt;3*K26,K26*3,E89)</f>
        <v>1033.49</v>
      </c>
      <c r="M93" s="1758"/>
      <c r="N93" s="1759"/>
      <c r="O93" s="1760"/>
      <c r="P93" s="1758"/>
      <c r="Q93" s="1758"/>
      <c r="R93" s="1761"/>
      <c r="S93" s="1761"/>
      <c r="T93" s="1761"/>
      <c r="U93" s="1762"/>
      <c r="V93" s="1345"/>
      <c r="W93" s="1345"/>
      <c r="AC93" s="1762"/>
      <c r="AD93" s="1763"/>
    </row>
    <row r="94" spans="2:30" ht="16.5" customHeight="1" thickBot="1" thickTop="1">
      <c r="B94" s="1764"/>
      <c r="C94" s="1765"/>
      <c r="D94" s="1765"/>
      <c r="E94" s="1765"/>
      <c r="F94" s="1765"/>
      <c r="G94" s="1765"/>
      <c r="H94" s="1765"/>
      <c r="I94" s="1765"/>
      <c r="J94" s="1765"/>
      <c r="K94" s="1765"/>
      <c r="L94" s="1765"/>
      <c r="M94" s="1765"/>
      <c r="N94" s="1765"/>
      <c r="O94" s="1765"/>
      <c r="P94" s="1765"/>
      <c r="Q94" s="1765"/>
      <c r="R94" s="1765"/>
      <c r="S94" s="1765"/>
      <c r="T94" s="1765"/>
      <c r="U94" s="1765"/>
      <c r="V94" s="1766"/>
      <c r="W94" s="1766"/>
      <c r="X94" s="1766"/>
      <c r="Y94" s="1766"/>
      <c r="Z94" s="1766"/>
      <c r="AA94" s="1766"/>
      <c r="AB94" s="1766"/>
      <c r="AC94" s="1765"/>
      <c r="AD94" s="1767"/>
    </row>
    <row r="95" spans="2:23" ht="16.5" customHeight="1" thickTop="1">
      <c r="B95" s="1381"/>
      <c r="C95" s="1768"/>
      <c r="W95" s="1381"/>
    </row>
  </sheetData>
  <sheetProtection password="CC12"/>
  <mergeCells count="42">
    <mergeCell ref="G84:I84"/>
    <mergeCell ref="G85:I85"/>
    <mergeCell ref="G86:I86"/>
    <mergeCell ref="P40:Q40"/>
    <mergeCell ref="P41:Q41"/>
    <mergeCell ref="P42:Q42"/>
    <mergeCell ref="P43:Q43"/>
    <mergeCell ref="P44:Q44"/>
    <mergeCell ref="F55:G55"/>
    <mergeCell ref="P55:Q55"/>
    <mergeCell ref="E47:F47"/>
    <mergeCell ref="O47:Q47"/>
    <mergeCell ref="E48:F48"/>
    <mergeCell ref="O48:Q48"/>
    <mergeCell ref="E49:F49"/>
    <mergeCell ref="O49:Q49"/>
    <mergeCell ref="E50:F50"/>
    <mergeCell ref="O50:Q50"/>
    <mergeCell ref="E51:F51"/>
    <mergeCell ref="O51:Q51"/>
    <mergeCell ref="E52:F52"/>
    <mergeCell ref="O52:Q52"/>
    <mergeCell ref="F56:G56"/>
    <mergeCell ref="P56:Q56"/>
    <mergeCell ref="F57:G57"/>
    <mergeCell ref="P57:Q57"/>
    <mergeCell ref="F58:G58"/>
    <mergeCell ref="P58:Q58"/>
    <mergeCell ref="F59:G59"/>
    <mergeCell ref="P59:Q59"/>
    <mergeCell ref="F60:G60"/>
    <mergeCell ref="P60:Q60"/>
    <mergeCell ref="F61:G61"/>
    <mergeCell ref="P61:Q61"/>
    <mergeCell ref="F65:G65"/>
    <mergeCell ref="P65:Q65"/>
    <mergeCell ref="F62:G62"/>
    <mergeCell ref="P62:Q62"/>
    <mergeCell ref="F63:G63"/>
    <mergeCell ref="P63:Q63"/>
    <mergeCell ref="F64:G64"/>
    <mergeCell ref="P64:Q6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7" r:id="rId4"/>
  <headerFooter alignWithMargins="0">
    <oddFooter>&amp;L&amp;"Times New Roman,Normal"&amp;8&amp;Z&amp;F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AG97"/>
  <sheetViews>
    <sheetView zoomScale="70" zoomScaleNormal="70" zoomScalePageLayoutView="0" workbookViewId="0" topLeftCell="A1">
      <selection activeCell="F55" sqref="F55"/>
    </sheetView>
  </sheetViews>
  <sheetFormatPr defaultColWidth="11.421875" defaultRowHeight="12.75"/>
  <cols>
    <col min="1" max="1" width="25.421875" style="1771" customWidth="1"/>
    <col min="2" max="2" width="15.57421875" style="1771" customWidth="1"/>
    <col min="3" max="3" width="4.7109375" style="1771" customWidth="1"/>
    <col min="4" max="4" width="30.7109375" style="1771" customWidth="1"/>
    <col min="5" max="5" width="27.140625" style="1771" customWidth="1"/>
    <col min="6" max="6" width="15.00390625" style="1771" customWidth="1"/>
    <col min="7" max="7" width="14.7109375" style="1771" customWidth="1"/>
    <col min="8" max="8" width="7.00390625" style="1771" hidden="1" customWidth="1"/>
    <col min="9" max="9" width="9.57421875" style="1771" hidden="1" customWidth="1"/>
    <col min="10" max="11" width="18.7109375" style="1771" customWidth="1"/>
    <col min="12" max="12" width="14.28125" style="1771" customWidth="1"/>
    <col min="13" max="13" width="10.7109375" style="1771" customWidth="1"/>
    <col min="14" max="14" width="9.7109375" style="1771" customWidth="1"/>
    <col min="15" max="15" width="10.57421875" style="1771" customWidth="1"/>
    <col min="16" max="16" width="8.421875" style="1771" customWidth="1"/>
    <col min="17" max="17" width="6.00390625" style="1771" customWidth="1"/>
    <col min="18" max="18" width="11.28125" style="1771" hidden="1" customWidth="1"/>
    <col min="19" max="19" width="11.8515625" style="1771" hidden="1" customWidth="1"/>
    <col min="20" max="21" width="9.57421875" style="1771" hidden="1" customWidth="1"/>
    <col min="22" max="22" width="11.57421875" style="1771" hidden="1" customWidth="1"/>
    <col min="23" max="27" width="5.00390625" style="1771" hidden="1" customWidth="1"/>
    <col min="28" max="28" width="9.7109375" style="1771" customWidth="1"/>
    <col min="29" max="29" width="20.421875" style="1771" customWidth="1"/>
    <col min="30" max="30" width="13.7109375" style="1771" customWidth="1"/>
    <col min="31" max="31" width="4.140625" style="1771" customWidth="1"/>
    <col min="32" max="32" width="7.140625" style="1771" customWidth="1"/>
    <col min="33" max="33" width="5.28125" style="1771" customWidth="1"/>
    <col min="34" max="34" width="5.421875" style="1771" customWidth="1"/>
    <col min="35" max="35" width="4.7109375" style="1771" customWidth="1"/>
    <col min="36" max="36" width="5.28125" style="1771" customWidth="1"/>
    <col min="37" max="38" width="13.28125" style="1771" customWidth="1"/>
    <col min="39" max="39" width="6.57421875" style="1771" customWidth="1"/>
    <col min="40" max="40" width="6.421875" style="1771" customWidth="1"/>
    <col min="41" max="44" width="11.421875" style="1771" customWidth="1"/>
    <col min="45" max="45" width="12.7109375" style="1771" customWidth="1"/>
    <col min="46" max="48" width="11.421875" style="1771" customWidth="1"/>
    <col min="49" max="49" width="21.00390625" style="1771" customWidth="1"/>
    <col min="50" max="16384" width="11.421875" style="1771" customWidth="1"/>
  </cols>
  <sheetData>
    <row r="1" spans="1:30" ht="13.5">
      <c r="A1" s="1769"/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1770"/>
      <c r="O1" s="1770"/>
      <c r="P1" s="1770"/>
      <c r="Q1" s="1770"/>
      <c r="R1" s="1770"/>
      <c r="S1" s="1770"/>
      <c r="T1" s="1770"/>
      <c r="U1" s="1770"/>
      <c r="V1" s="1770"/>
      <c r="AD1" s="1772"/>
    </row>
    <row r="2" spans="1:23" ht="27" customHeight="1">
      <c r="A2" s="1769"/>
      <c r="B2" s="1770"/>
      <c r="C2" s="1770"/>
      <c r="D2" s="1770"/>
      <c r="E2" s="1770"/>
      <c r="F2" s="1770"/>
      <c r="G2" s="1770"/>
      <c r="H2" s="1770"/>
      <c r="I2" s="1770"/>
      <c r="J2" s="1770"/>
      <c r="K2" s="1770"/>
      <c r="L2" s="1770"/>
      <c r="M2" s="1770"/>
      <c r="N2" s="1770"/>
      <c r="O2" s="1770"/>
      <c r="P2" s="1770"/>
      <c r="Q2" s="1770"/>
      <c r="R2" s="1770"/>
      <c r="S2" s="1770"/>
      <c r="T2" s="1770"/>
      <c r="U2" s="1770"/>
      <c r="V2" s="1770"/>
      <c r="W2" s="1770"/>
    </row>
    <row r="3" spans="1:30" s="1776" customFormat="1" ht="30.75">
      <c r="A3" s="1773"/>
      <c r="B3" s="1774" t="str">
        <f>'TOT-1215'!B2</f>
        <v>ANEXO I al Memorándum D.T.E.E. N°  231  / 2017</v>
      </c>
      <c r="C3" s="1775"/>
      <c r="D3" s="1775"/>
      <c r="E3" s="1775"/>
      <c r="F3" s="1775"/>
      <c r="G3" s="1775"/>
      <c r="H3" s="1775"/>
      <c r="I3" s="1775"/>
      <c r="J3" s="1775"/>
      <c r="K3" s="1775"/>
      <c r="L3" s="1775"/>
      <c r="M3" s="1775"/>
      <c r="N3" s="1775"/>
      <c r="O3" s="1775"/>
      <c r="P3" s="1775"/>
      <c r="Q3" s="1775"/>
      <c r="R3" s="1775"/>
      <c r="S3" s="1775"/>
      <c r="T3" s="1775"/>
      <c r="U3" s="1775"/>
      <c r="V3" s="1775"/>
      <c r="W3" s="1775"/>
      <c r="AB3" s="1775"/>
      <c r="AC3" s="1775"/>
      <c r="AD3" s="1775"/>
    </row>
    <row r="4" spans="1:2" s="1779" customFormat="1" ht="11.25">
      <c r="A4" s="1777" t="s">
        <v>2</v>
      </c>
      <c r="B4" s="1778"/>
    </row>
    <row r="5" spans="1:2" s="1779" customFormat="1" ht="12" thickBot="1">
      <c r="A5" s="1777" t="s">
        <v>3</v>
      </c>
      <c r="B5" s="1777"/>
    </row>
    <row r="6" spans="1:30" ht="16.5" customHeight="1" thickTop="1">
      <c r="A6" s="1770"/>
      <c r="B6" s="1780"/>
      <c r="C6" s="1781"/>
      <c r="D6" s="1781"/>
      <c r="E6" s="1782"/>
      <c r="F6" s="1781"/>
      <c r="G6" s="1781"/>
      <c r="H6" s="1781"/>
      <c r="I6" s="1781"/>
      <c r="J6" s="1781"/>
      <c r="K6" s="1781"/>
      <c r="L6" s="1781"/>
      <c r="M6" s="1781"/>
      <c r="N6" s="1781"/>
      <c r="O6" s="1781"/>
      <c r="P6" s="1781"/>
      <c r="Q6" s="1781"/>
      <c r="R6" s="1781"/>
      <c r="S6" s="1781"/>
      <c r="T6" s="1781"/>
      <c r="U6" s="1781"/>
      <c r="V6" s="1781"/>
      <c r="W6" s="1783"/>
      <c r="X6" s="1783"/>
      <c r="Y6" s="1783"/>
      <c r="Z6" s="1783"/>
      <c r="AA6" s="1783"/>
      <c r="AB6" s="1783"/>
      <c r="AC6" s="1783"/>
      <c r="AD6" s="1784"/>
    </row>
    <row r="7" spans="1:30" ht="20.25">
      <c r="A7" s="1770"/>
      <c r="B7" s="1785"/>
      <c r="C7" s="1786"/>
      <c r="D7" s="1787" t="s">
        <v>78</v>
      </c>
      <c r="E7" s="1786"/>
      <c r="F7" s="1786"/>
      <c r="G7" s="1786"/>
      <c r="H7" s="1786"/>
      <c r="I7" s="1786"/>
      <c r="J7" s="1786"/>
      <c r="K7" s="1786"/>
      <c r="L7" s="1786"/>
      <c r="M7" s="1786"/>
      <c r="N7" s="1786"/>
      <c r="O7" s="1786"/>
      <c r="P7" s="1788"/>
      <c r="Q7" s="1788"/>
      <c r="R7" s="1786"/>
      <c r="S7" s="1786"/>
      <c r="T7" s="1786"/>
      <c r="U7" s="1786"/>
      <c r="V7" s="1786"/>
      <c r="AD7" s="1789"/>
    </row>
    <row r="8" spans="1:30" ht="16.5" customHeight="1">
      <c r="A8" s="1770"/>
      <c r="B8" s="1785"/>
      <c r="C8" s="1786"/>
      <c r="D8" s="1786"/>
      <c r="E8" s="1786"/>
      <c r="F8" s="1786"/>
      <c r="G8" s="1786"/>
      <c r="H8" s="1786"/>
      <c r="I8" s="1786"/>
      <c r="J8" s="1786"/>
      <c r="K8" s="1786"/>
      <c r="L8" s="1786"/>
      <c r="M8" s="1786"/>
      <c r="N8" s="1786"/>
      <c r="O8" s="1786"/>
      <c r="P8" s="1786"/>
      <c r="Q8" s="1786"/>
      <c r="R8" s="1786"/>
      <c r="S8" s="1786"/>
      <c r="T8" s="1786"/>
      <c r="U8" s="1786"/>
      <c r="V8" s="1786"/>
      <c r="AD8" s="1789"/>
    </row>
    <row r="9" spans="2:30" s="1790" customFormat="1" ht="20.25">
      <c r="B9" s="1791"/>
      <c r="C9" s="1792"/>
      <c r="D9" s="1787" t="s">
        <v>79</v>
      </c>
      <c r="E9" s="1792"/>
      <c r="F9" s="1792"/>
      <c r="G9" s="1792"/>
      <c r="H9" s="1792"/>
      <c r="N9" s="1792"/>
      <c r="O9" s="1792"/>
      <c r="P9" s="1793"/>
      <c r="Q9" s="1793"/>
      <c r="R9" s="1792"/>
      <c r="S9" s="1792"/>
      <c r="T9" s="1792"/>
      <c r="U9" s="1792"/>
      <c r="V9" s="1792"/>
      <c r="W9" s="1771"/>
      <c r="X9" s="1792"/>
      <c r="Y9" s="1792"/>
      <c r="Z9" s="1792"/>
      <c r="AA9" s="1792"/>
      <c r="AB9" s="1792"/>
      <c r="AC9" s="1771"/>
      <c r="AD9" s="1794"/>
    </row>
    <row r="10" spans="1:30" ht="16.5" customHeight="1">
      <c r="A10" s="1770"/>
      <c r="B10" s="1785"/>
      <c r="C10" s="1786"/>
      <c r="D10" s="1786"/>
      <c r="E10" s="1786"/>
      <c r="F10" s="1786"/>
      <c r="G10" s="1786"/>
      <c r="H10" s="1786"/>
      <c r="I10" s="1786"/>
      <c r="J10" s="1786"/>
      <c r="K10" s="1786"/>
      <c r="L10" s="1786"/>
      <c r="M10" s="1786"/>
      <c r="N10" s="1786"/>
      <c r="O10" s="1786"/>
      <c r="P10" s="1786"/>
      <c r="Q10" s="1786"/>
      <c r="R10" s="1786"/>
      <c r="S10" s="1786"/>
      <c r="T10" s="1786"/>
      <c r="U10" s="1786"/>
      <c r="V10" s="1786"/>
      <c r="AD10" s="1789"/>
    </row>
    <row r="11" spans="2:30" s="1790" customFormat="1" ht="20.25">
      <c r="B11" s="1791"/>
      <c r="C11" s="1792"/>
      <c r="D11" s="1787" t="s">
        <v>373</v>
      </c>
      <c r="E11" s="1792"/>
      <c r="F11" s="1792"/>
      <c r="G11" s="1792"/>
      <c r="H11" s="1792"/>
      <c r="N11" s="1792"/>
      <c r="O11" s="1792"/>
      <c r="P11" s="1793"/>
      <c r="Q11" s="1793"/>
      <c r="R11" s="1792"/>
      <c r="S11" s="1792"/>
      <c r="T11" s="1792"/>
      <c r="U11" s="1792"/>
      <c r="V11" s="1792"/>
      <c r="W11" s="1771"/>
      <c r="X11" s="1792"/>
      <c r="Y11" s="1792"/>
      <c r="Z11" s="1792"/>
      <c r="AA11" s="1792"/>
      <c r="AB11" s="1792"/>
      <c r="AC11" s="1771"/>
      <c r="AD11" s="1794"/>
    </row>
    <row r="12" spans="1:30" ht="16.5" customHeight="1">
      <c r="A12" s="1770"/>
      <c r="B12" s="1785"/>
      <c r="C12" s="1786"/>
      <c r="D12" s="1786"/>
      <c r="E12" s="1770"/>
      <c r="F12" s="1770"/>
      <c r="G12" s="1770"/>
      <c r="H12" s="1770"/>
      <c r="I12" s="1795"/>
      <c r="J12" s="1795"/>
      <c r="K12" s="1795"/>
      <c r="L12" s="1795"/>
      <c r="M12" s="1795"/>
      <c r="N12" s="1795"/>
      <c r="O12" s="1795"/>
      <c r="P12" s="1795"/>
      <c r="Q12" s="1795"/>
      <c r="R12" s="1786"/>
      <c r="S12" s="1786"/>
      <c r="T12" s="1786"/>
      <c r="U12" s="1786"/>
      <c r="V12" s="1786"/>
      <c r="AD12" s="1789"/>
    </row>
    <row r="13" spans="2:30" s="1790" customFormat="1" ht="19.5">
      <c r="B13" s="1796" t="str">
        <f>'TOT-1215'!B14</f>
        <v>Desde el 01 al 31 de diciembre de 2015</v>
      </c>
      <c r="C13" s="1797"/>
      <c r="D13" s="1798"/>
      <c r="E13" s="1798"/>
      <c r="F13" s="1798"/>
      <c r="G13" s="1798"/>
      <c r="H13" s="1798"/>
      <c r="I13" s="1799"/>
      <c r="J13" s="1800"/>
      <c r="K13" s="1799"/>
      <c r="L13" s="1799"/>
      <c r="M13" s="1799"/>
      <c r="N13" s="1799"/>
      <c r="O13" s="1799"/>
      <c r="P13" s="1799"/>
      <c r="Q13" s="1799"/>
      <c r="R13" s="1799"/>
      <c r="S13" s="1799"/>
      <c r="T13" s="1799"/>
      <c r="U13" s="1801"/>
      <c r="V13" s="1801"/>
      <c r="W13" s="1771"/>
      <c r="X13" s="1802"/>
      <c r="Y13" s="1802"/>
      <c r="Z13" s="1802"/>
      <c r="AA13" s="1802"/>
      <c r="AB13" s="1801"/>
      <c r="AC13" s="1800"/>
      <c r="AD13" s="1803"/>
    </row>
    <row r="14" spans="1:30" ht="16.5" customHeight="1">
      <c r="A14" s="1770"/>
      <c r="B14" s="1785"/>
      <c r="C14" s="1786"/>
      <c r="D14" s="1786"/>
      <c r="E14" s="1804"/>
      <c r="F14" s="1804"/>
      <c r="G14" s="1786"/>
      <c r="H14" s="1786"/>
      <c r="I14" s="1786"/>
      <c r="J14" s="1805"/>
      <c r="K14" s="1786"/>
      <c r="L14" s="1786"/>
      <c r="M14" s="1786"/>
      <c r="N14" s="1770"/>
      <c r="O14" s="1770"/>
      <c r="P14" s="1786"/>
      <c r="Q14" s="1786"/>
      <c r="R14" s="1786"/>
      <c r="S14" s="1786"/>
      <c r="T14" s="1786"/>
      <c r="U14" s="1786"/>
      <c r="V14" s="1786"/>
      <c r="AD14" s="1789"/>
    </row>
    <row r="15" spans="1:30" ht="16.5" customHeight="1">
      <c r="A15" s="1770"/>
      <c r="B15" s="1785"/>
      <c r="C15" s="1786"/>
      <c r="D15" s="1786"/>
      <c r="E15" s="1804"/>
      <c r="F15" s="1804"/>
      <c r="G15" s="1786"/>
      <c r="H15" s="1786"/>
      <c r="I15" s="1806"/>
      <c r="J15" s="1786"/>
      <c r="K15" s="1807"/>
      <c r="M15" s="1786"/>
      <c r="N15" s="1770"/>
      <c r="O15" s="1770"/>
      <c r="P15" s="1786"/>
      <c r="Q15" s="1786"/>
      <c r="R15" s="1786"/>
      <c r="S15" s="1786"/>
      <c r="T15" s="1786"/>
      <c r="U15" s="1786"/>
      <c r="V15" s="1786"/>
      <c r="AD15" s="1789"/>
    </row>
    <row r="16" spans="1:30" ht="16.5" customHeight="1">
      <c r="A16" s="1770"/>
      <c r="B16" s="1785"/>
      <c r="C16" s="1786"/>
      <c r="D16" s="1786"/>
      <c r="E16" s="1804"/>
      <c r="F16" s="1804"/>
      <c r="G16" s="1786"/>
      <c r="H16" s="1786"/>
      <c r="I16" s="1806"/>
      <c r="J16" s="1786"/>
      <c r="K16" s="1807"/>
      <c r="M16" s="1786"/>
      <c r="N16" s="1770"/>
      <c r="O16" s="1770"/>
      <c r="P16" s="1786"/>
      <c r="Q16" s="1786"/>
      <c r="R16" s="1786"/>
      <c r="S16" s="1786"/>
      <c r="T16" s="1786"/>
      <c r="U16" s="1786"/>
      <c r="V16" s="1786"/>
      <c r="AD16" s="1789"/>
    </row>
    <row r="17" spans="1:30" ht="16.5" customHeight="1">
      <c r="A17" s="1770"/>
      <c r="B17" s="1785"/>
      <c r="C17" s="1808" t="s">
        <v>80</v>
      </c>
      <c r="D17" s="1809" t="s">
        <v>81</v>
      </c>
      <c r="E17" s="1804"/>
      <c r="F17" s="1804"/>
      <c r="G17" s="1786"/>
      <c r="H17" s="1786"/>
      <c r="I17" s="1786"/>
      <c r="J17" s="1805"/>
      <c r="K17" s="1786"/>
      <c r="L17" s="1786"/>
      <c r="M17" s="1786"/>
      <c r="N17" s="1770"/>
      <c r="O17" s="1770"/>
      <c r="P17" s="1786"/>
      <c r="Q17" s="1786"/>
      <c r="R17" s="1786"/>
      <c r="S17" s="1786"/>
      <c r="T17" s="1786"/>
      <c r="U17" s="1786"/>
      <c r="V17" s="1786"/>
      <c r="AD17" s="1789"/>
    </row>
    <row r="18" spans="2:30" s="1810" customFormat="1" ht="16.5" customHeight="1">
      <c r="B18" s="1811"/>
      <c r="C18" s="1812"/>
      <c r="D18" s="1813"/>
      <c r="E18" s="1814"/>
      <c r="F18" s="1815"/>
      <c r="G18" s="1812"/>
      <c r="H18" s="1812"/>
      <c r="I18" s="1812"/>
      <c r="J18" s="1816"/>
      <c r="K18" s="1812"/>
      <c r="L18" s="1812"/>
      <c r="M18" s="1812"/>
      <c r="P18" s="1812"/>
      <c r="Q18" s="1812"/>
      <c r="R18" s="1812"/>
      <c r="S18" s="1812"/>
      <c r="T18" s="1812"/>
      <c r="U18" s="1812"/>
      <c r="V18" s="1812"/>
      <c r="W18" s="1771"/>
      <c r="AD18" s="1817"/>
    </row>
    <row r="19" spans="2:30" s="1810" customFormat="1" ht="16.5" customHeight="1">
      <c r="B19" s="1811"/>
      <c r="C19" s="1812"/>
      <c r="D19" s="1818" t="s">
        <v>82</v>
      </c>
      <c r="F19" s="1819">
        <v>506.119</v>
      </c>
      <c r="G19" s="1818" t="s">
        <v>83</v>
      </c>
      <c r="H19" s="1812"/>
      <c r="I19" s="1812"/>
      <c r="J19" s="1820"/>
      <c r="K19" s="1821" t="s">
        <v>84</v>
      </c>
      <c r="L19" s="1822">
        <v>0.04</v>
      </c>
      <c r="P19" s="1819"/>
      <c r="R19" s="1812"/>
      <c r="S19" s="1812"/>
      <c r="T19" s="1812"/>
      <c r="U19" s="1812"/>
      <c r="V19" s="1812"/>
      <c r="W19" s="1771"/>
      <c r="AD19" s="1817"/>
    </row>
    <row r="20" spans="2:30" s="1810" customFormat="1" ht="16.5" customHeight="1">
      <c r="B20" s="1811"/>
      <c r="C20" s="1812"/>
      <c r="D20" s="1818" t="s">
        <v>85</v>
      </c>
      <c r="F20" s="1819">
        <v>1.391</v>
      </c>
      <c r="G20" s="1818" t="s">
        <v>86</v>
      </c>
      <c r="H20" s="1812"/>
      <c r="I20" s="1812"/>
      <c r="J20" s="1812"/>
      <c r="K20" s="1813" t="s">
        <v>87</v>
      </c>
      <c r="L20" s="1812">
        <f>MID(B13,16,2)*24</f>
        <v>744</v>
      </c>
      <c r="M20" s="1812" t="s">
        <v>88</v>
      </c>
      <c r="N20" s="1812"/>
      <c r="O20" s="1812"/>
      <c r="P20" s="1819"/>
      <c r="Q20" s="1812"/>
      <c r="R20" s="1812"/>
      <c r="S20" s="1812"/>
      <c r="T20" s="1812"/>
      <c r="U20" s="1812"/>
      <c r="V20" s="1812"/>
      <c r="W20" s="1771"/>
      <c r="AD20" s="1817"/>
    </row>
    <row r="21" spans="2:30" s="1810" customFormat="1" ht="16.5" customHeight="1">
      <c r="B21" s="1811"/>
      <c r="C21" s="1812"/>
      <c r="D21" s="1818" t="s">
        <v>120</v>
      </c>
      <c r="F21" s="1819">
        <v>220.831</v>
      </c>
      <c r="G21" s="1818" t="s">
        <v>121</v>
      </c>
      <c r="H21" s="1812"/>
      <c r="I21" s="1812"/>
      <c r="J21" s="1812"/>
      <c r="K21" s="1813"/>
      <c r="L21" s="1812"/>
      <c r="M21" s="1812"/>
      <c r="N21" s="1812"/>
      <c r="O21" s="1812"/>
      <c r="P21" s="1819"/>
      <c r="Q21" s="1812"/>
      <c r="R21" s="1812"/>
      <c r="S21" s="1812"/>
      <c r="T21" s="1812"/>
      <c r="U21" s="1812"/>
      <c r="V21" s="1812"/>
      <c r="W21" s="1771"/>
      <c r="AD21" s="1817"/>
    </row>
    <row r="22" spans="2:30" s="1810" customFormat="1" ht="16.5" customHeight="1">
      <c r="B22" s="1811"/>
      <c r="C22" s="1812"/>
      <c r="H22" s="1812"/>
      <c r="I22" s="1812"/>
      <c r="J22" s="1812"/>
      <c r="K22" s="1823"/>
      <c r="L22" s="1824"/>
      <c r="M22" s="1812"/>
      <c r="N22" s="1812"/>
      <c r="O22" s="1812"/>
      <c r="P22" s="1825"/>
      <c r="Q22" s="1812"/>
      <c r="R22" s="1812"/>
      <c r="S22" s="1812"/>
      <c r="T22" s="1812"/>
      <c r="U22" s="1812"/>
      <c r="V22" s="1812"/>
      <c r="W22" s="1771"/>
      <c r="AD22" s="1817"/>
    </row>
    <row r="23" spans="2:30" s="1810" customFormat="1" ht="8.25" customHeight="1">
      <c r="B23" s="1811"/>
      <c r="C23" s="1812"/>
      <c r="D23" s="1812"/>
      <c r="E23" s="1826"/>
      <c r="F23" s="1812"/>
      <c r="G23" s="1812"/>
      <c r="H23" s="1812"/>
      <c r="I23" s="1812"/>
      <c r="J23" s="1812"/>
      <c r="K23" s="1812"/>
      <c r="L23" s="1812"/>
      <c r="M23" s="1812"/>
      <c r="N23" s="1812"/>
      <c r="O23" s="1812"/>
      <c r="P23" s="1812"/>
      <c r="Q23" s="1812"/>
      <c r="R23" s="1812"/>
      <c r="S23" s="1812"/>
      <c r="T23" s="1812"/>
      <c r="U23" s="1812"/>
      <c r="V23" s="1812"/>
      <c r="W23" s="1771"/>
      <c r="AD23" s="1817"/>
    </row>
    <row r="24" spans="1:30" ht="16.5" customHeight="1">
      <c r="A24" s="1770"/>
      <c r="B24" s="1785"/>
      <c r="C24" s="1808" t="s">
        <v>89</v>
      </c>
      <c r="D24" s="1827" t="s">
        <v>361</v>
      </c>
      <c r="I24" s="1786"/>
      <c r="J24" s="1810"/>
      <c r="O24" s="1786"/>
      <c r="P24" s="1786"/>
      <c r="Q24" s="1786"/>
      <c r="R24" s="1786"/>
      <c r="S24" s="1786"/>
      <c r="T24" s="1786"/>
      <c r="V24" s="1786"/>
      <c r="X24" s="1786"/>
      <c r="Y24" s="1786"/>
      <c r="Z24" s="1786"/>
      <c r="AA24" s="1786"/>
      <c r="AB24" s="1786"/>
      <c r="AC24" s="1786"/>
      <c r="AD24" s="1789"/>
    </row>
    <row r="25" spans="1:30" ht="10.5" customHeight="1" thickBot="1">
      <c r="A25" s="1770"/>
      <c r="B25" s="1785"/>
      <c r="C25" s="1804"/>
      <c r="D25" s="1827"/>
      <c r="I25" s="1786"/>
      <c r="J25" s="1810"/>
      <c r="O25" s="1786"/>
      <c r="P25" s="1786"/>
      <c r="Q25" s="1786"/>
      <c r="R25" s="1786"/>
      <c r="S25" s="1786"/>
      <c r="T25" s="1786"/>
      <c r="V25" s="1786"/>
      <c r="X25" s="1786"/>
      <c r="Y25" s="1786"/>
      <c r="Z25" s="1786"/>
      <c r="AA25" s="1786"/>
      <c r="AB25" s="1786"/>
      <c r="AC25" s="1786"/>
      <c r="AD25" s="1789"/>
    </row>
    <row r="26" spans="2:30" s="1810" customFormat="1" ht="16.5" customHeight="1" thickBot="1" thickTop="1">
      <c r="B26" s="1811"/>
      <c r="C26" s="1815"/>
      <c r="D26" s="1771"/>
      <c r="E26" s="1771"/>
      <c r="F26" s="1771"/>
      <c r="G26" s="1771"/>
      <c r="H26" s="1771"/>
      <c r="I26" s="1771"/>
      <c r="J26" s="1828" t="s">
        <v>90</v>
      </c>
      <c r="K26" s="1829">
        <f>L19*AC91</f>
        <v>95980.83888319999</v>
      </c>
      <c r="L26" s="1771"/>
      <c r="S26" s="1771"/>
      <c r="T26" s="1771"/>
      <c r="U26" s="1771"/>
      <c r="W26" s="1771"/>
      <c r="AD26" s="1817"/>
    </row>
    <row r="27" spans="2:30" s="1810" customFormat="1" ht="11.25" customHeight="1" thickTop="1">
      <c r="B27" s="1811"/>
      <c r="C27" s="1815"/>
      <c r="D27" s="1812"/>
      <c r="E27" s="1826"/>
      <c r="F27" s="1812"/>
      <c r="G27" s="1812"/>
      <c r="H27" s="1812"/>
      <c r="I27" s="1812"/>
      <c r="J27" s="1812"/>
      <c r="K27" s="1812"/>
      <c r="L27" s="1812"/>
      <c r="M27" s="1812"/>
      <c r="N27" s="1812"/>
      <c r="O27" s="1812"/>
      <c r="P27" s="1812"/>
      <c r="Q27" s="1812"/>
      <c r="R27" s="1812"/>
      <c r="S27" s="1812"/>
      <c r="T27" s="1812"/>
      <c r="U27" s="1771"/>
      <c r="W27" s="1771"/>
      <c r="AD27" s="1817"/>
    </row>
    <row r="28" spans="1:30" ht="16.5" customHeight="1">
      <c r="A28" s="1770"/>
      <c r="B28" s="1785"/>
      <c r="C28" s="1808" t="s">
        <v>91</v>
      </c>
      <c r="D28" s="1827" t="s">
        <v>323</v>
      </c>
      <c r="E28" s="1830"/>
      <c r="F28" s="1786"/>
      <c r="G28" s="1786"/>
      <c r="H28" s="1786"/>
      <c r="I28" s="1786"/>
      <c r="J28" s="1786"/>
      <c r="K28" s="1786"/>
      <c r="L28" s="1786"/>
      <c r="M28" s="1786"/>
      <c r="N28" s="1786"/>
      <c r="O28" s="1786"/>
      <c r="P28" s="1786"/>
      <c r="Q28" s="1786"/>
      <c r="R28" s="1786"/>
      <c r="S28" s="1786"/>
      <c r="T28" s="1786"/>
      <c r="U28" s="1786"/>
      <c r="V28" s="1786"/>
      <c r="AD28" s="1789"/>
    </row>
    <row r="29" spans="1:30" ht="21.75" customHeight="1" thickBot="1">
      <c r="A29" s="1770"/>
      <c r="B29" s="1785"/>
      <c r="C29" s="1786"/>
      <c r="D29" s="1786"/>
      <c r="E29" s="1830"/>
      <c r="F29" s="1786"/>
      <c r="G29" s="1786"/>
      <c r="H29" s="1786"/>
      <c r="I29" s="1786"/>
      <c r="J29" s="1786"/>
      <c r="K29" s="1786"/>
      <c r="L29" s="1786"/>
      <c r="M29" s="1786"/>
      <c r="N29" s="1786"/>
      <c r="O29" s="1786"/>
      <c r="P29" s="1786"/>
      <c r="Q29" s="1786"/>
      <c r="R29" s="1786"/>
      <c r="S29" s="1786"/>
      <c r="T29" s="1786"/>
      <c r="U29" s="1786"/>
      <c r="V29" s="1786"/>
      <c r="AD29" s="1789"/>
    </row>
    <row r="30" spans="2:31" s="1770" customFormat="1" ht="33.75" customHeight="1" thickBot="1" thickTop="1">
      <c r="B30" s="1785"/>
      <c r="C30" s="1831" t="s">
        <v>25</v>
      </c>
      <c r="D30" s="1832" t="s">
        <v>5</v>
      </c>
      <c r="E30" s="1833" t="s">
        <v>28</v>
      </c>
      <c r="F30" s="1834" t="s">
        <v>29</v>
      </c>
      <c r="G30" s="1835" t="s">
        <v>30</v>
      </c>
      <c r="H30" s="1836" t="s">
        <v>31</v>
      </c>
      <c r="I30" s="1837" t="s">
        <v>32</v>
      </c>
      <c r="J30" s="1838" t="s">
        <v>33</v>
      </c>
      <c r="K30" s="1839" t="s">
        <v>34</v>
      </c>
      <c r="L30" s="1840" t="s">
        <v>35</v>
      </c>
      <c r="M30" s="1841" t="s">
        <v>36</v>
      </c>
      <c r="N30" s="1840" t="s">
        <v>92</v>
      </c>
      <c r="O30" s="1840" t="s">
        <v>37</v>
      </c>
      <c r="P30" s="1839" t="s">
        <v>38</v>
      </c>
      <c r="Q30" s="1838" t="s">
        <v>39</v>
      </c>
      <c r="R30" s="1842" t="s">
        <v>40</v>
      </c>
      <c r="S30" s="1843" t="s">
        <v>41</v>
      </c>
      <c r="T30" s="1844" t="s">
        <v>48</v>
      </c>
      <c r="U30" s="1845"/>
      <c r="V30" s="1846"/>
      <c r="W30" s="1847" t="s">
        <v>93</v>
      </c>
      <c r="X30" s="1848"/>
      <c r="Y30" s="1849"/>
      <c r="Z30" s="1850" t="s">
        <v>44</v>
      </c>
      <c r="AA30" s="1851" t="s">
        <v>94</v>
      </c>
      <c r="AB30" s="1852" t="s">
        <v>46</v>
      </c>
      <c r="AC30" s="1853" t="s">
        <v>47</v>
      </c>
      <c r="AD30" s="1854"/>
      <c r="AE30" s="1771"/>
    </row>
    <row r="31" spans="1:30" ht="16.5" customHeight="1" thickTop="1">
      <c r="A31" s="1770"/>
      <c r="B31" s="1785"/>
      <c r="C31" s="1855"/>
      <c r="D31" s="1856"/>
      <c r="E31" s="1857"/>
      <c r="F31" s="1858"/>
      <c r="G31" s="1859"/>
      <c r="H31" s="1860"/>
      <c r="I31" s="1861"/>
      <c r="J31" s="1862"/>
      <c r="K31" s="1863"/>
      <c r="L31" s="1855"/>
      <c r="M31" s="1855"/>
      <c r="N31" s="1864"/>
      <c r="O31" s="1864"/>
      <c r="P31" s="1855"/>
      <c r="Q31" s="1865"/>
      <c r="R31" s="1866"/>
      <c r="S31" s="1867"/>
      <c r="T31" s="1868"/>
      <c r="U31" s="1869"/>
      <c r="V31" s="1870"/>
      <c r="W31" s="1871"/>
      <c r="X31" s="1872"/>
      <c r="Y31" s="1873"/>
      <c r="Z31" s="1874"/>
      <c r="AA31" s="1875"/>
      <c r="AB31" s="1876"/>
      <c r="AC31" s="1877"/>
      <c r="AD31" s="1789"/>
    </row>
    <row r="32" spans="1:30" ht="16.5" customHeight="1">
      <c r="A32" s="1770"/>
      <c r="B32" s="1785"/>
      <c r="C32" s="1878" t="s">
        <v>95</v>
      </c>
      <c r="D32" s="1168"/>
      <c r="E32" s="1169"/>
      <c r="F32" s="1170"/>
      <c r="G32" s="1169"/>
      <c r="H32" s="1879">
        <f aca="true" t="shared" si="0" ref="H32:H37">IF(G32="A",200,IF(G32="B",60,20))</f>
        <v>20</v>
      </c>
      <c r="I32" s="1880">
        <f aca="true" t="shared" si="1" ref="I32:I37">IF(F32&gt;100,F32,100)*$F$19/100</f>
        <v>506.119</v>
      </c>
      <c r="J32" s="1176"/>
      <c r="K32" s="1177"/>
      <c r="L32" s="1881">
        <f aca="true" t="shared" si="2" ref="L32:L37">IF(D32="","",(K32-J32)*24)</f>
      </c>
      <c r="M32" s="1882">
        <f aca="true" t="shared" si="3" ref="M32:M37">IF(D32="","",ROUND((K32-J32)*24*60,0))</f>
      </c>
      <c r="N32" s="1173"/>
      <c r="O32" s="1884">
        <f aca="true" t="shared" si="4" ref="O32:O37">IF(D32="","","--")</f>
      </c>
      <c r="P32" s="1885">
        <f aca="true" t="shared" si="5" ref="P32:P37">IF(D32="","","NO")</f>
      </c>
      <c r="Q32" s="1885">
        <f aca="true" t="shared" si="6" ref="Q32:Q37">IF(D32="","",IF(OR(N32="P",N32="RP"),"--","NO"))</f>
      </c>
      <c r="R32" s="1886" t="str">
        <f aca="true" t="shared" si="7" ref="R32:R37">IF(N32="P",+I32*H32*ROUND(M32/60,2)/100,"--")</f>
        <v>--</v>
      </c>
      <c r="S32" s="1887" t="str">
        <f aca="true" t="shared" si="8" ref="S32:S37">IF(N32="RP",I32*H32*ROUND(M32/60,2)*0.01*O32/100,"--")</f>
        <v>--</v>
      </c>
      <c r="T32" s="1888" t="str">
        <f aca="true" t="shared" si="9" ref="T32:T37">IF(AND(N32="F",Q32="NO"),IF(P32="SI",1.2,1)*I32*H32,"--")</f>
        <v>--</v>
      </c>
      <c r="U32" s="1889" t="str">
        <f aca="true" t="shared" si="10" ref="U32:U37">IF(AND(M32&gt;10,N32="F"),IF(M32&lt;=300,ROUND(M32/60,2),5)*I32*H32*IF(P32="SI",1.2,1),"--")</f>
        <v>--</v>
      </c>
      <c r="V32" s="1890" t="str">
        <f aca="true" t="shared" si="11" ref="V32:V37">IF(AND(N32="F",M32&gt;300),IF(P32="SI",1.2,1)*(ROUND(M32/60,2)-5)*I32*H32*0.1,"--")</f>
        <v>--</v>
      </c>
      <c r="W32" s="1891" t="str">
        <f aca="true" t="shared" si="12" ref="W32:W37">IF(AND(N32="R",Q32="NO"),IF(P32="SI",1.2,1)*I32*H32*O32/100,"--")</f>
        <v>--</v>
      </c>
      <c r="X32" s="1892" t="str">
        <f aca="true" t="shared" si="13" ref="X32:X37">IF(AND(M32&gt;10,N32="R"),IF(M32&lt;=300,ROUND(M32/60,2),5)*I32*H32*O32/100*IF(P32="SI",1.2,1),"--")</f>
        <v>--</v>
      </c>
      <c r="Y32" s="1893" t="str">
        <f aca="true" t="shared" si="14" ref="Y32:Y37">IF(AND(N32="R",M32&gt;300),IF(P32="SI",1.2,1)*(ROUND(M32/60,2)-5)*I32*H32*O32/100*0.1,"--")</f>
        <v>--</v>
      </c>
      <c r="Z32" s="1894" t="str">
        <f aca="true" t="shared" si="15" ref="Z32:Z37">IF(N32="RF",IF(P32="SI",1.2,1)*ROUND(M32/60,2)*I32*H32*0.1,"--")</f>
        <v>--</v>
      </c>
      <c r="AA32" s="1895" t="str">
        <f aca="true" t="shared" si="16" ref="AA32:AA37">IF(N32="RR",IF(P32="SI",1.2,1)*ROUND(M32/60,2)*I32*H32*O32/100*0.1,"--")</f>
        <v>--</v>
      </c>
      <c r="AB32" s="1896">
        <f aca="true" t="shared" si="17" ref="AB32:AB37">IF(D32="","","SI")</f>
      </c>
      <c r="AC32" s="1897">
        <f aca="true" t="shared" si="18" ref="AC32:AC37">IF(D32="","",SUM(R32:AA32)*IF(AB32="SI",1,2))</f>
      </c>
      <c r="AD32" s="1789"/>
    </row>
    <row r="33" spans="1:30" ht="16.5" customHeight="1">
      <c r="A33" s="1770"/>
      <c r="B33" s="1785"/>
      <c r="C33" s="1878" t="s">
        <v>96</v>
      </c>
      <c r="D33" s="1168"/>
      <c r="E33" s="1169"/>
      <c r="F33" s="1170"/>
      <c r="G33" s="1169"/>
      <c r="H33" s="1879">
        <f t="shared" si="0"/>
        <v>20</v>
      </c>
      <c r="I33" s="1880">
        <f t="shared" si="1"/>
        <v>506.119</v>
      </c>
      <c r="J33" s="1171"/>
      <c r="K33" s="1172"/>
      <c r="L33" s="1881">
        <f t="shared" si="2"/>
      </c>
      <c r="M33" s="1882">
        <f t="shared" si="3"/>
      </c>
      <c r="N33" s="1173"/>
      <c r="O33" s="1884">
        <f t="shared" si="4"/>
      </c>
      <c r="P33" s="1885">
        <f t="shared" si="5"/>
      </c>
      <c r="Q33" s="1885">
        <f t="shared" si="6"/>
      </c>
      <c r="R33" s="1886" t="str">
        <f t="shared" si="7"/>
        <v>--</v>
      </c>
      <c r="S33" s="1887" t="str">
        <f t="shared" si="8"/>
        <v>--</v>
      </c>
      <c r="T33" s="1888" t="str">
        <f t="shared" si="9"/>
        <v>--</v>
      </c>
      <c r="U33" s="1889" t="str">
        <f t="shared" si="10"/>
        <v>--</v>
      </c>
      <c r="V33" s="1890" t="str">
        <f t="shared" si="11"/>
        <v>--</v>
      </c>
      <c r="W33" s="1891" t="str">
        <f t="shared" si="12"/>
        <v>--</v>
      </c>
      <c r="X33" s="1892" t="str">
        <f t="shared" si="13"/>
        <v>--</v>
      </c>
      <c r="Y33" s="1893" t="str">
        <f t="shared" si="14"/>
        <v>--</v>
      </c>
      <c r="Z33" s="1894" t="str">
        <f t="shared" si="15"/>
        <v>--</v>
      </c>
      <c r="AA33" s="1895" t="str">
        <f t="shared" si="16"/>
        <v>--</v>
      </c>
      <c r="AB33" s="1896">
        <f t="shared" si="17"/>
      </c>
      <c r="AC33" s="1897">
        <f t="shared" si="18"/>
      </c>
      <c r="AD33" s="1789"/>
    </row>
    <row r="34" spans="1:30" ht="16.5" customHeight="1">
      <c r="A34" s="1770"/>
      <c r="B34" s="1785"/>
      <c r="C34" s="1878" t="s">
        <v>97</v>
      </c>
      <c r="D34" s="1168"/>
      <c r="E34" s="1169"/>
      <c r="F34" s="1170"/>
      <c r="G34" s="1169"/>
      <c r="H34" s="1879">
        <f t="shared" si="0"/>
        <v>20</v>
      </c>
      <c r="I34" s="1880">
        <f t="shared" si="1"/>
        <v>506.119</v>
      </c>
      <c r="J34" s="1176"/>
      <c r="K34" s="1177"/>
      <c r="L34" s="1881">
        <f t="shared" si="2"/>
      </c>
      <c r="M34" s="1882">
        <f t="shared" si="3"/>
      </c>
      <c r="N34" s="1883"/>
      <c r="O34" s="1884">
        <f t="shared" si="4"/>
      </c>
      <c r="P34" s="1885">
        <f t="shared" si="5"/>
      </c>
      <c r="Q34" s="1885">
        <f t="shared" si="6"/>
      </c>
      <c r="R34" s="1886" t="str">
        <f t="shared" si="7"/>
        <v>--</v>
      </c>
      <c r="S34" s="1887" t="str">
        <f t="shared" si="8"/>
        <v>--</v>
      </c>
      <c r="T34" s="1888" t="str">
        <f t="shared" si="9"/>
        <v>--</v>
      </c>
      <c r="U34" s="1889" t="str">
        <f t="shared" si="10"/>
        <v>--</v>
      </c>
      <c r="V34" s="1890" t="str">
        <f t="shared" si="11"/>
        <v>--</v>
      </c>
      <c r="W34" s="1891" t="str">
        <f t="shared" si="12"/>
        <v>--</v>
      </c>
      <c r="X34" s="1892" t="str">
        <f t="shared" si="13"/>
        <v>--</v>
      </c>
      <c r="Y34" s="1893" t="str">
        <f t="shared" si="14"/>
        <v>--</v>
      </c>
      <c r="Z34" s="1894" t="str">
        <f t="shared" si="15"/>
        <v>--</v>
      </c>
      <c r="AA34" s="1895" t="str">
        <f t="shared" si="16"/>
        <v>--</v>
      </c>
      <c r="AB34" s="1896">
        <f t="shared" si="17"/>
      </c>
      <c r="AC34" s="1897">
        <f t="shared" si="18"/>
      </c>
      <c r="AD34" s="1789"/>
    </row>
    <row r="35" spans="1:30" ht="16.5" customHeight="1">
      <c r="A35" s="1770"/>
      <c r="B35" s="1785"/>
      <c r="C35" s="1878" t="s">
        <v>98</v>
      </c>
      <c r="D35" s="1168"/>
      <c r="E35" s="1169"/>
      <c r="F35" s="1170"/>
      <c r="G35" s="1169"/>
      <c r="H35" s="1879">
        <f t="shared" si="0"/>
        <v>20</v>
      </c>
      <c r="I35" s="1880">
        <f t="shared" si="1"/>
        <v>506.119</v>
      </c>
      <c r="J35" s="1176"/>
      <c r="K35" s="1177"/>
      <c r="L35" s="1881">
        <f t="shared" si="2"/>
      </c>
      <c r="M35" s="1882">
        <f t="shared" si="3"/>
      </c>
      <c r="N35" s="1883"/>
      <c r="O35" s="1884">
        <f t="shared" si="4"/>
      </c>
      <c r="P35" s="1885">
        <f t="shared" si="5"/>
      </c>
      <c r="Q35" s="1885">
        <f t="shared" si="6"/>
      </c>
      <c r="R35" s="1886" t="str">
        <f t="shared" si="7"/>
        <v>--</v>
      </c>
      <c r="S35" s="1887" t="str">
        <f t="shared" si="8"/>
        <v>--</v>
      </c>
      <c r="T35" s="1888" t="str">
        <f t="shared" si="9"/>
        <v>--</v>
      </c>
      <c r="U35" s="1889" t="str">
        <f t="shared" si="10"/>
        <v>--</v>
      </c>
      <c r="V35" s="1890" t="str">
        <f t="shared" si="11"/>
        <v>--</v>
      </c>
      <c r="W35" s="1891" t="str">
        <f t="shared" si="12"/>
        <v>--</v>
      </c>
      <c r="X35" s="1892" t="str">
        <f t="shared" si="13"/>
        <v>--</v>
      </c>
      <c r="Y35" s="1893" t="str">
        <f t="shared" si="14"/>
        <v>--</v>
      </c>
      <c r="Z35" s="1894" t="str">
        <f t="shared" si="15"/>
        <v>--</v>
      </c>
      <c r="AA35" s="1895" t="str">
        <f t="shared" si="16"/>
        <v>--</v>
      </c>
      <c r="AB35" s="1896">
        <f t="shared" si="17"/>
      </c>
      <c r="AC35" s="1897">
        <f t="shared" si="18"/>
      </c>
      <c r="AD35" s="1789"/>
    </row>
    <row r="36" spans="1:30" ht="16.5" customHeight="1">
      <c r="A36" s="1770"/>
      <c r="B36" s="1785"/>
      <c r="C36" s="1878" t="s">
        <v>99</v>
      </c>
      <c r="D36" s="1168"/>
      <c r="E36" s="1169"/>
      <c r="F36" s="1170"/>
      <c r="G36" s="1178"/>
      <c r="H36" s="1879">
        <f t="shared" si="0"/>
        <v>20</v>
      </c>
      <c r="I36" s="1880">
        <f t="shared" si="1"/>
        <v>506.119</v>
      </c>
      <c r="J36" s="1171"/>
      <c r="K36" s="1172"/>
      <c r="L36" s="1881">
        <f t="shared" si="2"/>
      </c>
      <c r="M36" s="1882">
        <f t="shared" si="3"/>
      </c>
      <c r="N36" s="1883"/>
      <c r="O36" s="1884">
        <f t="shared" si="4"/>
      </c>
      <c r="P36" s="1885">
        <f t="shared" si="5"/>
      </c>
      <c r="Q36" s="1885">
        <f t="shared" si="6"/>
      </c>
      <c r="R36" s="1886" t="str">
        <f t="shared" si="7"/>
        <v>--</v>
      </c>
      <c r="S36" s="1887" t="str">
        <f t="shared" si="8"/>
        <v>--</v>
      </c>
      <c r="T36" s="1888" t="str">
        <f t="shared" si="9"/>
        <v>--</v>
      </c>
      <c r="U36" s="1889" t="str">
        <f t="shared" si="10"/>
        <v>--</v>
      </c>
      <c r="V36" s="1890" t="str">
        <f t="shared" si="11"/>
        <v>--</v>
      </c>
      <c r="W36" s="1891" t="str">
        <f t="shared" si="12"/>
        <v>--</v>
      </c>
      <c r="X36" s="1892" t="str">
        <f t="shared" si="13"/>
        <v>--</v>
      </c>
      <c r="Y36" s="1893" t="str">
        <f t="shared" si="14"/>
        <v>--</v>
      </c>
      <c r="Z36" s="1894" t="str">
        <f t="shared" si="15"/>
        <v>--</v>
      </c>
      <c r="AA36" s="1895" t="str">
        <f t="shared" si="16"/>
        <v>--</v>
      </c>
      <c r="AB36" s="1896">
        <f t="shared" si="17"/>
      </c>
      <c r="AC36" s="1897">
        <f t="shared" si="18"/>
      </c>
      <c r="AD36" s="1789"/>
    </row>
    <row r="37" spans="1:30" ht="16.5" customHeight="1">
      <c r="A37" s="1770"/>
      <c r="B37" s="1785"/>
      <c r="C37" s="1878" t="s">
        <v>100</v>
      </c>
      <c r="D37" s="1168"/>
      <c r="E37" s="1169"/>
      <c r="F37" s="1170"/>
      <c r="G37" s="1178"/>
      <c r="H37" s="1879">
        <f t="shared" si="0"/>
        <v>20</v>
      </c>
      <c r="I37" s="1880">
        <f t="shared" si="1"/>
        <v>506.119</v>
      </c>
      <c r="J37" s="1171"/>
      <c r="K37" s="1172"/>
      <c r="L37" s="1881">
        <f t="shared" si="2"/>
      </c>
      <c r="M37" s="1882">
        <f t="shared" si="3"/>
      </c>
      <c r="N37" s="1883"/>
      <c r="O37" s="1884">
        <f t="shared" si="4"/>
      </c>
      <c r="P37" s="1885">
        <f t="shared" si="5"/>
      </c>
      <c r="Q37" s="1885">
        <f t="shared" si="6"/>
      </c>
      <c r="R37" s="1886" t="str">
        <f t="shared" si="7"/>
        <v>--</v>
      </c>
      <c r="S37" s="1887" t="str">
        <f t="shared" si="8"/>
        <v>--</v>
      </c>
      <c r="T37" s="1888" t="str">
        <f t="shared" si="9"/>
        <v>--</v>
      </c>
      <c r="U37" s="1889" t="str">
        <f t="shared" si="10"/>
        <v>--</v>
      </c>
      <c r="V37" s="1890" t="str">
        <f t="shared" si="11"/>
        <v>--</v>
      </c>
      <c r="W37" s="1891" t="str">
        <f t="shared" si="12"/>
        <v>--</v>
      </c>
      <c r="X37" s="1892" t="str">
        <f t="shared" si="13"/>
        <v>--</v>
      </c>
      <c r="Y37" s="1893" t="str">
        <f t="shared" si="14"/>
        <v>--</v>
      </c>
      <c r="Z37" s="1894" t="str">
        <f t="shared" si="15"/>
        <v>--</v>
      </c>
      <c r="AA37" s="1895" t="str">
        <f t="shared" si="16"/>
        <v>--</v>
      </c>
      <c r="AB37" s="1896">
        <f t="shared" si="17"/>
      </c>
      <c r="AC37" s="1897">
        <f t="shared" si="18"/>
      </c>
      <c r="AD37" s="1789"/>
    </row>
    <row r="38" spans="1:30" ht="16.5" customHeight="1" thickBot="1">
      <c r="A38" s="1810"/>
      <c r="B38" s="1785"/>
      <c r="C38" s="1898"/>
      <c r="D38" s="1899"/>
      <c r="E38" s="1900"/>
      <c r="F38" s="1901"/>
      <c r="G38" s="1902"/>
      <c r="H38" s="1903"/>
      <c r="I38" s="1904"/>
      <c r="J38" s="1905"/>
      <c r="K38" s="1905"/>
      <c r="L38" s="1906"/>
      <c r="M38" s="1906"/>
      <c r="N38" s="1906"/>
      <c r="O38" s="1907"/>
      <c r="P38" s="1906"/>
      <c r="Q38" s="1906"/>
      <c r="R38" s="1908"/>
      <c r="S38" s="1909"/>
      <c r="T38" s="1910"/>
      <c r="U38" s="1911"/>
      <c r="V38" s="1912"/>
      <c r="W38" s="1913"/>
      <c r="X38" s="1914"/>
      <c r="Y38" s="1915"/>
      <c r="Z38" s="1916"/>
      <c r="AA38" s="1917"/>
      <c r="AB38" s="1918"/>
      <c r="AC38" s="1919"/>
      <c r="AD38" s="1920"/>
    </row>
    <row r="39" spans="1:30" ht="16.5" customHeight="1" thickBot="1" thickTop="1">
      <c r="A39" s="1810"/>
      <c r="B39" s="1785"/>
      <c r="C39" s="1815"/>
      <c r="D39" s="1815"/>
      <c r="E39" s="1921"/>
      <c r="F39" s="1826"/>
      <c r="G39" s="1922"/>
      <c r="H39" s="1922"/>
      <c r="I39" s="1923"/>
      <c r="J39" s="1923"/>
      <c r="K39" s="1923"/>
      <c r="L39" s="1923"/>
      <c r="M39" s="1923"/>
      <c r="N39" s="1923"/>
      <c r="O39" s="1924"/>
      <c r="P39" s="1923"/>
      <c r="Q39" s="1923"/>
      <c r="R39" s="1925">
        <f aca="true" t="shared" si="19" ref="R39:AA39">SUM(R31:R38)</f>
        <v>0</v>
      </c>
      <c r="S39" s="1926">
        <f t="shared" si="19"/>
        <v>0</v>
      </c>
      <c r="T39" s="1927">
        <f t="shared" si="19"/>
        <v>0</v>
      </c>
      <c r="U39" s="1927">
        <f t="shared" si="19"/>
        <v>0</v>
      </c>
      <c r="V39" s="1927">
        <f t="shared" si="19"/>
        <v>0</v>
      </c>
      <c r="W39" s="1928">
        <f t="shared" si="19"/>
        <v>0</v>
      </c>
      <c r="X39" s="1928">
        <f t="shared" si="19"/>
        <v>0</v>
      </c>
      <c r="Y39" s="1928">
        <f t="shared" si="19"/>
        <v>0</v>
      </c>
      <c r="Z39" s="1929">
        <f t="shared" si="19"/>
        <v>0</v>
      </c>
      <c r="AA39" s="1930">
        <f t="shared" si="19"/>
        <v>0</v>
      </c>
      <c r="AB39" s="1931"/>
      <c r="AC39" s="1932">
        <f>SUM(AC31:AC38)</f>
        <v>0</v>
      </c>
      <c r="AD39" s="1920"/>
    </row>
    <row r="40" spans="1:30" ht="13.5" customHeight="1" thickBot="1" thickTop="1">
      <c r="A40" s="1810"/>
      <c r="B40" s="1785"/>
      <c r="C40" s="1815"/>
      <c r="D40" s="1815"/>
      <c r="E40" s="1921"/>
      <c r="F40" s="1826"/>
      <c r="G40" s="1922"/>
      <c r="H40" s="1922"/>
      <c r="I40" s="1923"/>
      <c r="J40" s="1923"/>
      <c r="K40" s="1923"/>
      <c r="L40" s="1923"/>
      <c r="M40" s="1923"/>
      <c r="N40" s="1923"/>
      <c r="O40" s="1924"/>
      <c r="P40" s="1923"/>
      <c r="Q40" s="1923"/>
      <c r="R40" s="1933"/>
      <c r="S40" s="1934"/>
      <c r="T40" s="1935"/>
      <c r="U40" s="1935"/>
      <c r="V40" s="1935"/>
      <c r="W40" s="1933"/>
      <c r="X40" s="1933"/>
      <c r="Y40" s="1933"/>
      <c r="Z40" s="1933"/>
      <c r="AA40" s="1933"/>
      <c r="AB40" s="1936"/>
      <c r="AC40" s="1937"/>
      <c r="AD40" s="1920"/>
    </row>
    <row r="41" spans="1:33" s="1770" customFormat="1" ht="33.75" customHeight="1" thickBot="1" thickTop="1">
      <c r="A41" s="1769"/>
      <c r="B41" s="1938"/>
      <c r="C41" s="1939" t="s">
        <v>25</v>
      </c>
      <c r="D41" s="1940" t="s">
        <v>54</v>
      </c>
      <c r="E41" s="1941" t="s">
        <v>55</v>
      </c>
      <c r="F41" s="1942" t="s">
        <v>56</v>
      </c>
      <c r="G41" s="1853" t="s">
        <v>28</v>
      </c>
      <c r="H41" s="1943" t="s">
        <v>32</v>
      </c>
      <c r="I41" s="1944"/>
      <c r="J41" s="1941" t="s">
        <v>33</v>
      </c>
      <c r="K41" s="1941" t="s">
        <v>34</v>
      </c>
      <c r="L41" s="1940" t="s">
        <v>57</v>
      </c>
      <c r="M41" s="1940" t="s">
        <v>36</v>
      </c>
      <c r="N41" s="1840" t="s">
        <v>104</v>
      </c>
      <c r="O41" s="1941" t="s">
        <v>39</v>
      </c>
      <c r="P41" s="1945" t="s">
        <v>58</v>
      </c>
      <c r="Q41" s="1946"/>
      <c r="R41" s="1943" t="s">
        <v>106</v>
      </c>
      <c r="S41" s="1947" t="s">
        <v>40</v>
      </c>
      <c r="T41" s="1948" t="s">
        <v>107</v>
      </c>
      <c r="U41" s="1949"/>
      <c r="V41" s="1950" t="s">
        <v>44</v>
      </c>
      <c r="W41" s="1951"/>
      <c r="X41" s="1952"/>
      <c r="Y41" s="1952"/>
      <c r="Z41" s="1952"/>
      <c r="AA41" s="1953"/>
      <c r="AB41" s="1954" t="s">
        <v>46</v>
      </c>
      <c r="AC41" s="1853" t="s">
        <v>47</v>
      </c>
      <c r="AD41" s="1789"/>
      <c r="AF41" s="1771"/>
      <c r="AG41" s="1771"/>
    </row>
    <row r="42" spans="1:30" ht="16.5" customHeight="1" thickTop="1">
      <c r="A42" s="1770"/>
      <c r="B42" s="1785"/>
      <c r="C42" s="1855"/>
      <c r="D42" s="1955"/>
      <c r="E42" s="1955"/>
      <c r="F42" s="1955"/>
      <c r="G42" s="1956"/>
      <c r="H42" s="1957"/>
      <c r="I42" s="1958"/>
      <c r="J42" s="1955"/>
      <c r="K42" s="1955"/>
      <c r="L42" s="1955"/>
      <c r="M42" s="1955"/>
      <c r="N42" s="1955"/>
      <c r="O42" s="1959"/>
      <c r="P42" s="2890"/>
      <c r="Q42" s="2891"/>
      <c r="R42" s="1960"/>
      <c r="S42" s="1961"/>
      <c r="T42" s="1962"/>
      <c r="U42" s="1963"/>
      <c r="V42" s="1964"/>
      <c r="W42" s="1965"/>
      <c r="X42" s="1966"/>
      <c r="Y42" s="1966"/>
      <c r="Z42" s="1966"/>
      <c r="AA42" s="1967"/>
      <c r="AB42" s="1959"/>
      <c r="AC42" s="1968"/>
      <c r="AD42" s="1789"/>
    </row>
    <row r="43" spans="1:30" ht="16.5" customHeight="1">
      <c r="A43" s="1770"/>
      <c r="B43" s="1785"/>
      <c r="C43" s="1878" t="s">
        <v>95</v>
      </c>
      <c r="D43" s="1274" t="s">
        <v>369</v>
      </c>
      <c r="E43" s="1275" t="s">
        <v>367</v>
      </c>
      <c r="F43" s="1276">
        <v>300</v>
      </c>
      <c r="G43" s="1277" t="s">
        <v>134</v>
      </c>
      <c r="H43" s="1969">
        <f>F43*$F$20</f>
        <v>417.3</v>
      </c>
      <c r="I43" s="1970"/>
      <c r="J43" s="1279">
        <v>42344.26111111111</v>
      </c>
      <c r="K43" s="1279">
        <v>42344.2875</v>
      </c>
      <c r="L43" s="1971">
        <f>IF(D43="","",(K43-J43)*24)</f>
        <v>0.6333333333022892</v>
      </c>
      <c r="M43" s="1972">
        <f>IF(D43="","",(K43-J43)*24*60)</f>
        <v>37.999999998137355</v>
      </c>
      <c r="N43" s="1973" t="s">
        <v>332</v>
      </c>
      <c r="O43" s="1974" t="str">
        <f>IF(D43="","",IF(OR(N43="P",N43="RP"),"--","NO"))</f>
        <v>--</v>
      </c>
      <c r="P43" s="2882" t="str">
        <f>IF(D43="","","NO")</f>
        <v>NO</v>
      </c>
      <c r="Q43" s="2883"/>
      <c r="R43" s="1975">
        <f>200*IF(P43="SI",1,0.1)*IF(N43="P",0.1,1)</f>
        <v>2</v>
      </c>
      <c r="S43" s="1976">
        <f>IF(N43="P",H43*R43*ROUND(M43/60,2),"--")</f>
        <v>525.798</v>
      </c>
      <c r="T43" s="1977" t="str">
        <f>IF(AND(N43="F",O43="NO"),H43*R43,"--")</f>
        <v>--</v>
      </c>
      <c r="U43" s="1978" t="str">
        <f>IF(N43="F",H43*R43*ROUND(M43/60,2),"--")</f>
        <v>--</v>
      </c>
      <c r="V43" s="1979" t="str">
        <f>IF(N43="RF",H43*R43*ROUND(M43/60,2),"--")</f>
        <v>--</v>
      </c>
      <c r="W43" s="1980"/>
      <c r="X43" s="1981"/>
      <c r="Y43" s="1981"/>
      <c r="Z43" s="1981"/>
      <c r="AA43" s="1982"/>
      <c r="AB43" s="1983" t="str">
        <f>IF(D43="","","SI")</f>
        <v>SI</v>
      </c>
      <c r="AC43" s="1984">
        <f>IF(D43="","",SUM(S43:V43)*IF(AB43="SI",1,2))</f>
        <v>525.798</v>
      </c>
      <c r="AD43" s="1789"/>
    </row>
    <row r="44" spans="1:30" ht="16.5" customHeight="1">
      <c r="A44" s="1770"/>
      <c r="B44" s="1785"/>
      <c r="C44" s="1878" t="s">
        <v>96</v>
      </c>
      <c r="D44" s="1274"/>
      <c r="E44" s="1275"/>
      <c r="F44" s="1276"/>
      <c r="G44" s="1277"/>
      <c r="H44" s="1969">
        <f>F44*$F$20</f>
        <v>0</v>
      </c>
      <c r="I44" s="1970"/>
      <c r="J44" s="1279"/>
      <c r="K44" s="1279"/>
      <c r="L44" s="1971">
        <f>IF(D44="","",(K44-J44)*24)</f>
      </c>
      <c r="M44" s="1972">
        <f>IF(D44="","",(K44-J44)*24*60)</f>
      </c>
      <c r="N44" s="1973"/>
      <c r="O44" s="1974">
        <f>IF(D44="","",IF(OR(N44="P",N44="RP"),"--","NO"))</f>
      </c>
      <c r="P44" s="2882">
        <f>IF(D44="","","NO")</f>
      </c>
      <c r="Q44" s="2883"/>
      <c r="R44" s="1975">
        <f>200*IF(P44="SI",1,0.1)*IF(N44="P",0.1,1)</f>
        <v>20</v>
      </c>
      <c r="S44" s="1976" t="str">
        <f>IF(N44="P",H44*R44*ROUND(M44/60,2),"--")</f>
        <v>--</v>
      </c>
      <c r="T44" s="1977" t="str">
        <f>IF(AND(N44="F",O44="NO"),H44*R44,"--")</f>
        <v>--</v>
      </c>
      <c r="U44" s="1978" t="str">
        <f>IF(N44="F",H44*R44*ROUND(M44/60,2),"--")</f>
        <v>--</v>
      </c>
      <c r="V44" s="1979" t="str">
        <f>IF(N44="RF",H44*R44*ROUND(M44/60,2),"--")</f>
        <v>--</v>
      </c>
      <c r="W44" s="1980"/>
      <c r="X44" s="1981"/>
      <c r="Y44" s="1981"/>
      <c r="Z44" s="1981"/>
      <c r="AA44" s="1982"/>
      <c r="AB44" s="1983">
        <f>IF(D44="","","SI")</f>
      </c>
      <c r="AC44" s="1984">
        <f>IF(D44="","",SUM(S44:V44)*IF(AB44="SI",1,2))</f>
      </c>
      <c r="AD44" s="1789"/>
    </row>
    <row r="45" spans="1:30" ht="16.5" customHeight="1">
      <c r="A45" s="1770"/>
      <c r="B45" s="1785"/>
      <c r="C45" s="2500" t="s">
        <v>97</v>
      </c>
      <c r="D45" s="1274"/>
      <c r="E45" s="1275"/>
      <c r="F45" s="1276"/>
      <c r="G45" s="1277"/>
      <c r="H45" s="1969">
        <f>F45*$F$20</f>
        <v>0</v>
      </c>
      <c r="I45" s="2030"/>
      <c r="J45" s="1279"/>
      <c r="K45" s="1279"/>
      <c r="L45" s="1971">
        <f>IF(D45="","",(K45-J45)*24)</f>
      </c>
      <c r="M45" s="1972">
        <f>IF(D45="","",(K45-J45)*24*60)</f>
      </c>
      <c r="N45" s="1973"/>
      <c r="O45" s="1974">
        <f>IF(D45="","",IF(OR(N45="P",N45="RP"),"--","NO"))</f>
      </c>
      <c r="P45" s="2882">
        <f>IF(D45="","","NO")</f>
      </c>
      <c r="Q45" s="2883"/>
      <c r="R45" s="1975">
        <f>200*IF(P45="SI",1,0.1)*IF(N45="P",0.1,1)</f>
        <v>20</v>
      </c>
      <c r="S45" s="1976" t="str">
        <f>IF(N45="P",H45*R45*ROUND(M45/60,2),"--")</f>
        <v>--</v>
      </c>
      <c r="T45" s="1977" t="str">
        <f>IF(AND(N45="F",O45="NO"),H45*R45,"--")</f>
        <v>--</v>
      </c>
      <c r="U45" s="1978" t="str">
        <f>IF(N45="F",H45*R45*ROUND(M45/60,2),"--")</f>
        <v>--</v>
      </c>
      <c r="V45" s="1979" t="str">
        <f>IF(N45="RF",H45*R45*ROUND(M45/60,2),"--")</f>
        <v>--</v>
      </c>
      <c r="W45" s="1980"/>
      <c r="X45" s="1981"/>
      <c r="Y45" s="1981"/>
      <c r="Z45" s="1981"/>
      <c r="AA45" s="1982"/>
      <c r="AB45" s="1983">
        <f>IF(D45="","","SI")</f>
      </c>
      <c r="AC45" s="1984">
        <f>IF(D45="","",SUM(S45:V45)*IF(AB45="SI",1,2))</f>
      </c>
      <c r="AD45" s="1789"/>
    </row>
    <row r="46" spans="1:30" ht="16.5" customHeight="1" thickBot="1">
      <c r="A46" s="1810"/>
      <c r="B46" s="1785"/>
      <c r="C46" s="1898"/>
      <c r="D46" s="1985"/>
      <c r="E46" s="1986"/>
      <c r="F46" s="1987"/>
      <c r="G46" s="1988"/>
      <c r="H46" s="1989"/>
      <c r="I46" s="1990"/>
      <c r="J46" s="1991"/>
      <c r="K46" s="1992"/>
      <c r="L46" s="1993"/>
      <c r="M46" s="1994"/>
      <c r="N46" s="1995"/>
      <c r="O46" s="1906"/>
      <c r="P46" s="2898"/>
      <c r="Q46" s="2899"/>
      <c r="R46" s="1996"/>
      <c r="S46" s="1997"/>
      <c r="T46" s="2501"/>
      <c r="U46" s="2502"/>
      <c r="V46" s="2000"/>
      <c r="W46" s="2001"/>
      <c r="X46" s="2002"/>
      <c r="Y46" s="2002"/>
      <c r="Z46" s="2002"/>
      <c r="AA46" s="2003"/>
      <c r="AB46" s="2004"/>
      <c r="AC46" s="2005"/>
      <c r="AD46" s="1920"/>
    </row>
    <row r="47" spans="1:30" ht="16.5" customHeight="1" thickBot="1" thickTop="1">
      <c r="A47" s="1810"/>
      <c r="B47" s="1785"/>
      <c r="C47" s="2006"/>
      <c r="D47" s="1830"/>
      <c r="E47" s="1830"/>
      <c r="F47" s="2007"/>
      <c r="G47" s="2008"/>
      <c r="H47" s="2009"/>
      <c r="I47" s="2010"/>
      <c r="J47" s="2011"/>
      <c r="K47" s="2012"/>
      <c r="L47" s="2013"/>
      <c r="M47" s="2009"/>
      <c r="N47" s="2014"/>
      <c r="O47" s="2015"/>
      <c r="P47" s="2016"/>
      <c r="Q47" s="2017"/>
      <c r="R47" s="2018"/>
      <c r="S47" s="2018"/>
      <c r="T47" s="2018"/>
      <c r="U47" s="2019"/>
      <c r="V47" s="2019"/>
      <c r="W47" s="2019"/>
      <c r="X47" s="2019"/>
      <c r="Y47" s="2019"/>
      <c r="Z47" s="2019"/>
      <c r="AA47" s="2019"/>
      <c r="AB47" s="2019"/>
      <c r="AC47" s="2020">
        <f>SUM(AC42:AC46)</f>
        <v>525.798</v>
      </c>
      <c r="AD47" s="1920"/>
    </row>
    <row r="48" spans="1:30" ht="13.5" customHeight="1" thickBot="1" thickTop="1">
      <c r="A48" s="1810"/>
      <c r="B48" s="1785"/>
      <c r="C48" s="1815"/>
      <c r="D48" s="1815"/>
      <c r="E48" s="1815"/>
      <c r="F48" s="1815"/>
      <c r="G48" s="1815"/>
      <c r="H48" s="1815"/>
      <c r="I48" s="1815"/>
      <c r="J48" s="1815"/>
      <c r="K48" s="1815"/>
      <c r="L48" s="1815"/>
      <c r="M48" s="1815"/>
      <c r="N48" s="1815"/>
      <c r="O48" s="1815"/>
      <c r="P48" s="1815"/>
      <c r="Q48" s="1815"/>
      <c r="R48" s="1815"/>
      <c r="S48" s="1815"/>
      <c r="T48" s="1815"/>
      <c r="U48" s="1815"/>
      <c r="V48" s="1815"/>
      <c r="W48" s="1815"/>
      <c r="X48" s="1815"/>
      <c r="Y48" s="1815"/>
      <c r="Z48" s="1815"/>
      <c r="AA48" s="1815"/>
      <c r="AB48" s="1815"/>
      <c r="AC48" s="1815"/>
      <c r="AD48" s="1920"/>
    </row>
    <row r="49" spans="1:33" s="1770" customFormat="1" ht="33.75" customHeight="1" thickBot="1" thickTop="1">
      <c r="A49" s="1769"/>
      <c r="B49" s="1938"/>
      <c r="C49" s="1939" t="s">
        <v>25</v>
      </c>
      <c r="D49" s="1940" t="s">
        <v>54</v>
      </c>
      <c r="E49" s="1941" t="s">
        <v>55</v>
      </c>
      <c r="F49" s="2886" t="s">
        <v>28</v>
      </c>
      <c r="G49" s="2900"/>
      <c r="H49" s="1943" t="s">
        <v>32</v>
      </c>
      <c r="I49" s="1944"/>
      <c r="J49" s="1941" t="s">
        <v>33</v>
      </c>
      <c r="K49" s="1941" t="s">
        <v>34</v>
      </c>
      <c r="L49" s="1940" t="s">
        <v>57</v>
      </c>
      <c r="M49" s="1940" t="s">
        <v>36</v>
      </c>
      <c r="N49" s="1840" t="s">
        <v>104</v>
      </c>
      <c r="O49" s="2901" t="s">
        <v>39</v>
      </c>
      <c r="P49" s="2902"/>
      <c r="Q49" s="2903"/>
      <c r="R49" s="1837" t="s">
        <v>31</v>
      </c>
      <c r="S49" s="2021" t="s">
        <v>68</v>
      </c>
      <c r="T49" s="2022" t="s">
        <v>69</v>
      </c>
      <c r="U49" s="2023"/>
      <c r="V49" s="2024" t="s">
        <v>44</v>
      </c>
      <c r="W49" s="1952"/>
      <c r="X49" s="1952"/>
      <c r="Y49" s="1952"/>
      <c r="Z49" s="1952"/>
      <c r="AA49" s="1953"/>
      <c r="AB49" s="1954" t="s">
        <v>46</v>
      </c>
      <c r="AC49" s="1853" t="s">
        <v>47</v>
      </c>
      <c r="AD49" s="1789"/>
      <c r="AF49" s="1771"/>
      <c r="AG49" s="1771"/>
    </row>
    <row r="50" spans="1:30" ht="16.5" customHeight="1" thickTop="1">
      <c r="A50" s="1770"/>
      <c r="B50" s="1785"/>
      <c r="C50" s="1855"/>
      <c r="D50" s="1955"/>
      <c r="E50" s="1955"/>
      <c r="F50" s="2890"/>
      <c r="G50" s="2891"/>
      <c r="H50" s="1957"/>
      <c r="I50" s="1958"/>
      <c r="J50" s="1955"/>
      <c r="K50" s="1955"/>
      <c r="L50" s="1955"/>
      <c r="M50" s="1955"/>
      <c r="N50" s="1955"/>
      <c r="O50" s="2890"/>
      <c r="P50" s="2892"/>
      <c r="Q50" s="2891"/>
      <c r="R50" s="2025"/>
      <c r="S50" s="2026"/>
      <c r="T50" s="2027"/>
      <c r="U50" s="2028"/>
      <c r="V50" s="2029"/>
      <c r="W50" s="1966"/>
      <c r="X50" s="1966"/>
      <c r="Y50" s="1966"/>
      <c r="Z50" s="1966"/>
      <c r="AA50" s="1967"/>
      <c r="AB50" s="1959"/>
      <c r="AC50" s="1968"/>
      <c r="AD50" s="1789"/>
    </row>
    <row r="51" spans="1:30" ht="16.5" customHeight="1">
      <c r="A51" s="1770"/>
      <c r="B51" s="1785"/>
      <c r="C51" s="1878" t="s">
        <v>95</v>
      </c>
      <c r="D51" s="1342"/>
      <c r="E51" s="1342"/>
      <c r="F51" s="2893"/>
      <c r="G51" s="2894"/>
      <c r="H51" s="1969">
        <f>IF(F51=132,$F$21,0)</f>
        <v>0</v>
      </c>
      <c r="I51" s="2030"/>
      <c r="J51" s="1340"/>
      <c r="K51" s="1623"/>
      <c r="L51" s="1971">
        <f>IF(D51="","",(K51-J51)*24)</f>
      </c>
      <c r="M51" s="1972">
        <f>IF(D51="","",(K51-J51)*24*60)</f>
      </c>
      <c r="N51" s="2031"/>
      <c r="O51" s="2895">
        <f>IF(D51="","",IF(N51="P","--","NO"))</f>
      </c>
      <c r="P51" s="2896"/>
      <c r="Q51" s="2897"/>
      <c r="R51" s="2025">
        <f>IF(F51=500,200,IF(F51=132,40,0))</f>
        <v>0</v>
      </c>
      <c r="S51" s="2032" t="str">
        <f>IF(N51="P",H51*R51*ROUND(M51/60,2)*0.1,"--")</f>
        <v>--</v>
      </c>
      <c r="T51" s="2033" t="str">
        <f>IF(AND(N51="F",O51="NO"),H51*R51,"--")</f>
        <v>--</v>
      </c>
      <c r="U51" s="2034" t="str">
        <f>IF(N51="F",H51*R51*ROUND(M51/60,2),"--")</f>
        <v>--</v>
      </c>
      <c r="V51" s="1979" t="str">
        <f>IF(N51="RF",H51*R51*ROUND(M51/60,2),"--")</f>
        <v>--</v>
      </c>
      <c r="W51" s="1981"/>
      <c r="X51" s="1981"/>
      <c r="Y51" s="1981"/>
      <c r="Z51" s="1981"/>
      <c r="AA51" s="1982"/>
      <c r="AB51" s="1983">
        <f>IF(D51="","","SI")</f>
      </c>
      <c r="AC51" s="2035">
        <f>IF(D51="","",SUM(S51:V51)*IF(AB51="SI",1,2))</f>
      </c>
      <c r="AD51" s="1789"/>
    </row>
    <row r="52" spans="1:30" ht="16.5" customHeight="1">
      <c r="A52" s="1770"/>
      <c r="B52" s="1785"/>
      <c r="C52" s="1878" t="s">
        <v>96</v>
      </c>
      <c r="D52" s="1342"/>
      <c r="E52" s="1342"/>
      <c r="F52" s="2893"/>
      <c r="G52" s="2894"/>
      <c r="H52" s="1969">
        <f>IF(F52=132,$F$21,0)</f>
        <v>0</v>
      </c>
      <c r="I52" s="2030"/>
      <c r="J52" s="1340"/>
      <c r="K52" s="1623"/>
      <c r="L52" s="1971">
        <f>IF(D52="","",(K52-J52)*24)</f>
      </c>
      <c r="M52" s="1972">
        <f>IF(D52="","",(K52-J52)*24*60)</f>
      </c>
      <c r="N52" s="2031"/>
      <c r="O52" s="2895">
        <f>IF(D52="","",IF(N52="P","--","NO"))</f>
      </c>
      <c r="P52" s="2896"/>
      <c r="Q52" s="2897"/>
      <c r="R52" s="2025">
        <f>IF(F52=500,200,IF(F52=132,40,0))</f>
        <v>0</v>
      </c>
      <c r="S52" s="2032" t="str">
        <f>IF(N52="P",H52*R52*ROUND(M52/60,2)*0.1,"--")</f>
        <v>--</v>
      </c>
      <c r="T52" s="2033" t="str">
        <f>IF(AND(N52="F",O52="NO"),H52*R52,"--")</f>
        <v>--</v>
      </c>
      <c r="U52" s="2034" t="str">
        <f>IF(N52="F",H52*R52*ROUND(M52/60,2),"--")</f>
        <v>--</v>
      </c>
      <c r="V52" s="1979" t="str">
        <f>IF(N52="RF",H52*R52*ROUND(M52/60,2),"--")</f>
        <v>--</v>
      </c>
      <c r="W52" s="1981"/>
      <c r="X52" s="1981"/>
      <c r="Y52" s="1981"/>
      <c r="Z52" s="1981"/>
      <c r="AA52" s="1982"/>
      <c r="AB52" s="1983">
        <f>IF(D52="","","SI")</f>
      </c>
      <c r="AC52" s="2035">
        <f>IF(D52="","",SUM(S52:V52)*IF(AB52="SI",1,2))</f>
      </c>
      <c r="AD52" s="1789"/>
    </row>
    <row r="53" spans="1:30" ht="16.5" customHeight="1" thickBot="1">
      <c r="A53" s="1810"/>
      <c r="B53" s="1785"/>
      <c r="C53" s="2036"/>
      <c r="D53" s="1985"/>
      <c r="E53" s="1986"/>
      <c r="F53" s="2876"/>
      <c r="G53" s="2884"/>
      <c r="H53" s="1989"/>
      <c r="I53" s="1990"/>
      <c r="J53" s="1991"/>
      <c r="K53" s="1992"/>
      <c r="L53" s="1993"/>
      <c r="M53" s="1994"/>
      <c r="N53" s="1995"/>
      <c r="O53" s="2878"/>
      <c r="P53" s="2885"/>
      <c r="Q53" s="2879"/>
      <c r="R53" s="2025"/>
      <c r="S53" s="2032"/>
      <c r="T53" s="2033"/>
      <c r="U53" s="2034"/>
      <c r="V53" s="1979"/>
      <c r="W53" s="2002"/>
      <c r="X53" s="2002"/>
      <c r="Y53" s="2002"/>
      <c r="Z53" s="2002"/>
      <c r="AA53" s="2003"/>
      <c r="AB53" s="2004"/>
      <c r="AC53" s="2035">
        <f>IF(D53="","",SUM(S53:V53)*IF(AB53="SI",1,2))</f>
      </c>
      <c r="AD53" s="1920"/>
    </row>
    <row r="54" spans="1:30" ht="16.5" customHeight="1" thickBot="1" thickTop="1">
      <c r="A54" s="1810"/>
      <c r="B54" s="1785"/>
      <c r="C54" s="2006"/>
      <c r="D54" s="1830"/>
      <c r="E54" s="1830"/>
      <c r="F54" s="2007"/>
      <c r="G54" s="2008"/>
      <c r="H54" s="2009"/>
      <c r="I54" s="2010"/>
      <c r="J54" s="2011"/>
      <c r="K54" s="2012"/>
      <c r="L54" s="2013"/>
      <c r="M54" s="2009"/>
      <c r="N54" s="2014"/>
      <c r="O54" s="2015"/>
      <c r="P54" s="2037"/>
      <c r="Q54" s="2038"/>
      <c r="R54" s="2039"/>
      <c r="S54" s="2039"/>
      <c r="T54" s="2039"/>
      <c r="U54" s="2040"/>
      <c r="V54" s="2040"/>
      <c r="W54" s="2040"/>
      <c r="X54" s="2040"/>
      <c r="Y54" s="2040"/>
      <c r="Z54" s="2040"/>
      <c r="AA54" s="2040"/>
      <c r="AB54" s="2040"/>
      <c r="AC54" s="2020">
        <f>SUM(AC50:AC53)</f>
        <v>0</v>
      </c>
      <c r="AD54" s="1920"/>
    </row>
    <row r="55" spans="1:30" ht="16.5" customHeight="1" thickBot="1" thickTop="1">
      <c r="A55" s="1810"/>
      <c r="B55" s="1785"/>
      <c r="C55" s="2006"/>
      <c r="D55" s="1830"/>
      <c r="E55" s="1830"/>
      <c r="F55" s="2007"/>
      <c r="G55" s="2008"/>
      <c r="H55" s="2009"/>
      <c r="I55" s="2010"/>
      <c r="J55" s="2011"/>
      <c r="K55" s="2012"/>
      <c r="L55" s="2013"/>
      <c r="M55" s="2009"/>
      <c r="N55" s="2014"/>
      <c r="O55" s="2015"/>
      <c r="P55" s="2037"/>
      <c r="Q55" s="2038"/>
      <c r="R55" s="2039"/>
      <c r="S55" s="2039"/>
      <c r="T55" s="2039"/>
      <c r="U55" s="2040"/>
      <c r="V55" s="2040"/>
      <c r="W55" s="2040"/>
      <c r="X55" s="2040"/>
      <c r="Y55" s="2040"/>
      <c r="Z55" s="2040"/>
      <c r="AA55" s="2040"/>
      <c r="AB55" s="2040"/>
      <c r="AC55" s="2041"/>
      <c r="AD55" s="1920"/>
    </row>
    <row r="56" spans="1:30" ht="33.75" customHeight="1" thickBot="1" thickTop="1">
      <c r="A56" s="1810"/>
      <c r="B56" s="1785"/>
      <c r="C56" s="1939" t="s">
        <v>25</v>
      </c>
      <c r="D56" s="1940" t="s">
        <v>54</v>
      </c>
      <c r="E56" s="1941" t="s">
        <v>55</v>
      </c>
      <c r="F56" s="2886" t="s">
        <v>56</v>
      </c>
      <c r="G56" s="2887"/>
      <c r="H56" s="1943" t="s">
        <v>32</v>
      </c>
      <c r="I56" s="1944"/>
      <c r="J56" s="1941" t="s">
        <v>33</v>
      </c>
      <c r="K56" s="1941" t="s">
        <v>34</v>
      </c>
      <c r="L56" s="1940" t="s">
        <v>57</v>
      </c>
      <c r="M56" s="1940" t="s">
        <v>36</v>
      </c>
      <c r="N56" s="1840" t="s">
        <v>104</v>
      </c>
      <c r="O56" s="1941" t="s">
        <v>39</v>
      </c>
      <c r="P56" s="1945" t="s">
        <v>58</v>
      </c>
      <c r="Q56" s="1946"/>
      <c r="R56" s="1943" t="s">
        <v>106</v>
      </c>
      <c r="S56" s="1947" t="s">
        <v>40</v>
      </c>
      <c r="T56" s="1948" t="s">
        <v>107</v>
      </c>
      <c r="U56" s="1949"/>
      <c r="V56" s="1950" t="s">
        <v>44</v>
      </c>
      <c r="W56" s="1951"/>
      <c r="X56" s="1952"/>
      <c r="Y56" s="1952"/>
      <c r="Z56" s="1952"/>
      <c r="AA56" s="1953"/>
      <c r="AB56" s="1954" t="s">
        <v>46</v>
      </c>
      <c r="AC56" s="1853" t="s">
        <v>47</v>
      </c>
      <c r="AD56" s="1920"/>
    </row>
    <row r="57" spans="1:30" ht="16.5" customHeight="1" thickTop="1">
      <c r="A57" s="1810"/>
      <c r="B57" s="1785"/>
      <c r="C57" s="1855"/>
      <c r="D57" s="1955"/>
      <c r="E57" s="1955"/>
      <c r="F57" s="2888"/>
      <c r="G57" s="2889"/>
      <c r="H57" s="1957"/>
      <c r="I57" s="1958"/>
      <c r="J57" s="1955"/>
      <c r="K57" s="1955"/>
      <c r="L57" s="1955"/>
      <c r="M57" s="1955"/>
      <c r="N57" s="1955"/>
      <c r="O57" s="1959"/>
      <c r="P57" s="2890"/>
      <c r="Q57" s="2891"/>
      <c r="R57" s="1960"/>
      <c r="S57" s="1961"/>
      <c r="T57" s="1962"/>
      <c r="U57" s="1963"/>
      <c r="V57" s="1964"/>
      <c r="W57" s="1965"/>
      <c r="X57" s="1966"/>
      <c r="Y57" s="1966"/>
      <c r="Z57" s="1966"/>
      <c r="AA57" s="1967"/>
      <c r="AB57" s="1959"/>
      <c r="AC57" s="1968"/>
      <c r="AD57" s="1920"/>
    </row>
    <row r="58" spans="1:30" ht="16.5" customHeight="1">
      <c r="A58" s="1810"/>
      <c r="B58" s="1785"/>
      <c r="C58" s="1878" t="s">
        <v>95</v>
      </c>
      <c r="D58" s="1341"/>
      <c r="E58" s="1621"/>
      <c r="F58" s="2880"/>
      <c r="G58" s="2881"/>
      <c r="H58" s="1969">
        <f>F58*$F$20</f>
        <v>0</v>
      </c>
      <c r="I58" s="1970"/>
      <c r="J58" s="1340"/>
      <c r="K58" s="1117"/>
      <c r="L58" s="1971">
        <f>IF(D58="","",(K58-J58)*24)</f>
      </c>
      <c r="M58" s="1972">
        <f>IF(D58="","",(K58-J58)*24*60)</f>
      </c>
      <c r="N58" s="1116"/>
      <c r="O58" s="1974">
        <f>IF(D58="","",IF(OR(N58="P",N58="RP"),"--","NO"))</f>
      </c>
      <c r="P58" s="2882">
        <f>IF(D58="","","NO")</f>
      </c>
      <c r="Q58" s="2883"/>
      <c r="R58" s="1975">
        <f>200*IF(P58="SI",1,0.1)*IF(N58="P",0.1,1)</f>
        <v>20</v>
      </c>
      <c r="S58" s="1976" t="str">
        <f>IF(N58="P",H58*R58*ROUND(M58/60,2),"--")</f>
        <v>--</v>
      </c>
      <c r="T58" s="1977" t="str">
        <f>IF(AND(N58="F",O58="NO"),H58*R58,"--")</f>
        <v>--</v>
      </c>
      <c r="U58" s="1978" t="str">
        <f>IF(N58="F",H58*R58*ROUND(M58/60,2),"--")</f>
        <v>--</v>
      </c>
      <c r="V58" s="1979" t="str">
        <f>IF(N58="RF",H58*R58*ROUND(M58/60,2),"--")</f>
        <v>--</v>
      </c>
      <c r="W58" s="1980"/>
      <c r="X58" s="1981"/>
      <c r="Y58" s="1981"/>
      <c r="Z58" s="1981"/>
      <c r="AA58" s="1982"/>
      <c r="AB58" s="1983">
        <f>IF(D58="","","SI")</f>
      </c>
      <c r="AC58" s="1984">
        <f>IF(D58="","",SUM(S58:V58)*IF(AB58="SI",1,2))</f>
      </c>
      <c r="AD58" s="1920"/>
    </row>
    <row r="59" spans="1:30" ht="16.5" customHeight="1">
      <c r="A59" s="1810"/>
      <c r="B59" s="1785"/>
      <c r="C59" s="1878" t="s">
        <v>96</v>
      </c>
      <c r="D59" s="1341"/>
      <c r="E59" s="1621"/>
      <c r="F59" s="2880"/>
      <c r="G59" s="2881"/>
      <c r="H59" s="1969">
        <f>F59*$F$20</f>
        <v>0</v>
      </c>
      <c r="I59" s="1970"/>
      <c r="J59" s="1340"/>
      <c r="K59" s="1117"/>
      <c r="L59" s="1971">
        <f>IF(D59="","",(K59-J59)*24)</f>
      </c>
      <c r="M59" s="1972">
        <f>IF(D59="","",(K59-J59)*24*60)</f>
      </c>
      <c r="N59" s="1116"/>
      <c r="O59" s="1974">
        <f>IF(D59="","",IF(OR(N59="P",N59="RP"),"--","NO"))</f>
      </c>
      <c r="P59" s="2882">
        <f>IF(D59="","","NO")</f>
      </c>
      <c r="Q59" s="2883"/>
      <c r="R59" s="1975">
        <f>200*IF(P59="SI",1,0.1)*IF(N59="P",0.1,1)</f>
        <v>20</v>
      </c>
      <c r="S59" s="1976" t="str">
        <f>IF(N59="P",H59*R59*ROUND(M59/60,2),"--")</f>
        <v>--</v>
      </c>
      <c r="T59" s="1977" t="str">
        <f>IF(AND(N59="F",O59="NO"),H59*R59,"--")</f>
        <v>--</v>
      </c>
      <c r="U59" s="1978" t="str">
        <f>IF(N59="F",H59*R59*ROUND(M59/60,2),"--")</f>
        <v>--</v>
      </c>
      <c r="V59" s="1979" t="str">
        <f>IF(N59="RF",H59*R59*ROUND(M59/60,2),"--")</f>
        <v>--</v>
      </c>
      <c r="W59" s="1980"/>
      <c r="X59" s="1981"/>
      <c r="Y59" s="1981"/>
      <c r="Z59" s="1981"/>
      <c r="AA59" s="1982"/>
      <c r="AB59" s="1983">
        <f>IF(D59="","","SI")</f>
      </c>
      <c r="AC59" s="1984">
        <f>IF(D59="","",SUM(S59:V59)*IF(AB59="SI",1,2))</f>
      </c>
      <c r="AD59" s="1920"/>
    </row>
    <row r="60" spans="1:30" ht="16.5" customHeight="1">
      <c r="A60" s="1810"/>
      <c r="B60" s="1785"/>
      <c r="C60" s="1878" t="s">
        <v>97</v>
      </c>
      <c r="D60" s="1341"/>
      <c r="E60" s="1621"/>
      <c r="F60" s="2880"/>
      <c r="G60" s="2854"/>
      <c r="H60" s="1969">
        <f>F60*$F$20</f>
        <v>0</v>
      </c>
      <c r="I60" s="1970"/>
      <c r="J60" s="1340"/>
      <c r="K60" s="1117"/>
      <c r="L60" s="1971">
        <f>IF(D60="","",(K60-J60)*24)</f>
      </c>
      <c r="M60" s="1972">
        <f>IF(D60="","",(K60-J60)*24*60)</f>
      </c>
      <c r="N60" s="1116"/>
      <c r="O60" s="1885"/>
      <c r="P60" s="2882">
        <f>IF(D60="","","NO")</f>
      </c>
      <c r="Q60" s="2883"/>
      <c r="R60" s="1975">
        <f>200*IF(P60="SI",1,0.1)*IF(N60="P",0.1,1)</f>
        <v>20</v>
      </c>
      <c r="S60" s="1976" t="str">
        <f>IF(N60="P",H60*R60*ROUND(M60/60,2),"--")</f>
        <v>--</v>
      </c>
      <c r="T60" s="1977" t="str">
        <f>IF(AND(N60="F",O60="NO"),H60*R60,"--")</f>
        <v>--</v>
      </c>
      <c r="U60" s="1978" t="str">
        <f>IF(N60="F",H60*R60*ROUND(M60/60,2),"--")</f>
        <v>--</v>
      </c>
      <c r="V60" s="1979" t="str">
        <f>IF(N60="RF",H60*R60*ROUND(M60/60,2),"--")</f>
        <v>--</v>
      </c>
      <c r="W60" s="1980"/>
      <c r="X60" s="1981"/>
      <c r="Y60" s="1981"/>
      <c r="Z60" s="1981"/>
      <c r="AA60" s="1982"/>
      <c r="AB60" s="1983">
        <f>IF(D60="","","SI")</f>
      </c>
      <c r="AC60" s="1984">
        <f>IF(D60="","",SUM(S60:V60)*IF(AB60="SI",1,2))</f>
      </c>
      <c r="AD60" s="1920"/>
    </row>
    <row r="61" spans="1:30" ht="16.5" customHeight="1">
      <c r="A61" s="1810"/>
      <c r="B61" s="1785"/>
      <c r="C61" s="1878" t="s">
        <v>98</v>
      </c>
      <c r="D61" s="1341"/>
      <c r="E61" s="1342"/>
      <c r="F61" s="2880"/>
      <c r="G61" s="2854"/>
      <c r="H61" s="1969">
        <f>F61*$F$20</f>
        <v>0</v>
      </c>
      <c r="I61" s="1970"/>
      <c r="J61" s="1340"/>
      <c r="K61" s="1117"/>
      <c r="L61" s="1971">
        <f>IF(D61="","",(K61-J61)*24)</f>
      </c>
      <c r="M61" s="1972">
        <f>IF(D61="","",(K61-J61)*24*60)</f>
      </c>
      <c r="N61" s="1116"/>
      <c r="O61" s="1974">
        <f>IF(D61="","",IF(OR(N61="P",N61="RP"),"--","NO"))</f>
      </c>
      <c r="P61" s="2882">
        <f>IF(D61="","","NO")</f>
      </c>
      <c r="Q61" s="2883"/>
      <c r="R61" s="1975">
        <f>200*IF(P61="SI",1,0.1)*IF(N61="P",0.1,1)</f>
        <v>20</v>
      </c>
      <c r="S61" s="1976" t="str">
        <f>IF(N61="P",H61*R61*ROUND(M61/60,2),"--")</f>
        <v>--</v>
      </c>
      <c r="T61" s="1977" t="str">
        <f>IF(AND(N61="F",O61="NO"),H61*R61,"--")</f>
        <v>--</v>
      </c>
      <c r="U61" s="1978" t="str">
        <f>IF(N61="F",H61*R61*ROUND(M61/60,2),"--")</f>
        <v>--</v>
      </c>
      <c r="V61" s="1979" t="str">
        <f>IF(N61="RF",H61*R61*ROUND(M61/60,2),"--")</f>
        <v>--</v>
      </c>
      <c r="W61" s="1980"/>
      <c r="X61" s="1981"/>
      <c r="Y61" s="1981"/>
      <c r="Z61" s="1981"/>
      <c r="AA61" s="1982"/>
      <c r="AB61" s="1983">
        <f>IF(D61="","","SI")</f>
      </c>
      <c r="AC61" s="1984">
        <f>IF(D61="","",SUM(S61:V61)*IF(AB61="SI",1,2))</f>
      </c>
      <c r="AD61" s="1920"/>
    </row>
    <row r="62" spans="1:30" ht="16.5" customHeight="1" thickBot="1">
      <c r="A62" s="1810"/>
      <c r="B62" s="1785"/>
      <c r="C62" s="1898"/>
      <c r="D62" s="1985"/>
      <c r="E62" s="1986"/>
      <c r="F62" s="2876"/>
      <c r="G62" s="2877"/>
      <c r="H62" s="1989"/>
      <c r="I62" s="1990"/>
      <c r="J62" s="1991"/>
      <c r="K62" s="1992"/>
      <c r="L62" s="1993"/>
      <c r="M62" s="1994"/>
      <c r="N62" s="1995"/>
      <c r="O62" s="1906"/>
      <c r="P62" s="2878"/>
      <c r="Q62" s="2879"/>
      <c r="R62" s="1996"/>
      <c r="S62" s="1997"/>
      <c r="T62" s="1998"/>
      <c r="U62" s="1999"/>
      <c r="V62" s="2000"/>
      <c r="W62" s="2001"/>
      <c r="X62" s="2002"/>
      <c r="Y62" s="2002"/>
      <c r="Z62" s="2002"/>
      <c r="AA62" s="2003"/>
      <c r="AB62" s="2004"/>
      <c r="AC62" s="2005"/>
      <c r="AD62" s="1920"/>
    </row>
    <row r="63" spans="1:30" ht="16.5" customHeight="1" thickBot="1" thickTop="1">
      <c r="A63" s="1810"/>
      <c r="B63" s="1785"/>
      <c r="C63" s="2006"/>
      <c r="D63" s="1830"/>
      <c r="E63" s="1830"/>
      <c r="F63" s="2007"/>
      <c r="G63" s="2008"/>
      <c r="H63" s="2009"/>
      <c r="I63" s="2010"/>
      <c r="J63" s="2011"/>
      <c r="K63" s="2012"/>
      <c r="L63" s="2013"/>
      <c r="M63" s="2009"/>
      <c r="N63" s="2014"/>
      <c r="O63" s="2015"/>
      <c r="P63" s="2016"/>
      <c r="Q63" s="2017"/>
      <c r="R63" s="2018"/>
      <c r="S63" s="2018"/>
      <c r="T63" s="2018"/>
      <c r="U63" s="2019"/>
      <c r="V63" s="2019"/>
      <c r="W63" s="2019"/>
      <c r="X63" s="2019"/>
      <c r="Y63" s="2019"/>
      <c r="Z63" s="2019"/>
      <c r="AA63" s="2019"/>
      <c r="AB63" s="2019"/>
      <c r="AC63" s="2020">
        <f>SUM(AC57:AC62)</f>
        <v>0</v>
      </c>
      <c r="AD63" s="1920"/>
    </row>
    <row r="64" spans="1:30" ht="16.5" customHeight="1" thickBot="1" thickTop="1">
      <c r="A64" s="1810"/>
      <c r="B64" s="1811"/>
      <c r="C64" s="2006"/>
      <c r="D64" s="1830"/>
      <c r="E64" s="2040"/>
      <c r="F64" s="2040"/>
      <c r="G64" s="2040"/>
      <c r="H64" s="2040"/>
      <c r="I64" s="2040"/>
      <c r="J64" s="2040"/>
      <c r="K64" s="2040"/>
      <c r="L64" s="2040"/>
      <c r="M64" s="2040"/>
      <c r="N64" s="2040"/>
      <c r="O64" s="2040"/>
      <c r="P64" s="2040"/>
      <c r="Q64" s="2040"/>
      <c r="R64" s="2040"/>
      <c r="S64" s="2040"/>
      <c r="T64" s="2040"/>
      <c r="U64" s="2040"/>
      <c r="V64" s="2040"/>
      <c r="W64" s="2040"/>
      <c r="X64" s="2040"/>
      <c r="Y64" s="2040"/>
      <c r="Z64" s="2040"/>
      <c r="AA64" s="2040"/>
      <c r="AB64" s="2040"/>
      <c r="AC64" s="2042"/>
      <c r="AD64" s="2043"/>
    </row>
    <row r="65" spans="1:30" ht="16.5" customHeight="1" thickBot="1" thickTop="1">
      <c r="A65" s="1810"/>
      <c r="B65" s="1785"/>
      <c r="C65" s="2006"/>
      <c r="D65" s="1830"/>
      <c r="E65" s="1830"/>
      <c r="F65" s="2007"/>
      <c r="G65" s="2008"/>
      <c r="H65" s="2009"/>
      <c r="I65" s="2010"/>
      <c r="J65" s="1828" t="s">
        <v>109</v>
      </c>
      <c r="K65" s="1829">
        <f>+AC47+AC39+AC54+AC63</f>
        <v>525.798</v>
      </c>
      <c r="L65" s="2013"/>
      <c r="M65" s="2009"/>
      <c r="N65" s="2044"/>
      <c r="O65" s="2045"/>
      <c r="P65" s="2037"/>
      <c r="Q65" s="2038"/>
      <c r="R65" s="2039"/>
      <c r="S65" s="2039"/>
      <c r="T65" s="2039"/>
      <c r="U65" s="2040"/>
      <c r="V65" s="2040"/>
      <c r="W65" s="2040"/>
      <c r="X65" s="2040"/>
      <c r="Y65" s="2040"/>
      <c r="Z65" s="2040"/>
      <c r="AA65" s="2040"/>
      <c r="AB65" s="2040"/>
      <c r="AC65" s="2046"/>
      <c r="AD65" s="1920"/>
    </row>
    <row r="66" spans="1:30" ht="13.5" customHeight="1" thickTop="1">
      <c r="A66" s="1810"/>
      <c r="B66" s="1811"/>
      <c r="C66" s="1815"/>
      <c r="D66" s="2047"/>
      <c r="E66" s="2048"/>
      <c r="F66" s="2049"/>
      <c r="G66" s="2050"/>
      <c r="H66" s="2050"/>
      <c r="I66" s="2048"/>
      <c r="J66" s="2051"/>
      <c r="K66" s="2051"/>
      <c r="L66" s="2048"/>
      <c r="M66" s="2048"/>
      <c r="N66" s="2048"/>
      <c r="O66" s="2052"/>
      <c r="P66" s="2048"/>
      <c r="Q66" s="2048"/>
      <c r="R66" s="2053"/>
      <c r="S66" s="2054"/>
      <c r="T66" s="2054"/>
      <c r="U66" s="2055"/>
      <c r="AC66" s="2055"/>
      <c r="AD66" s="2043"/>
    </row>
    <row r="67" spans="1:30" ht="16.5" customHeight="1">
      <c r="A67" s="1810"/>
      <c r="B67" s="1811"/>
      <c r="C67" s="2056" t="s">
        <v>110</v>
      </c>
      <c r="D67" s="2057" t="s">
        <v>324</v>
      </c>
      <c r="E67" s="2048"/>
      <c r="F67" s="2049"/>
      <c r="G67" s="2050"/>
      <c r="H67" s="2050"/>
      <c r="I67" s="2048"/>
      <c r="J67" s="2051"/>
      <c r="K67" s="2051"/>
      <c r="L67" s="2048"/>
      <c r="M67" s="2048"/>
      <c r="N67" s="2048"/>
      <c r="O67" s="2052"/>
      <c r="P67" s="2048"/>
      <c r="Q67" s="2048"/>
      <c r="R67" s="2053"/>
      <c r="S67" s="2054"/>
      <c r="T67" s="2054"/>
      <c r="U67" s="2055"/>
      <c r="AC67" s="2055"/>
      <c r="AD67" s="2043"/>
    </row>
    <row r="68" spans="1:30" ht="16.5" customHeight="1">
      <c r="A68" s="1810"/>
      <c r="B68" s="1811"/>
      <c r="C68" s="2056"/>
      <c r="D68" s="2047"/>
      <c r="E68" s="2048"/>
      <c r="F68" s="2049"/>
      <c r="G68" s="2050"/>
      <c r="H68" s="2050"/>
      <c r="I68" s="2048"/>
      <c r="J68" s="2051"/>
      <c r="K68" s="2051"/>
      <c r="L68" s="2048"/>
      <c r="M68" s="2048"/>
      <c r="N68" s="2048"/>
      <c r="O68" s="2052"/>
      <c r="P68" s="2048"/>
      <c r="Q68" s="2048"/>
      <c r="R68" s="2048"/>
      <c r="S68" s="2053"/>
      <c r="T68" s="2054"/>
      <c r="AD68" s="2043"/>
    </row>
    <row r="69" spans="2:30" s="1810" customFormat="1" ht="16.5" customHeight="1">
      <c r="B69" s="1811"/>
      <c r="C69" s="1815"/>
      <c r="D69" s="2058" t="s">
        <v>5</v>
      </c>
      <c r="E69" s="1923" t="s">
        <v>111</v>
      </c>
      <c r="F69" s="1923" t="s">
        <v>112</v>
      </c>
      <c r="G69" s="2059" t="s">
        <v>325</v>
      </c>
      <c r="H69" s="1924"/>
      <c r="I69" s="1923"/>
      <c r="J69" s="1771"/>
      <c r="K69" s="1771"/>
      <c r="L69" s="2060" t="s">
        <v>326</v>
      </c>
      <c r="M69" s="1771"/>
      <c r="N69" s="1771"/>
      <c r="O69" s="1771"/>
      <c r="P69" s="1771"/>
      <c r="Q69" s="2061"/>
      <c r="R69" s="2061"/>
      <c r="S69" s="1812"/>
      <c r="T69" s="1771"/>
      <c r="U69" s="1771"/>
      <c r="V69" s="1771"/>
      <c r="W69" s="1771"/>
      <c r="X69" s="1812"/>
      <c r="Y69" s="1812"/>
      <c r="Z69" s="1812"/>
      <c r="AA69" s="1812"/>
      <c r="AB69" s="1812"/>
      <c r="AC69" s="2062" t="s">
        <v>328</v>
      </c>
      <c r="AD69" s="2043"/>
    </row>
    <row r="70" spans="2:30" s="1810" customFormat="1" ht="16.5" customHeight="1">
      <c r="B70" s="1811"/>
      <c r="C70" s="1815"/>
      <c r="D70" s="1923" t="s">
        <v>374</v>
      </c>
      <c r="E70" s="2063">
        <v>160</v>
      </c>
      <c r="F70" s="2063">
        <v>500</v>
      </c>
      <c r="G70" s="2064">
        <f>E70*$F$19*$L$20/100</f>
        <v>602484.0576000001</v>
      </c>
      <c r="H70" s="2064"/>
      <c r="I70" s="2064"/>
      <c r="J70" s="1800"/>
      <c r="K70" s="1771"/>
      <c r="L70" s="2065">
        <v>60191</v>
      </c>
      <c r="M70" s="1800"/>
      <c r="N70" s="2066" t="s">
        <v>469</v>
      </c>
      <c r="O70" s="1771"/>
      <c r="P70" s="1771"/>
      <c r="Q70" s="2061"/>
      <c r="R70" s="2061"/>
      <c r="S70" s="1812"/>
      <c r="T70" s="1771"/>
      <c r="U70" s="1771"/>
      <c r="V70" s="1771"/>
      <c r="W70" s="1771"/>
      <c r="X70" s="1812"/>
      <c r="Y70" s="1812"/>
      <c r="Z70" s="1812"/>
      <c r="AA70" s="1812"/>
      <c r="AB70" s="2067"/>
      <c r="AC70" s="2068">
        <f>L70+G70</f>
        <v>662675.0576000001</v>
      </c>
      <c r="AD70" s="2043"/>
    </row>
    <row r="71" spans="2:30" s="1810" customFormat="1" ht="16.5" customHeight="1">
      <c r="B71" s="1811"/>
      <c r="C71" s="1815"/>
      <c r="D71" s="1923" t="s">
        <v>375</v>
      </c>
      <c r="E71" s="2063">
        <v>147</v>
      </c>
      <c r="F71" s="2063">
        <v>500</v>
      </c>
      <c r="G71" s="2064">
        <f>E71*$F$19*$L$20/100</f>
        <v>553532.22792</v>
      </c>
      <c r="H71" s="2064"/>
      <c r="I71" s="2064"/>
      <c r="J71" s="1800"/>
      <c r="K71" s="1771"/>
      <c r="L71" s="2065">
        <v>15797</v>
      </c>
      <c r="M71" s="1800"/>
      <c r="N71" s="2066" t="s">
        <v>469</v>
      </c>
      <c r="O71" s="1771"/>
      <c r="P71" s="1771"/>
      <c r="Q71" s="2061"/>
      <c r="R71" s="2061"/>
      <c r="S71" s="1812"/>
      <c r="T71" s="1771"/>
      <c r="U71" s="1771"/>
      <c r="V71" s="1771"/>
      <c r="W71" s="1771"/>
      <c r="X71" s="1812"/>
      <c r="Y71" s="1812"/>
      <c r="Z71" s="1812"/>
      <c r="AA71" s="1812"/>
      <c r="AB71" s="2067"/>
      <c r="AC71" s="2068">
        <f>L71+G71</f>
        <v>569329.22792</v>
      </c>
      <c r="AD71" s="2043"/>
    </row>
    <row r="72" spans="2:30" s="1810" customFormat="1" ht="16.5" customHeight="1">
      <c r="B72" s="1811"/>
      <c r="C72" s="1815"/>
      <c r="D72" s="1923" t="s">
        <v>376</v>
      </c>
      <c r="E72" s="2063">
        <v>262.8</v>
      </c>
      <c r="F72" s="2063">
        <v>500</v>
      </c>
      <c r="G72" s="2064">
        <f>E72*$F$19*$L$20/100</f>
        <v>989580.0646080001</v>
      </c>
      <c r="H72" s="2064"/>
      <c r="I72" s="2064"/>
      <c r="J72" s="1800"/>
      <c r="K72" s="1771"/>
      <c r="L72" s="2065">
        <v>49177</v>
      </c>
      <c r="M72" s="1800"/>
      <c r="N72" s="2066" t="s">
        <v>469</v>
      </c>
      <c r="O72" s="1771"/>
      <c r="P72" s="1771"/>
      <c r="Q72" s="2061"/>
      <c r="R72" s="2061"/>
      <c r="S72" s="1812"/>
      <c r="T72" s="1771"/>
      <c r="U72" s="1771"/>
      <c r="V72" s="1771"/>
      <c r="W72" s="1771"/>
      <c r="X72" s="1812"/>
      <c r="Y72" s="1812"/>
      <c r="Z72" s="1812"/>
      <c r="AA72" s="1812"/>
      <c r="AB72" s="2067"/>
      <c r="AC72" s="2068">
        <f>L72+G72</f>
        <v>1038757.0646080001</v>
      </c>
      <c r="AD72" s="2043"/>
    </row>
    <row r="73" spans="2:30" s="1810" customFormat="1" ht="16.5" customHeight="1">
      <c r="B73" s="1811"/>
      <c r="C73" s="1815"/>
      <c r="E73" s="1820"/>
      <c r="F73" s="1923"/>
      <c r="G73" s="1924"/>
      <c r="H73" s="1771"/>
      <c r="I73" s="1923"/>
      <c r="J73" s="1923"/>
      <c r="K73" s="1771"/>
      <c r="L73" s="2068"/>
      <c r="M73" s="2069"/>
      <c r="N73" s="2069"/>
      <c r="O73" s="2061"/>
      <c r="P73" s="2061"/>
      <c r="Q73" s="2061"/>
      <c r="R73" s="2061"/>
      <c r="S73" s="1812"/>
      <c r="T73" s="1771"/>
      <c r="U73" s="1771"/>
      <c r="V73" s="1771"/>
      <c r="W73" s="1771"/>
      <c r="X73" s="1812"/>
      <c r="Y73" s="1812"/>
      <c r="Z73" s="1812"/>
      <c r="AA73" s="1812"/>
      <c r="AB73" s="1812"/>
      <c r="AC73" s="2068"/>
      <c r="AD73" s="2043"/>
    </row>
    <row r="74" spans="1:30" ht="16.5" customHeight="1">
      <c r="A74" s="1810"/>
      <c r="B74" s="1811"/>
      <c r="C74" s="1815"/>
      <c r="D74" s="2058" t="s">
        <v>125</v>
      </c>
      <c r="E74" s="1923" t="s">
        <v>126</v>
      </c>
      <c r="F74" s="1923" t="s">
        <v>112</v>
      </c>
      <c r="G74" s="2059" t="s">
        <v>329</v>
      </c>
      <c r="I74" s="2070"/>
      <c r="J74" s="1923"/>
      <c r="L74" s="2060" t="s">
        <v>327</v>
      </c>
      <c r="M74" s="2070"/>
      <c r="N74" s="2069"/>
      <c r="O74" s="2061"/>
      <c r="P74" s="2061"/>
      <c r="Q74" s="2061"/>
      <c r="R74" s="2061"/>
      <c r="S74" s="2061"/>
      <c r="AC74" s="2068"/>
      <c r="AD74" s="2043"/>
    </row>
    <row r="75" spans="1:30" ht="16.5" customHeight="1">
      <c r="A75" s="1810"/>
      <c r="B75" s="1811"/>
      <c r="C75" s="1815"/>
      <c r="D75" s="1923" t="s">
        <v>377</v>
      </c>
      <c r="E75" s="2063">
        <v>300</v>
      </c>
      <c r="F75" s="2063" t="s">
        <v>134</v>
      </c>
      <c r="G75" s="2064">
        <f>E75*F20*L20</f>
        <v>310471.2</v>
      </c>
      <c r="H75" s="1800"/>
      <c r="I75" s="1800"/>
      <c r="J75" s="2065"/>
      <c r="L75" s="2065"/>
      <c r="M75" s="1800"/>
      <c r="N75" s="2066" t="s">
        <v>469</v>
      </c>
      <c r="O75" s="2071"/>
      <c r="P75" s="2071"/>
      <c r="Q75" s="2071"/>
      <c r="R75" s="2071"/>
      <c r="S75" s="2071"/>
      <c r="AC75" s="2072">
        <f>G75+L75</f>
        <v>310471.2</v>
      </c>
      <c r="AD75" s="2043"/>
    </row>
    <row r="76" spans="1:30" ht="16.5" customHeight="1">
      <c r="A76" s="1810"/>
      <c r="B76" s="1811"/>
      <c r="C76" s="1815"/>
      <c r="D76" s="1923" t="s">
        <v>378</v>
      </c>
      <c r="E76" s="2063">
        <v>300</v>
      </c>
      <c r="F76" s="2063" t="s">
        <v>134</v>
      </c>
      <c r="G76" s="2064">
        <f>E76*F20*L20</f>
        <v>310471.2</v>
      </c>
      <c r="H76" s="1800"/>
      <c r="I76" s="1800"/>
      <c r="J76" s="2065"/>
      <c r="L76" s="2065"/>
      <c r="M76" s="1800"/>
      <c r="N76" s="2066" t="s">
        <v>469</v>
      </c>
      <c r="O76" s="2071"/>
      <c r="P76" s="2071"/>
      <c r="Q76" s="2071"/>
      <c r="R76" s="2071"/>
      <c r="S76" s="2071"/>
      <c r="AC76" s="2072">
        <f>G76+L76</f>
        <v>310471.2</v>
      </c>
      <c r="AD76" s="2043"/>
    </row>
    <row r="77" spans="1:30" ht="16.5" customHeight="1">
      <c r="A77" s="1810"/>
      <c r="B77" s="1811"/>
      <c r="C77" s="1815"/>
      <c r="D77" s="1923" t="s">
        <v>379</v>
      </c>
      <c r="E77" s="2063">
        <v>150</v>
      </c>
      <c r="F77" s="2063" t="s">
        <v>134</v>
      </c>
      <c r="G77" s="2064">
        <f>E77*F20*L20</f>
        <v>155235.6</v>
      </c>
      <c r="H77" s="1800"/>
      <c r="I77" s="1800"/>
      <c r="J77" s="2065"/>
      <c r="L77" s="2065"/>
      <c r="M77" s="1800"/>
      <c r="N77" s="2066" t="s">
        <v>469</v>
      </c>
      <c r="O77" s="2071"/>
      <c r="P77" s="2071"/>
      <c r="Q77" s="2071"/>
      <c r="R77" s="2071"/>
      <c r="S77" s="2071"/>
      <c r="AC77" s="2072">
        <f>G77+L77</f>
        <v>155235.6</v>
      </c>
      <c r="AD77" s="2043"/>
    </row>
    <row r="78" spans="1:30" ht="16.5" customHeight="1">
      <c r="A78" s="1810"/>
      <c r="B78" s="1811"/>
      <c r="C78" s="1815"/>
      <c r="D78" s="1923"/>
      <c r="E78" s="2063"/>
      <c r="F78" s="2063"/>
      <c r="G78" s="2064"/>
      <c r="H78" s="1800"/>
      <c r="I78" s="1800"/>
      <c r="J78" s="2065"/>
      <c r="L78" s="2065"/>
      <c r="M78" s="1800"/>
      <c r="N78" s="2073"/>
      <c r="O78" s="2071"/>
      <c r="P78" s="2071"/>
      <c r="Q78" s="2071"/>
      <c r="R78" s="2071"/>
      <c r="S78" s="2071"/>
      <c r="AC78" s="2072"/>
      <c r="AD78" s="2043"/>
    </row>
    <row r="79" spans="1:30" ht="16.5" customHeight="1">
      <c r="A79" s="1810"/>
      <c r="B79" s="1811"/>
      <c r="C79" s="1815"/>
      <c r="D79" s="2058" t="s">
        <v>129</v>
      </c>
      <c r="E79" s="1923" t="s">
        <v>130</v>
      </c>
      <c r="F79" s="2074"/>
      <c r="G79" s="1923" t="s">
        <v>112</v>
      </c>
      <c r="I79" s="2070"/>
      <c r="J79" s="2059" t="s">
        <v>330</v>
      </c>
      <c r="L79" s="2060"/>
      <c r="M79" s="2070"/>
      <c r="N79" s="2069"/>
      <c r="O79" s="2061"/>
      <c r="P79" s="2061"/>
      <c r="Q79" s="2061"/>
      <c r="R79" s="2061"/>
      <c r="S79" s="2061"/>
      <c r="AC79" s="2068"/>
      <c r="AD79" s="2043"/>
    </row>
    <row r="80" spans="1:30" ht="16.5" customHeight="1">
      <c r="A80" s="1810"/>
      <c r="B80" s="1811"/>
      <c r="C80" s="1815"/>
      <c r="D80" s="1923" t="s">
        <v>380</v>
      </c>
      <c r="E80" s="2063" t="s">
        <v>381</v>
      </c>
      <c r="F80" s="2075"/>
      <c r="G80" s="2063">
        <v>132</v>
      </c>
      <c r="H80" s="1800"/>
      <c r="I80" s="1800"/>
      <c r="J80" s="2064">
        <f aca="true" t="shared" si="20" ref="J80:J87">$F$21*$L$20</f>
        <v>164298.264</v>
      </c>
      <c r="L80" s="2065"/>
      <c r="M80" s="1800"/>
      <c r="N80" s="2073"/>
      <c r="O80" s="2071"/>
      <c r="P80" s="2071"/>
      <c r="Q80" s="2071"/>
      <c r="R80" s="2071"/>
      <c r="S80" s="2071"/>
      <c r="AC80" s="2072">
        <f aca="true" t="shared" si="21" ref="AC80:AC87">J80</f>
        <v>164298.264</v>
      </c>
      <c r="AD80" s="2043"/>
    </row>
    <row r="81" spans="1:30" ht="16.5" customHeight="1">
      <c r="A81" s="1810"/>
      <c r="B81" s="1811"/>
      <c r="C81" s="1815"/>
      <c r="D81" s="1923" t="s">
        <v>380</v>
      </c>
      <c r="E81" s="2063" t="s">
        <v>382</v>
      </c>
      <c r="F81" s="2075"/>
      <c r="G81" s="2063">
        <v>132</v>
      </c>
      <c r="H81" s="1800"/>
      <c r="I81" s="1800"/>
      <c r="J81" s="2064">
        <f t="shared" si="20"/>
        <v>164298.264</v>
      </c>
      <c r="L81" s="2065"/>
      <c r="M81" s="1800"/>
      <c r="N81" s="2073"/>
      <c r="O81" s="2071"/>
      <c r="P81" s="2071"/>
      <c r="Q81" s="2071"/>
      <c r="R81" s="2071"/>
      <c r="S81" s="2071"/>
      <c r="AC81" s="2072">
        <f t="shared" si="21"/>
        <v>164298.264</v>
      </c>
      <c r="AD81" s="2043"/>
    </row>
    <row r="82" spans="1:30" ht="16.5" customHeight="1">
      <c r="A82" s="1810"/>
      <c r="B82" s="1811"/>
      <c r="C82" s="1815"/>
      <c r="D82" s="1923" t="s">
        <v>380</v>
      </c>
      <c r="E82" s="2063" t="s">
        <v>383</v>
      </c>
      <c r="F82" s="2075"/>
      <c r="G82" s="2063">
        <v>132</v>
      </c>
      <c r="H82" s="1800"/>
      <c r="I82" s="1800"/>
      <c r="J82" s="2064">
        <f t="shared" si="20"/>
        <v>164298.264</v>
      </c>
      <c r="L82" s="2065"/>
      <c r="M82" s="1800"/>
      <c r="N82" s="2073"/>
      <c r="O82" s="2071"/>
      <c r="P82" s="2071"/>
      <c r="Q82" s="2071"/>
      <c r="R82" s="2071"/>
      <c r="S82" s="2071"/>
      <c r="AC82" s="2072">
        <f t="shared" si="21"/>
        <v>164298.264</v>
      </c>
      <c r="AD82" s="2043"/>
    </row>
    <row r="83" spans="1:30" ht="16.5" customHeight="1">
      <c r="A83" s="1810"/>
      <c r="B83" s="1811"/>
      <c r="C83" s="1815"/>
      <c r="D83" s="1923" t="s">
        <v>380</v>
      </c>
      <c r="E83" s="2063" t="s">
        <v>384</v>
      </c>
      <c r="F83" s="2075"/>
      <c r="G83" s="2063">
        <v>132</v>
      </c>
      <c r="H83" s="1800"/>
      <c r="I83" s="1800"/>
      <c r="J83" s="2064">
        <f t="shared" si="20"/>
        <v>164298.264</v>
      </c>
      <c r="L83" s="2065"/>
      <c r="M83" s="1800"/>
      <c r="N83" s="2073"/>
      <c r="O83" s="2071"/>
      <c r="P83" s="2071"/>
      <c r="Q83" s="2071"/>
      <c r="R83" s="2071"/>
      <c r="S83" s="2071"/>
      <c r="AC83" s="2072">
        <f t="shared" si="21"/>
        <v>164298.264</v>
      </c>
      <c r="AD83" s="2043"/>
    </row>
    <row r="84" spans="1:30" ht="16.5" customHeight="1">
      <c r="A84" s="1810"/>
      <c r="B84" s="1811"/>
      <c r="C84" s="1815"/>
      <c r="D84" s="1923" t="s">
        <v>380</v>
      </c>
      <c r="E84" s="2063" t="s">
        <v>385</v>
      </c>
      <c r="F84" s="2075"/>
      <c r="G84" s="2063">
        <v>132</v>
      </c>
      <c r="H84" s="1800"/>
      <c r="I84" s="1800"/>
      <c r="J84" s="2064">
        <f t="shared" si="20"/>
        <v>164298.264</v>
      </c>
      <c r="L84" s="2065"/>
      <c r="M84" s="1800"/>
      <c r="N84" s="2073"/>
      <c r="O84" s="2071"/>
      <c r="P84" s="2071"/>
      <c r="Q84" s="2071"/>
      <c r="R84" s="2071"/>
      <c r="S84" s="2071"/>
      <c r="AC84" s="2072">
        <f t="shared" si="21"/>
        <v>164298.264</v>
      </c>
      <c r="AD84" s="2043"/>
    </row>
    <row r="85" spans="1:30" ht="16.5" customHeight="1">
      <c r="A85" s="1810"/>
      <c r="B85" s="1811"/>
      <c r="C85" s="1815"/>
      <c r="D85" s="1923" t="s">
        <v>386</v>
      </c>
      <c r="E85" s="2063" t="s">
        <v>387</v>
      </c>
      <c r="F85" s="2075"/>
      <c r="G85" s="2063">
        <v>132</v>
      </c>
      <c r="H85" s="1800"/>
      <c r="I85" s="1800"/>
      <c r="J85" s="2064">
        <f t="shared" si="20"/>
        <v>164298.264</v>
      </c>
      <c r="L85" s="2065"/>
      <c r="M85" s="1800"/>
      <c r="N85" s="2073"/>
      <c r="O85" s="2071"/>
      <c r="P85" s="2071"/>
      <c r="Q85" s="2071"/>
      <c r="R85" s="2071"/>
      <c r="S85" s="2071"/>
      <c r="AC85" s="2072">
        <f t="shared" si="21"/>
        <v>164298.264</v>
      </c>
      <c r="AD85" s="2043"/>
    </row>
    <row r="86" spans="1:30" ht="16.5" customHeight="1">
      <c r="A86" s="1810"/>
      <c r="B86" s="1811"/>
      <c r="C86" s="1815"/>
      <c r="D86" s="1923" t="s">
        <v>386</v>
      </c>
      <c r="E86" s="2063" t="s">
        <v>388</v>
      </c>
      <c r="F86" s="2075"/>
      <c r="G86" s="2063">
        <v>132</v>
      </c>
      <c r="H86" s="1800"/>
      <c r="I86" s="1800"/>
      <c r="J86" s="2064">
        <f t="shared" si="20"/>
        <v>164298.264</v>
      </c>
      <c r="L86" s="2065"/>
      <c r="M86" s="1800"/>
      <c r="N86" s="2073"/>
      <c r="O86" s="2071"/>
      <c r="P86" s="2071"/>
      <c r="Q86" s="2071"/>
      <c r="R86" s="2071"/>
      <c r="S86" s="2071"/>
      <c r="AC86" s="2072">
        <f t="shared" si="21"/>
        <v>164298.264</v>
      </c>
      <c r="AD86" s="2043"/>
    </row>
    <row r="87" spans="1:30" ht="16.5" customHeight="1">
      <c r="A87" s="1810"/>
      <c r="B87" s="1811"/>
      <c r="C87" s="1815"/>
      <c r="D87" s="1923" t="s">
        <v>389</v>
      </c>
      <c r="E87" s="2063" t="s">
        <v>390</v>
      </c>
      <c r="F87" s="2075"/>
      <c r="G87" s="2063">
        <v>132</v>
      </c>
      <c r="H87" s="1800"/>
      <c r="I87" s="1800"/>
      <c r="J87" s="2064">
        <f t="shared" si="20"/>
        <v>164298.264</v>
      </c>
      <c r="L87" s="2065"/>
      <c r="M87" s="1800"/>
      <c r="N87" s="2073"/>
      <c r="O87" s="2071"/>
      <c r="P87" s="2071"/>
      <c r="Q87" s="2071"/>
      <c r="R87" s="2071"/>
      <c r="S87" s="2071"/>
      <c r="AC87" s="2072">
        <f t="shared" si="21"/>
        <v>164298.264</v>
      </c>
      <c r="AD87" s="2043"/>
    </row>
    <row r="88" spans="1:30" ht="16.5" customHeight="1" thickBot="1">
      <c r="A88" s="1810"/>
      <c r="B88" s="1811"/>
      <c r="C88" s="1815"/>
      <c r="D88" s="1923"/>
      <c r="E88" s="2063"/>
      <c r="F88" s="2063"/>
      <c r="G88" s="2064"/>
      <c r="H88" s="1800"/>
      <c r="I88" s="1800"/>
      <c r="J88" s="2064"/>
      <c r="L88" s="2065"/>
      <c r="M88" s="1800"/>
      <c r="N88" s="2073"/>
      <c r="O88" s="2071"/>
      <c r="P88" s="2071"/>
      <c r="Q88" s="2071"/>
      <c r="R88" s="2071"/>
      <c r="S88" s="2071"/>
      <c r="AC88" s="2072"/>
      <c r="AD88" s="2043"/>
    </row>
    <row r="89" spans="1:30" ht="16.5" customHeight="1" thickBot="1" thickTop="1">
      <c r="A89" s="1810"/>
      <c r="B89" s="1811"/>
      <c r="C89" s="1815"/>
      <c r="D89" s="2051"/>
      <c r="E89" s="1820"/>
      <c r="F89" s="1923"/>
      <c r="G89" s="1923"/>
      <c r="H89" s="1924"/>
      <c r="J89" s="1923"/>
      <c r="L89" s="2076"/>
      <c r="M89" s="2069"/>
      <c r="N89" s="2069"/>
      <c r="O89" s="2061"/>
      <c r="P89" s="2061"/>
      <c r="Q89" s="2061"/>
      <c r="R89" s="2061"/>
      <c r="S89" s="2061"/>
      <c r="AB89" s="2077" t="s">
        <v>391</v>
      </c>
      <c r="AC89" s="2078">
        <f>SUM(AC70:AC87)</f>
        <v>4361325.462128001</v>
      </c>
      <c r="AD89" s="2043"/>
    </row>
    <row r="90" spans="2:30" ht="16.5" customHeight="1" thickBot="1" thickTop="1">
      <c r="B90" s="1811"/>
      <c r="C90" s="2056" t="s">
        <v>115</v>
      </c>
      <c r="D90" s="2079" t="s">
        <v>116</v>
      </c>
      <c r="E90" s="1923"/>
      <c r="F90" s="2080"/>
      <c r="G90" s="1922"/>
      <c r="H90" s="2051"/>
      <c r="I90" s="2051"/>
      <c r="J90" s="2051"/>
      <c r="K90" s="1923"/>
      <c r="L90" s="1923"/>
      <c r="M90" s="2051"/>
      <c r="N90" s="1923"/>
      <c r="O90" s="2051"/>
      <c r="P90" s="2051"/>
      <c r="Q90" s="2051"/>
      <c r="R90" s="2051"/>
      <c r="S90" s="2051"/>
      <c r="T90" s="2051"/>
      <c r="U90" s="2051"/>
      <c r="AC90" s="2051"/>
      <c r="AD90" s="2043"/>
    </row>
    <row r="91" spans="2:30" s="1810" customFormat="1" ht="16.5" customHeight="1" thickBot="1" thickTop="1">
      <c r="B91" s="1811"/>
      <c r="C91" s="1815"/>
      <c r="D91" s="2058" t="s">
        <v>117</v>
      </c>
      <c r="E91" s="2081">
        <f>10*K65*K26/AC89</f>
        <v>115.71375161367774</v>
      </c>
      <c r="G91" s="1922"/>
      <c r="L91" s="1923"/>
      <c r="N91" s="1923"/>
      <c r="O91" s="1924"/>
      <c r="V91" s="1771"/>
      <c r="W91" s="1771"/>
      <c r="AB91" s="2077" t="s">
        <v>392</v>
      </c>
      <c r="AC91" s="2078">
        <v>2399520.9720799997</v>
      </c>
      <c r="AD91" s="2043"/>
    </row>
    <row r="92" spans="2:30" s="1810" customFormat="1" ht="16.5" customHeight="1" thickTop="1">
      <c r="B92" s="1811"/>
      <c r="C92" s="1815"/>
      <c r="E92" s="2082"/>
      <c r="F92" s="1826"/>
      <c r="G92" s="1922"/>
      <c r="J92" s="1922"/>
      <c r="K92" s="1937"/>
      <c r="L92" s="1923"/>
      <c r="M92" s="1923"/>
      <c r="N92" s="1923"/>
      <c r="O92" s="1924"/>
      <c r="P92" s="1923"/>
      <c r="Q92" s="1923"/>
      <c r="R92" s="1936"/>
      <c r="S92" s="1936"/>
      <c r="T92" s="1936"/>
      <c r="U92" s="2083"/>
      <c r="V92" s="1771"/>
      <c r="W92" s="1771"/>
      <c r="AC92" s="2083"/>
      <c r="AD92" s="2043"/>
    </row>
    <row r="93" spans="2:30" ht="16.5" customHeight="1">
      <c r="B93" s="1811"/>
      <c r="C93" s="1815"/>
      <c r="D93" s="2084"/>
      <c r="E93" s="2085"/>
      <c r="F93" s="1826"/>
      <c r="G93" s="1922"/>
      <c r="H93" s="2051"/>
      <c r="I93" s="2051"/>
      <c r="N93" s="1923"/>
      <c r="O93" s="1924"/>
      <c r="P93" s="1923"/>
      <c r="Q93" s="1923"/>
      <c r="R93" s="2070"/>
      <c r="S93" s="2070"/>
      <c r="T93" s="2070"/>
      <c r="U93" s="2069"/>
      <c r="AC93" s="2069"/>
      <c r="AD93" s="2043"/>
    </row>
    <row r="94" spans="2:30" ht="16.5" customHeight="1" thickBot="1">
      <c r="B94" s="1811"/>
      <c r="C94" s="1815"/>
      <c r="D94" s="2084"/>
      <c r="E94" s="2085"/>
      <c r="F94" s="1826"/>
      <c r="G94" s="1922"/>
      <c r="H94" s="2051"/>
      <c r="I94" s="2051"/>
      <c r="N94" s="1923"/>
      <c r="O94" s="1924"/>
      <c r="P94" s="1923"/>
      <c r="Q94" s="1923"/>
      <c r="R94" s="2070"/>
      <c r="S94" s="2070"/>
      <c r="T94" s="2070"/>
      <c r="U94" s="2069"/>
      <c r="AC94" s="2069"/>
      <c r="AD94" s="2043"/>
    </row>
    <row r="95" spans="2:30" s="2086" customFormat="1" ht="21" thickBot="1" thickTop="1">
      <c r="B95" s="2087"/>
      <c r="C95" s="2088"/>
      <c r="D95" s="2089"/>
      <c r="E95" s="2090"/>
      <c r="F95" s="2091"/>
      <c r="G95" s="2092"/>
      <c r="I95" s="1771"/>
      <c r="J95" s="2093" t="s">
        <v>119</v>
      </c>
      <c r="K95" s="2094">
        <f>IF(E91&gt;3*K26,K26*3,E91)</f>
        <v>115.71375161367774</v>
      </c>
      <c r="M95" s="2095"/>
      <c r="N95" s="2096" t="s">
        <v>393</v>
      </c>
      <c r="O95" s="2097"/>
      <c r="P95" s="2095"/>
      <c r="Q95" s="2095"/>
      <c r="R95" s="2098"/>
      <c r="S95" s="2098"/>
      <c r="T95" s="2098"/>
      <c r="U95" s="2099"/>
      <c r="V95" s="1771"/>
      <c r="W95" s="1771"/>
      <c r="AC95" s="2099"/>
      <c r="AD95" s="2100"/>
    </row>
    <row r="96" spans="2:30" ht="16.5" customHeight="1" thickBot="1" thickTop="1">
      <c r="B96" s="2101"/>
      <c r="C96" s="2102"/>
      <c r="D96" s="2102"/>
      <c r="E96" s="2102"/>
      <c r="F96" s="2102"/>
      <c r="G96" s="2102"/>
      <c r="H96" s="2102"/>
      <c r="I96" s="2102"/>
      <c r="J96" s="2102"/>
      <c r="K96" s="2102"/>
      <c r="L96" s="2102"/>
      <c r="M96" s="2102"/>
      <c r="N96" s="2102"/>
      <c r="O96" s="2102"/>
      <c r="P96" s="2102"/>
      <c r="Q96" s="2102"/>
      <c r="R96" s="2102"/>
      <c r="S96" s="2102"/>
      <c r="T96" s="2102"/>
      <c r="U96" s="2102"/>
      <c r="V96" s="2103"/>
      <c r="W96" s="2103"/>
      <c r="X96" s="2103"/>
      <c r="Y96" s="2103"/>
      <c r="Z96" s="2103"/>
      <c r="AA96" s="2103"/>
      <c r="AB96" s="2103"/>
      <c r="AC96" s="2102"/>
      <c r="AD96" s="2104"/>
    </row>
    <row r="97" spans="2:23" ht="16.5" customHeight="1" thickTop="1">
      <c r="B97" s="1807"/>
      <c r="C97" s="2105"/>
      <c r="W97" s="1807"/>
    </row>
  </sheetData>
  <sheetProtection password="CC12"/>
  <mergeCells count="28">
    <mergeCell ref="P42:Q42"/>
    <mergeCell ref="P43:Q43"/>
    <mergeCell ref="P44:Q44"/>
    <mergeCell ref="P46:Q46"/>
    <mergeCell ref="F49:G49"/>
    <mergeCell ref="O49:Q49"/>
    <mergeCell ref="P45:Q45"/>
    <mergeCell ref="F50:G50"/>
    <mergeCell ref="O50:Q50"/>
    <mergeCell ref="F51:G51"/>
    <mergeCell ref="O51:Q51"/>
    <mergeCell ref="F52:G52"/>
    <mergeCell ref="O52:Q52"/>
    <mergeCell ref="F53:G53"/>
    <mergeCell ref="O53:Q53"/>
    <mergeCell ref="F56:G56"/>
    <mergeCell ref="F57:G57"/>
    <mergeCell ref="P57:Q57"/>
    <mergeCell ref="F58:G58"/>
    <mergeCell ref="P58:Q58"/>
    <mergeCell ref="F62:G62"/>
    <mergeCell ref="P62:Q62"/>
    <mergeCell ref="F59:G59"/>
    <mergeCell ref="P59:Q59"/>
    <mergeCell ref="F60:G60"/>
    <mergeCell ref="P60:Q60"/>
    <mergeCell ref="F61:G61"/>
    <mergeCell ref="P61:Q61"/>
  </mergeCells>
  <printOptions horizontalCentered="1"/>
  <pageMargins left="0.1968503937007874" right="0.15748031496062992" top="0.7874015748031497" bottom="0.7874015748031497" header="0.5118110236220472" footer="0.5118110236220472"/>
  <pageSetup fitToHeight="1" fitToWidth="1" horizontalDpi="600" verticalDpi="600" orientation="portrait" paperSize="9" scale="37" r:id="rId4"/>
  <headerFooter alignWithMargins="0">
    <oddFooter>&amp;L&amp;"Times New Roman,Normal"&amp;8&amp;Z&amp;F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AG75"/>
  <sheetViews>
    <sheetView zoomScale="85" zoomScaleNormal="85" zoomScalePageLayoutView="0" workbookViewId="0" topLeftCell="A25">
      <selection activeCell="F55" sqref="F55:G55"/>
    </sheetView>
  </sheetViews>
  <sheetFormatPr defaultColWidth="11.421875" defaultRowHeight="12.75"/>
  <cols>
    <col min="1" max="1" width="23.00390625" style="790" customWidth="1"/>
    <col min="2" max="2" width="17.140625" style="790" customWidth="1"/>
    <col min="3" max="3" width="4.7109375" style="790" customWidth="1"/>
    <col min="4" max="4" width="30.7109375" style="790" customWidth="1"/>
    <col min="5" max="5" width="20.7109375" style="790" customWidth="1"/>
    <col min="6" max="6" width="17.57421875" style="790" customWidth="1"/>
    <col min="7" max="7" width="15.00390625" style="790" customWidth="1"/>
    <col min="8" max="8" width="11.28125" style="790" hidden="1" customWidth="1"/>
    <col min="9" max="9" width="9.57421875" style="790" hidden="1" customWidth="1"/>
    <col min="10" max="11" width="18.7109375" style="790" customWidth="1"/>
    <col min="12" max="12" width="11.8515625" style="790" customWidth="1"/>
    <col min="13" max="13" width="11.57421875" style="790" customWidth="1"/>
    <col min="14" max="14" width="9.7109375" style="790" customWidth="1"/>
    <col min="15" max="15" width="10.57421875" style="790" customWidth="1"/>
    <col min="16" max="16" width="8.421875" style="790" customWidth="1"/>
    <col min="17" max="17" width="5.8515625" style="790" customWidth="1"/>
    <col min="18" max="19" width="13.7109375" style="790" hidden="1" customWidth="1"/>
    <col min="20" max="20" width="13.57421875" style="790" hidden="1" customWidth="1"/>
    <col min="21" max="21" width="10.421875" style="790" hidden="1" customWidth="1"/>
    <col min="22" max="22" width="7.421875" style="790" hidden="1" customWidth="1"/>
    <col min="23" max="23" width="7.8515625" style="790" hidden="1" customWidth="1"/>
    <col min="24" max="24" width="7.421875" style="790" hidden="1" customWidth="1"/>
    <col min="25" max="26" width="7.28125" style="790" hidden="1" customWidth="1"/>
    <col min="27" max="27" width="7.00390625" style="790" hidden="1" customWidth="1"/>
    <col min="28" max="28" width="10.57421875" style="790" customWidth="1"/>
    <col min="29" max="29" width="19.8515625" style="790" customWidth="1"/>
    <col min="30" max="30" width="17.7109375" style="790" customWidth="1"/>
    <col min="31" max="31" width="4.140625" style="790" customWidth="1"/>
    <col min="32" max="32" width="7.140625" style="790" customWidth="1"/>
    <col min="33" max="33" width="5.28125" style="790" customWidth="1"/>
    <col min="34" max="34" width="5.421875" style="790" customWidth="1"/>
    <col min="35" max="35" width="4.7109375" style="790" customWidth="1"/>
    <col min="36" max="36" width="5.28125" style="790" customWidth="1"/>
    <col min="37" max="38" width="13.28125" style="790" customWidth="1"/>
    <col min="39" max="39" width="6.57421875" style="790" customWidth="1"/>
    <col min="40" max="40" width="6.421875" style="790" customWidth="1"/>
    <col min="41" max="44" width="11.421875" style="790" customWidth="1"/>
    <col min="45" max="45" width="12.7109375" style="790" customWidth="1"/>
    <col min="46" max="48" width="11.421875" style="790" customWidth="1"/>
    <col min="49" max="49" width="21.00390625" style="790" customWidth="1"/>
    <col min="50" max="16384" width="11.421875" style="790" customWidth="1"/>
  </cols>
  <sheetData>
    <row r="1" spans="1:30" ht="13.5">
      <c r="A1" s="788"/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AD1" s="791"/>
    </row>
    <row r="2" spans="1:23" ht="27" customHeight="1">
      <c r="A2" s="788"/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</row>
    <row r="3" spans="1:30" s="795" customFormat="1" ht="30.75">
      <c r="A3" s="792"/>
      <c r="B3" s="793" t="str">
        <f>'TOT-1215'!B2</f>
        <v>ANEXO I al Memorándum D.T.E.E. N°  231  / 2017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AB3" s="794"/>
      <c r="AC3" s="794"/>
      <c r="AD3" s="794"/>
    </row>
    <row r="4" spans="1:2" s="798" customFormat="1" ht="11.25">
      <c r="A4" s="796" t="s">
        <v>2</v>
      </c>
      <c r="B4" s="797"/>
    </row>
    <row r="5" spans="1:2" s="798" customFormat="1" ht="12" thickBot="1">
      <c r="A5" s="796" t="s">
        <v>3</v>
      </c>
      <c r="B5" s="796"/>
    </row>
    <row r="6" spans="1:30" ht="16.5" customHeight="1" thickTop="1">
      <c r="A6" s="789"/>
      <c r="B6" s="799"/>
      <c r="C6" s="800"/>
      <c r="D6" s="800"/>
      <c r="E6" s="801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2"/>
      <c r="X6" s="802"/>
      <c r="Y6" s="802"/>
      <c r="Z6" s="802"/>
      <c r="AA6" s="802"/>
      <c r="AB6" s="802"/>
      <c r="AC6" s="802"/>
      <c r="AD6" s="803"/>
    </row>
    <row r="7" spans="1:30" ht="20.25">
      <c r="A7" s="789"/>
      <c r="B7" s="804"/>
      <c r="C7" s="805"/>
      <c r="D7" s="806" t="s">
        <v>78</v>
      </c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7"/>
      <c r="Q7" s="807"/>
      <c r="R7" s="805"/>
      <c r="S7" s="805"/>
      <c r="T7" s="805"/>
      <c r="U7" s="805"/>
      <c r="V7" s="805"/>
      <c r="AD7" s="808"/>
    </row>
    <row r="8" spans="1:30" ht="16.5" customHeight="1">
      <c r="A8" s="789"/>
      <c r="B8" s="804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AD8" s="808"/>
    </row>
    <row r="9" spans="2:30" s="809" customFormat="1" ht="20.25">
      <c r="B9" s="810"/>
      <c r="C9" s="811"/>
      <c r="D9" s="806" t="s">
        <v>79</v>
      </c>
      <c r="E9" s="811"/>
      <c r="F9" s="811"/>
      <c r="G9" s="811"/>
      <c r="H9" s="811"/>
      <c r="N9" s="811"/>
      <c r="O9" s="811"/>
      <c r="P9" s="812"/>
      <c r="Q9" s="812"/>
      <c r="R9" s="811"/>
      <c r="S9" s="811"/>
      <c r="T9" s="811"/>
      <c r="U9" s="811"/>
      <c r="V9" s="811"/>
      <c r="W9" s="790"/>
      <c r="X9" s="811"/>
      <c r="Y9" s="811"/>
      <c r="Z9" s="811"/>
      <c r="AA9" s="811"/>
      <c r="AB9" s="811"/>
      <c r="AC9" s="790"/>
      <c r="AD9" s="813"/>
    </row>
    <row r="10" spans="1:30" ht="16.5" customHeight="1">
      <c r="A10" s="789"/>
      <c r="B10" s="804"/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5"/>
      <c r="S10" s="805"/>
      <c r="T10" s="805"/>
      <c r="U10" s="805"/>
      <c r="V10" s="805"/>
      <c r="AD10" s="808"/>
    </row>
    <row r="11" spans="2:30" s="809" customFormat="1" ht="20.25">
      <c r="B11" s="810"/>
      <c r="C11" s="811"/>
      <c r="D11" s="806" t="s">
        <v>472</v>
      </c>
      <c r="E11" s="811"/>
      <c r="F11" s="811"/>
      <c r="G11" s="811"/>
      <c r="H11" s="811"/>
      <c r="N11" s="811"/>
      <c r="O11" s="811"/>
      <c r="P11" s="812"/>
      <c r="Q11" s="812"/>
      <c r="R11" s="811"/>
      <c r="S11" s="811"/>
      <c r="T11" s="811"/>
      <c r="U11" s="811"/>
      <c r="V11" s="811"/>
      <c r="W11" s="790"/>
      <c r="X11" s="811"/>
      <c r="Y11" s="811"/>
      <c r="Z11" s="811"/>
      <c r="AA11" s="811"/>
      <c r="AB11" s="811"/>
      <c r="AC11" s="790"/>
      <c r="AD11" s="813"/>
    </row>
    <row r="12" spans="1:30" ht="16.5" customHeight="1">
      <c r="A12" s="789"/>
      <c r="B12" s="804"/>
      <c r="C12" s="805"/>
      <c r="D12" s="805"/>
      <c r="E12" s="789"/>
      <c r="F12" s="789"/>
      <c r="G12" s="789"/>
      <c r="H12" s="789"/>
      <c r="I12" s="814"/>
      <c r="J12" s="814"/>
      <c r="K12" s="814"/>
      <c r="L12" s="814"/>
      <c r="M12" s="814"/>
      <c r="N12" s="814"/>
      <c r="O12" s="814"/>
      <c r="P12" s="814"/>
      <c r="Q12" s="814"/>
      <c r="R12" s="805"/>
      <c r="S12" s="805"/>
      <c r="T12" s="805"/>
      <c r="U12" s="805"/>
      <c r="V12" s="805"/>
      <c r="AD12" s="808"/>
    </row>
    <row r="13" spans="2:30" s="809" customFormat="1" ht="19.5">
      <c r="B13" s="815" t="str">
        <f>'TOT-1215'!B14</f>
        <v>Desde el 01 al 31 de diciembre de 2015</v>
      </c>
      <c r="C13" s="816"/>
      <c r="D13" s="817"/>
      <c r="E13" s="817"/>
      <c r="F13" s="817"/>
      <c r="G13" s="817"/>
      <c r="H13" s="817"/>
      <c r="I13" s="818"/>
      <c r="J13" s="819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20"/>
      <c r="V13" s="820"/>
      <c r="W13" s="790"/>
      <c r="X13" s="821"/>
      <c r="Y13" s="821"/>
      <c r="Z13" s="821"/>
      <c r="AA13" s="821"/>
      <c r="AB13" s="820"/>
      <c r="AC13" s="819"/>
      <c r="AD13" s="822"/>
    </row>
    <row r="14" spans="1:30" ht="16.5" customHeight="1">
      <c r="A14" s="789"/>
      <c r="B14" s="804"/>
      <c r="C14" s="805"/>
      <c r="D14" s="805"/>
      <c r="E14" s="823"/>
      <c r="F14" s="823"/>
      <c r="G14" s="805"/>
      <c r="H14" s="805"/>
      <c r="I14" s="805"/>
      <c r="J14" s="824"/>
      <c r="K14" s="805"/>
      <c r="L14" s="805"/>
      <c r="M14" s="805"/>
      <c r="N14" s="789"/>
      <c r="O14" s="789"/>
      <c r="P14" s="805"/>
      <c r="Q14" s="805"/>
      <c r="R14" s="805"/>
      <c r="S14" s="805"/>
      <c r="T14" s="805"/>
      <c r="U14" s="805"/>
      <c r="V14" s="805"/>
      <c r="AD14" s="808"/>
    </row>
    <row r="15" spans="1:30" ht="16.5" customHeight="1">
      <c r="A15" s="789"/>
      <c r="B15" s="804"/>
      <c r="C15" s="805"/>
      <c r="D15" s="805"/>
      <c r="E15" s="823"/>
      <c r="F15" s="823"/>
      <c r="G15" s="805"/>
      <c r="H15" s="805"/>
      <c r="I15" s="825"/>
      <c r="J15" s="805"/>
      <c r="K15" s="826"/>
      <c r="M15" s="805"/>
      <c r="N15" s="789"/>
      <c r="O15" s="789"/>
      <c r="P15" s="805"/>
      <c r="Q15" s="805"/>
      <c r="R15" s="805"/>
      <c r="S15" s="805"/>
      <c r="T15" s="805"/>
      <c r="U15" s="805"/>
      <c r="V15" s="805"/>
      <c r="AD15" s="808"/>
    </row>
    <row r="16" spans="1:30" ht="16.5" customHeight="1">
      <c r="A16" s="789"/>
      <c r="B16" s="804"/>
      <c r="C16" s="805"/>
      <c r="D16" s="805"/>
      <c r="E16" s="823"/>
      <c r="F16" s="823"/>
      <c r="G16" s="805"/>
      <c r="H16" s="805"/>
      <c r="I16" s="825"/>
      <c r="J16" s="805"/>
      <c r="K16" s="826"/>
      <c r="M16" s="805"/>
      <c r="N16" s="789"/>
      <c r="O16" s="789"/>
      <c r="P16" s="805"/>
      <c r="Q16" s="805"/>
      <c r="R16" s="805"/>
      <c r="S16" s="805"/>
      <c r="T16" s="805"/>
      <c r="U16" s="805"/>
      <c r="V16" s="805"/>
      <c r="AD16" s="808"/>
    </row>
    <row r="17" spans="1:30" ht="16.5" customHeight="1">
      <c r="A17" s="789"/>
      <c r="B17" s="804"/>
      <c r="C17" s="827" t="s">
        <v>80</v>
      </c>
      <c r="D17" s="828" t="s">
        <v>81</v>
      </c>
      <c r="E17" s="823"/>
      <c r="F17" s="823"/>
      <c r="G17" s="805"/>
      <c r="H17" s="805"/>
      <c r="I17" s="805"/>
      <c r="J17" s="824"/>
      <c r="K17" s="805"/>
      <c r="L17" s="805"/>
      <c r="M17" s="805"/>
      <c r="N17" s="789"/>
      <c r="O17" s="789"/>
      <c r="P17" s="805"/>
      <c r="Q17" s="805"/>
      <c r="R17" s="805"/>
      <c r="S17" s="805"/>
      <c r="T17" s="805"/>
      <c r="U17" s="805"/>
      <c r="V17" s="805"/>
      <c r="AD17" s="808"/>
    </row>
    <row r="18" spans="2:30" s="829" customFormat="1" ht="16.5" customHeight="1">
      <c r="B18" s="830"/>
      <c r="C18" s="831"/>
      <c r="D18" s="832"/>
      <c r="E18" s="833"/>
      <c r="F18" s="834"/>
      <c r="G18" s="831"/>
      <c r="H18" s="831"/>
      <c r="I18" s="831"/>
      <c r="J18" s="835"/>
      <c r="K18" s="831"/>
      <c r="L18" s="831"/>
      <c r="M18" s="831"/>
      <c r="P18" s="831"/>
      <c r="Q18" s="831"/>
      <c r="R18" s="831"/>
      <c r="S18" s="831"/>
      <c r="T18" s="831"/>
      <c r="U18" s="831"/>
      <c r="V18" s="831"/>
      <c r="W18" s="790"/>
      <c r="AD18" s="836"/>
    </row>
    <row r="19" spans="2:30" s="829" customFormat="1" ht="16.5" customHeight="1">
      <c r="B19" s="830"/>
      <c r="C19" s="831"/>
      <c r="D19" s="837" t="s">
        <v>82</v>
      </c>
      <c r="F19" s="838" t="s">
        <v>360</v>
      </c>
      <c r="G19" s="837" t="s">
        <v>83</v>
      </c>
      <c r="H19" s="831"/>
      <c r="I19" s="831"/>
      <c r="J19" s="839"/>
      <c r="K19" s="840" t="s">
        <v>84</v>
      </c>
      <c r="L19" s="841">
        <v>0.025</v>
      </c>
      <c r="R19" s="831"/>
      <c r="S19" s="831"/>
      <c r="T19" s="831"/>
      <c r="U19" s="831"/>
      <c r="V19" s="831"/>
      <c r="W19" s="790"/>
      <c r="AD19" s="836"/>
    </row>
    <row r="20" spans="2:30" s="829" customFormat="1" ht="16.5" customHeight="1">
      <c r="B20" s="830"/>
      <c r="C20" s="831"/>
      <c r="D20" s="837" t="s">
        <v>85</v>
      </c>
      <c r="F20" s="838">
        <v>1.391</v>
      </c>
      <c r="G20" s="837" t="s">
        <v>86</v>
      </c>
      <c r="H20" s="831"/>
      <c r="I20" s="831"/>
      <c r="J20" s="831"/>
      <c r="K20" s="832" t="s">
        <v>87</v>
      </c>
      <c r="L20" s="831">
        <f>MID(B13,16,2)*24</f>
        <v>744</v>
      </c>
      <c r="M20" s="831" t="s">
        <v>88</v>
      </c>
      <c r="N20" s="831"/>
      <c r="O20" s="831"/>
      <c r="P20" s="842"/>
      <c r="Q20" s="831"/>
      <c r="R20" s="831"/>
      <c r="S20" s="831"/>
      <c r="T20" s="831"/>
      <c r="U20" s="831"/>
      <c r="V20" s="831"/>
      <c r="W20" s="790"/>
      <c r="AD20" s="836"/>
    </row>
    <row r="21" spans="2:30" s="829" customFormat="1" ht="16.5" customHeight="1">
      <c r="B21" s="830"/>
      <c r="C21" s="831"/>
      <c r="D21" s="837" t="s">
        <v>122</v>
      </c>
      <c r="F21" s="838" t="s">
        <v>360</v>
      </c>
      <c r="G21" s="837" t="s">
        <v>121</v>
      </c>
      <c r="H21" s="831"/>
      <c r="I21" s="831"/>
      <c r="J21" s="831"/>
      <c r="K21" s="843"/>
      <c r="L21" s="844"/>
      <c r="M21" s="831"/>
      <c r="N21" s="831"/>
      <c r="O21" s="831"/>
      <c r="P21" s="842"/>
      <c r="Q21" s="831"/>
      <c r="R21" s="831"/>
      <c r="S21" s="831"/>
      <c r="T21" s="831"/>
      <c r="U21" s="831"/>
      <c r="V21" s="831"/>
      <c r="W21" s="790"/>
      <c r="AD21" s="836"/>
    </row>
    <row r="22" spans="2:30" s="829" customFormat="1" ht="8.25" customHeight="1">
      <c r="B22" s="830"/>
      <c r="C22" s="831"/>
      <c r="D22" s="831"/>
      <c r="E22" s="845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1"/>
      <c r="T22" s="831"/>
      <c r="U22" s="831"/>
      <c r="V22" s="831"/>
      <c r="W22" s="790"/>
      <c r="AD22" s="836"/>
    </row>
    <row r="23" spans="1:30" ht="16.5" customHeight="1">
      <c r="A23" s="789"/>
      <c r="B23" s="804"/>
      <c r="C23" s="827" t="s">
        <v>89</v>
      </c>
      <c r="D23" s="846" t="s">
        <v>361</v>
      </c>
      <c r="I23" s="805"/>
      <c r="J23" s="829"/>
      <c r="O23" s="805"/>
      <c r="P23" s="805"/>
      <c r="Q23" s="805"/>
      <c r="R23" s="805"/>
      <c r="S23" s="805"/>
      <c r="T23" s="805"/>
      <c r="V23" s="805"/>
      <c r="X23" s="805"/>
      <c r="Y23" s="805"/>
      <c r="Z23" s="805"/>
      <c r="AA23" s="805"/>
      <c r="AB23" s="805"/>
      <c r="AC23" s="805"/>
      <c r="AD23" s="808"/>
    </row>
    <row r="24" spans="1:30" ht="10.5" customHeight="1" thickBot="1">
      <c r="A24" s="789"/>
      <c r="B24" s="804"/>
      <c r="C24" s="823"/>
      <c r="D24" s="846"/>
      <c r="I24" s="805"/>
      <c r="J24" s="829"/>
      <c r="O24" s="805"/>
      <c r="P24" s="805"/>
      <c r="Q24" s="805"/>
      <c r="R24" s="805"/>
      <c r="S24" s="805"/>
      <c r="T24" s="805"/>
      <c r="V24" s="805"/>
      <c r="X24" s="805"/>
      <c r="Y24" s="805"/>
      <c r="Z24" s="805"/>
      <c r="AA24" s="805"/>
      <c r="AB24" s="805"/>
      <c r="AC24" s="805"/>
      <c r="AD24" s="808"/>
    </row>
    <row r="25" spans="2:30" s="829" customFormat="1" ht="16.5" customHeight="1" thickBot="1" thickTop="1">
      <c r="B25" s="830"/>
      <c r="C25" s="834"/>
      <c r="D25" s="790"/>
      <c r="E25" s="790"/>
      <c r="F25" s="790"/>
      <c r="G25" s="790"/>
      <c r="H25" s="790"/>
      <c r="I25" s="790"/>
      <c r="J25" s="847" t="s">
        <v>90</v>
      </c>
      <c r="K25" s="848">
        <f>L19*AC69</f>
        <v>8526.240000000002</v>
      </c>
      <c r="L25" s="790"/>
      <c r="S25" s="790"/>
      <c r="T25" s="790"/>
      <c r="U25" s="790"/>
      <c r="W25" s="790"/>
      <c r="AD25" s="836"/>
    </row>
    <row r="26" spans="2:30" s="829" customFormat="1" ht="11.25" customHeight="1" thickTop="1">
      <c r="B26" s="830"/>
      <c r="C26" s="834"/>
      <c r="D26" s="831"/>
      <c r="E26" s="845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790"/>
      <c r="W26" s="790"/>
      <c r="AD26" s="836"/>
    </row>
    <row r="27" spans="1:30" ht="16.5" customHeight="1">
      <c r="A27" s="789"/>
      <c r="B27" s="804"/>
      <c r="C27" s="827" t="s">
        <v>91</v>
      </c>
      <c r="D27" s="846" t="s">
        <v>323</v>
      </c>
      <c r="E27" s="849"/>
      <c r="F27" s="805"/>
      <c r="G27" s="805"/>
      <c r="H27" s="805"/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5"/>
      <c r="AD27" s="808"/>
    </row>
    <row r="28" spans="1:30" ht="21.75" customHeight="1" thickBot="1">
      <c r="A28" s="789"/>
      <c r="B28" s="804"/>
      <c r="C28" s="805"/>
      <c r="D28" s="805"/>
      <c r="E28" s="849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AD28" s="808"/>
    </row>
    <row r="29" spans="1:30" ht="13.5" customHeight="1" thickBot="1" thickTop="1">
      <c r="A29" s="829"/>
      <c r="B29" s="804"/>
      <c r="C29" s="834"/>
      <c r="D29" s="834"/>
      <c r="E29" s="850"/>
      <c r="F29" s="845"/>
      <c r="G29" s="851"/>
      <c r="H29" s="851"/>
      <c r="I29" s="852"/>
      <c r="J29" s="852"/>
      <c r="K29" s="852"/>
      <c r="L29" s="852"/>
      <c r="M29" s="852"/>
      <c r="N29" s="852"/>
      <c r="O29" s="853"/>
      <c r="P29" s="852"/>
      <c r="Q29" s="852"/>
      <c r="R29" s="854"/>
      <c r="S29" s="855"/>
      <c r="T29" s="856"/>
      <c r="U29" s="856"/>
      <c r="V29" s="856"/>
      <c r="W29" s="854"/>
      <c r="X29" s="854"/>
      <c r="Y29" s="854"/>
      <c r="Z29" s="854"/>
      <c r="AA29" s="854"/>
      <c r="AB29" s="857"/>
      <c r="AC29" s="858"/>
      <c r="AD29" s="859"/>
    </row>
    <row r="30" spans="1:33" s="789" customFormat="1" ht="33.75" customHeight="1" thickBot="1" thickTop="1">
      <c r="A30" s="788"/>
      <c r="B30" s="860"/>
      <c r="C30" s="861" t="s">
        <v>25</v>
      </c>
      <c r="D30" s="862" t="s">
        <v>54</v>
      </c>
      <c r="E30" s="863" t="s">
        <v>55</v>
      </c>
      <c r="F30" s="864" t="s">
        <v>56</v>
      </c>
      <c r="G30" s="865" t="s">
        <v>28</v>
      </c>
      <c r="H30" s="866" t="s">
        <v>32</v>
      </c>
      <c r="I30" s="867"/>
      <c r="J30" s="863" t="s">
        <v>33</v>
      </c>
      <c r="K30" s="863" t="s">
        <v>34</v>
      </c>
      <c r="L30" s="862" t="s">
        <v>57</v>
      </c>
      <c r="M30" s="862" t="s">
        <v>36</v>
      </c>
      <c r="N30" s="868" t="s">
        <v>104</v>
      </c>
      <c r="O30" s="863" t="s">
        <v>39</v>
      </c>
      <c r="P30" s="869" t="s">
        <v>58</v>
      </c>
      <c r="Q30" s="870"/>
      <c r="R30" s="866" t="s">
        <v>106</v>
      </c>
      <c r="S30" s="871" t="s">
        <v>40</v>
      </c>
      <c r="T30" s="872" t="s">
        <v>107</v>
      </c>
      <c r="U30" s="873"/>
      <c r="V30" s="874" t="s">
        <v>44</v>
      </c>
      <c r="W30" s="875"/>
      <c r="X30" s="876"/>
      <c r="Y30" s="876"/>
      <c r="Z30" s="876"/>
      <c r="AA30" s="877"/>
      <c r="AB30" s="878" t="s">
        <v>46</v>
      </c>
      <c r="AC30" s="865" t="s">
        <v>47</v>
      </c>
      <c r="AD30" s="808"/>
      <c r="AF30" s="790"/>
      <c r="AG30" s="790"/>
    </row>
    <row r="31" spans="1:30" ht="16.5" customHeight="1" thickTop="1">
      <c r="A31" s="789"/>
      <c r="B31" s="804"/>
      <c r="C31" s="879"/>
      <c r="D31" s="880"/>
      <c r="E31" s="880"/>
      <c r="F31" s="880"/>
      <c r="G31" s="881"/>
      <c r="H31" s="882"/>
      <c r="I31" s="883"/>
      <c r="J31" s="880"/>
      <c r="K31" s="880"/>
      <c r="L31" s="880"/>
      <c r="M31" s="880"/>
      <c r="N31" s="880"/>
      <c r="O31" s="884"/>
      <c r="P31" s="2927"/>
      <c r="Q31" s="2930"/>
      <c r="R31" s="886"/>
      <c r="S31" s="887"/>
      <c r="T31" s="888"/>
      <c r="U31" s="889"/>
      <c r="V31" s="890"/>
      <c r="W31" s="891"/>
      <c r="X31" s="892"/>
      <c r="Y31" s="892"/>
      <c r="Z31" s="892"/>
      <c r="AA31" s="893"/>
      <c r="AB31" s="884"/>
      <c r="AC31" s="894"/>
      <c r="AD31" s="808"/>
    </row>
    <row r="32" spans="1:30" ht="16.5" customHeight="1">
      <c r="A32" s="789"/>
      <c r="B32" s="804"/>
      <c r="C32" s="895" t="s">
        <v>95</v>
      </c>
      <c r="D32" s="719" t="s">
        <v>358</v>
      </c>
      <c r="E32" s="720" t="s">
        <v>367</v>
      </c>
      <c r="F32" s="721">
        <v>300</v>
      </c>
      <c r="G32" s="722" t="s">
        <v>134</v>
      </c>
      <c r="H32" s="900">
        <f>F32*F20</f>
        <v>417.3</v>
      </c>
      <c r="I32" s="901"/>
      <c r="J32" s="724">
        <v>42354.41736111111</v>
      </c>
      <c r="K32" s="724">
        <v>42354.71041666667</v>
      </c>
      <c r="L32" s="902">
        <f>IF(D32="","",(K32-J32)*24)</f>
        <v>7.03333333338378</v>
      </c>
      <c r="M32" s="903">
        <f>IF(D32="","",(K32-J32)*24*60)</f>
        <v>422.0000000030268</v>
      </c>
      <c r="N32" s="904" t="s">
        <v>332</v>
      </c>
      <c r="O32" s="905" t="str">
        <f>IF(D32="","",IF(OR(N32="P",N32="RP"),"--","NO"))</f>
        <v>--</v>
      </c>
      <c r="P32" s="2910" t="s">
        <v>362</v>
      </c>
      <c r="Q32" s="2911"/>
      <c r="R32" s="907">
        <f>200*IF(P32="SI",1,0.1)*IF(N32="P",0.1,1)</f>
        <v>2</v>
      </c>
      <c r="S32" s="908">
        <f>IF(N32="P",H32*R32*ROUND(M32/60,2),"--")</f>
        <v>5867.238</v>
      </c>
      <c r="T32" s="909" t="str">
        <f>IF(AND(N32="F",O32="NO"),H32*R32,"--")</f>
        <v>--</v>
      </c>
      <c r="U32" s="910" t="str">
        <f>IF(N32="F",H32*R32*ROUND(M32/60,2),"--")</f>
        <v>--</v>
      </c>
      <c r="V32" s="911" t="str">
        <f>IF(N32="RF",H32*R32*ROUND(M32/60,2),"--")</f>
        <v>--</v>
      </c>
      <c r="W32" s="912"/>
      <c r="X32" s="913"/>
      <c r="Y32" s="913"/>
      <c r="Z32" s="913"/>
      <c r="AA32" s="914"/>
      <c r="AB32" s="915" t="str">
        <f>IF(D32="","","SI")</f>
        <v>SI</v>
      </c>
      <c r="AC32" s="916">
        <f>IF(D32="","",SUM(S32:V32)*IF(AB32="SI",1,2))</f>
        <v>5867.238</v>
      </c>
      <c r="AD32" s="808"/>
    </row>
    <row r="33" spans="1:30" ht="16.5" customHeight="1">
      <c r="A33" s="789"/>
      <c r="B33" s="804"/>
      <c r="C33" s="895" t="s">
        <v>96</v>
      </c>
      <c r="D33" s="896"/>
      <c r="E33" s="897"/>
      <c r="F33" s="898"/>
      <c r="G33" s="899"/>
      <c r="H33" s="900">
        <f>F33*$F$20</f>
        <v>0</v>
      </c>
      <c r="I33" s="901"/>
      <c r="J33" s="742"/>
      <c r="K33" s="742"/>
      <c r="L33" s="902">
        <f>IF(D33="","",(K33-J33)*24)</f>
      </c>
      <c r="M33" s="903">
        <f>IF(D33="","",(K33-J33)*24*60)</f>
      </c>
      <c r="N33" s="904"/>
      <c r="O33" s="905">
        <f>IF(D33="","",IF(OR(N33="P",N33="RP"),"--","NO"))</f>
      </c>
      <c r="P33" s="2910">
        <f>IF(D33="","","NO")</f>
      </c>
      <c r="Q33" s="2911"/>
      <c r="R33" s="907">
        <f>200*IF(P33="SI",1,0.1)*IF(N33="P",0.1,1)</f>
        <v>20</v>
      </c>
      <c r="S33" s="908" t="str">
        <f>IF(N33="P",H33*R33*ROUND(M33/60,2),"--")</f>
        <v>--</v>
      </c>
      <c r="T33" s="909" t="str">
        <f>IF(AND(N33="F",O33="NO"),H33*R33,"--")</f>
        <v>--</v>
      </c>
      <c r="U33" s="910" t="str">
        <f>IF(N33="F",H33*R33*ROUND(M33/60,2),"--")</f>
        <v>--</v>
      </c>
      <c r="V33" s="911" t="str">
        <f>IF(N33="RF",H33*R33*ROUND(M33/60,2),"--")</f>
        <v>--</v>
      </c>
      <c r="W33" s="912"/>
      <c r="X33" s="913"/>
      <c r="Y33" s="913"/>
      <c r="Z33" s="913"/>
      <c r="AA33" s="914"/>
      <c r="AB33" s="915">
        <f>IF(D33="","","SI")</f>
      </c>
      <c r="AC33" s="916">
        <f>IF(D33="","",SUM(S33:V33)*IF(AB33="SI",1,2))</f>
      </c>
      <c r="AD33" s="808"/>
    </row>
    <row r="34" spans="1:30" ht="16.5" customHeight="1">
      <c r="A34" s="789"/>
      <c r="B34" s="804"/>
      <c r="C34" s="895" t="s">
        <v>97</v>
      </c>
      <c r="D34" s="896"/>
      <c r="E34" s="897"/>
      <c r="F34" s="898"/>
      <c r="G34" s="899"/>
      <c r="H34" s="900">
        <f>F34*$F$20</f>
        <v>0</v>
      </c>
      <c r="I34" s="901"/>
      <c r="J34" s="917"/>
      <c r="K34" s="917"/>
      <c r="L34" s="902">
        <f>IF(D34="","",(K34-J34)*24)</f>
      </c>
      <c r="M34" s="903">
        <f>IF(D34="","",(K34-J34)*24*60)</f>
      </c>
      <c r="N34" s="904"/>
      <c r="O34" s="905">
        <f>IF(D34="","",IF(OR(N34="P",N34="RP"),"--","NO"))</f>
      </c>
      <c r="P34" s="2910">
        <f>IF(D34="","","NO")</f>
      </c>
      <c r="Q34" s="2911"/>
      <c r="R34" s="907">
        <f>200*IF(P34="SI",1,0.1)*IF(N34="P",0.1,1)</f>
        <v>20</v>
      </c>
      <c r="S34" s="908" t="str">
        <f>IF(N34="P",H34*R34*ROUND(M34/60,2),"--")</f>
        <v>--</v>
      </c>
      <c r="T34" s="909" t="str">
        <f>IF(AND(N34="F",O34="NO"),H34*R34,"--")</f>
        <v>--</v>
      </c>
      <c r="U34" s="910" t="str">
        <f>IF(N34="F",H34*R34*ROUND(M34/60,2),"--")</f>
        <v>--</v>
      </c>
      <c r="V34" s="911" t="str">
        <f>IF(N34="RF",H34*R34*ROUND(M34/60,2),"--")</f>
        <v>--</v>
      </c>
      <c r="W34" s="912"/>
      <c r="X34" s="913"/>
      <c r="Y34" s="913"/>
      <c r="Z34" s="913"/>
      <c r="AA34" s="914"/>
      <c r="AB34" s="915">
        <f>IF(D34="","","SI")</f>
      </c>
      <c r="AC34" s="916">
        <f>IF(D34="","",SUM(S34:V34)*IF(AB34="SI",1,2))</f>
      </c>
      <c r="AD34" s="808"/>
    </row>
    <row r="35" spans="1:30" ht="16.5" customHeight="1" thickBot="1">
      <c r="A35" s="829"/>
      <c r="B35" s="804"/>
      <c r="C35" s="918"/>
      <c r="D35" s="919"/>
      <c r="E35" s="920"/>
      <c r="F35" s="921"/>
      <c r="G35" s="922"/>
      <c r="H35" s="923"/>
      <c r="I35" s="924"/>
      <c r="J35" s="925"/>
      <c r="K35" s="926"/>
      <c r="L35" s="927"/>
      <c r="M35" s="928"/>
      <c r="N35" s="929"/>
      <c r="O35" s="930"/>
      <c r="P35" s="2906"/>
      <c r="Q35" s="2907"/>
      <c r="R35" s="931"/>
      <c r="S35" s="932"/>
      <c r="T35" s="933"/>
      <c r="U35" s="934"/>
      <c r="V35" s="935"/>
      <c r="W35" s="936"/>
      <c r="X35" s="937"/>
      <c r="Y35" s="937"/>
      <c r="Z35" s="937"/>
      <c r="AA35" s="938"/>
      <c r="AB35" s="939"/>
      <c r="AC35" s="940"/>
      <c r="AD35" s="859"/>
    </row>
    <row r="36" spans="1:30" ht="16.5" customHeight="1" thickBot="1" thickTop="1">
      <c r="A36" s="829"/>
      <c r="B36" s="804"/>
      <c r="C36" s="941"/>
      <c r="D36" s="849"/>
      <c r="E36" s="849"/>
      <c r="F36" s="942"/>
      <c r="G36" s="943"/>
      <c r="H36" s="944"/>
      <c r="I36" s="945"/>
      <c r="J36" s="946"/>
      <c r="K36" s="947"/>
      <c r="L36" s="948"/>
      <c r="M36" s="944"/>
      <c r="N36" s="949"/>
      <c r="O36" s="950"/>
      <c r="P36" s="951"/>
      <c r="Q36" s="952"/>
      <c r="R36" s="953"/>
      <c r="S36" s="953"/>
      <c r="T36" s="953"/>
      <c r="U36" s="954"/>
      <c r="V36" s="954"/>
      <c r="W36" s="954"/>
      <c r="X36" s="954"/>
      <c r="Y36" s="954"/>
      <c r="Z36" s="954"/>
      <c r="AA36" s="954"/>
      <c r="AB36" s="954"/>
      <c r="AC36" s="955">
        <f>SUM(AC31:AC35)</f>
        <v>5867.238</v>
      </c>
      <c r="AD36" s="859"/>
    </row>
    <row r="37" spans="1:30" ht="13.5" customHeight="1" thickBot="1" thickTop="1">
      <c r="A37" s="829"/>
      <c r="B37" s="804"/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4"/>
      <c r="Q37" s="834"/>
      <c r="R37" s="834"/>
      <c r="S37" s="834"/>
      <c r="T37" s="834"/>
      <c r="U37" s="834"/>
      <c r="V37" s="834"/>
      <c r="W37" s="834"/>
      <c r="X37" s="834"/>
      <c r="Y37" s="834"/>
      <c r="Z37" s="834"/>
      <c r="AA37" s="834"/>
      <c r="AB37" s="834"/>
      <c r="AC37" s="834"/>
      <c r="AD37" s="859"/>
    </row>
    <row r="38" spans="1:33" s="789" customFormat="1" ht="33.75" customHeight="1" thickBot="1" thickTop="1">
      <c r="A38" s="788"/>
      <c r="B38" s="860"/>
      <c r="C38" s="861" t="s">
        <v>25</v>
      </c>
      <c r="D38" s="862" t="s">
        <v>54</v>
      </c>
      <c r="E38" s="2931" t="s">
        <v>55</v>
      </c>
      <c r="F38" s="2932"/>
      <c r="G38" s="956" t="s">
        <v>28</v>
      </c>
      <c r="H38" s="866" t="s">
        <v>32</v>
      </c>
      <c r="I38" s="867"/>
      <c r="J38" s="863" t="s">
        <v>33</v>
      </c>
      <c r="K38" s="863" t="s">
        <v>34</v>
      </c>
      <c r="L38" s="862" t="s">
        <v>57</v>
      </c>
      <c r="M38" s="862" t="s">
        <v>36</v>
      </c>
      <c r="N38" s="868" t="s">
        <v>104</v>
      </c>
      <c r="O38" s="2931" t="s">
        <v>39</v>
      </c>
      <c r="P38" s="2933"/>
      <c r="Q38" s="2934"/>
      <c r="R38" s="957" t="s">
        <v>31</v>
      </c>
      <c r="S38" s="958" t="s">
        <v>68</v>
      </c>
      <c r="T38" s="959" t="s">
        <v>69</v>
      </c>
      <c r="U38" s="960"/>
      <c r="V38" s="961" t="s">
        <v>44</v>
      </c>
      <c r="W38" s="876"/>
      <c r="X38" s="876"/>
      <c r="Y38" s="876"/>
      <c r="Z38" s="876"/>
      <c r="AA38" s="877"/>
      <c r="AB38" s="878" t="s">
        <v>46</v>
      </c>
      <c r="AC38" s="865" t="s">
        <v>47</v>
      </c>
      <c r="AD38" s="808"/>
      <c r="AF38" s="790"/>
      <c r="AG38" s="790"/>
    </row>
    <row r="39" spans="1:30" ht="16.5" customHeight="1" thickTop="1">
      <c r="A39" s="789"/>
      <c r="B39" s="804"/>
      <c r="C39" s="879"/>
      <c r="D39" s="880"/>
      <c r="E39" s="2927"/>
      <c r="F39" s="2928"/>
      <c r="G39" s="885"/>
      <c r="H39" s="882"/>
      <c r="I39" s="883"/>
      <c r="J39" s="880"/>
      <c r="K39" s="880"/>
      <c r="L39" s="880"/>
      <c r="M39" s="880"/>
      <c r="N39" s="880"/>
      <c r="O39" s="2927"/>
      <c r="P39" s="2929"/>
      <c r="Q39" s="2930"/>
      <c r="R39" s="962"/>
      <c r="S39" s="963"/>
      <c r="T39" s="964"/>
      <c r="U39" s="965"/>
      <c r="V39" s="966"/>
      <c r="W39" s="892"/>
      <c r="X39" s="892"/>
      <c r="Y39" s="892"/>
      <c r="Z39" s="892"/>
      <c r="AA39" s="893"/>
      <c r="AB39" s="884"/>
      <c r="AC39" s="894"/>
      <c r="AD39" s="808"/>
    </row>
    <row r="40" spans="1:30" ht="15">
      <c r="A40" s="789"/>
      <c r="B40" s="804"/>
      <c r="C40" s="967" t="s">
        <v>95</v>
      </c>
      <c r="D40" s="968"/>
      <c r="E40" s="2916"/>
      <c r="F40" s="2854"/>
      <c r="G40" s="969"/>
      <c r="H40" s="900">
        <f>IF(G40=132,#REF!,IF(G40=500,$F$21,0))</f>
        <v>0</v>
      </c>
      <c r="I40" s="901"/>
      <c r="J40" s="970"/>
      <c r="K40" s="971"/>
      <c r="L40" s="902">
        <f>IF(D40="","",(K40-J40)*24)</f>
      </c>
      <c r="M40" s="903">
        <f>IF(D40="","",(K40-J40)*24*60)</f>
      </c>
      <c r="N40" s="904"/>
      <c r="O40" s="2917">
        <f>IF(D40="","",IF(N40="P","--","NO"))</f>
      </c>
      <c r="P40" s="2918"/>
      <c r="Q40" s="2919"/>
      <c r="R40" s="962">
        <f>IF(G40=500,200,IF(G40=132,40,0))</f>
        <v>0</v>
      </c>
      <c r="S40" s="972" t="str">
        <f>IF(N40="P",H40*R40*ROUND(M40/60,2)*0.1,"--")</f>
        <v>--</v>
      </c>
      <c r="T40" s="973" t="str">
        <f>IF(AND(N40="F",O40="NO"),H40*R40,"--")</f>
        <v>--</v>
      </c>
      <c r="U40" s="974" t="str">
        <f>IF(N40="F",H40*R40*ROUND(M40/60,2),"--")</f>
        <v>--</v>
      </c>
      <c r="V40" s="911" t="str">
        <f>IF(N40="RF",H40*R40*ROUND(M40/60,2),"--")</f>
        <v>--</v>
      </c>
      <c r="W40" s="913"/>
      <c r="X40" s="913"/>
      <c r="Y40" s="913"/>
      <c r="Z40" s="913"/>
      <c r="AA40" s="914"/>
      <c r="AB40" s="915">
        <f>IF(D40="","","SI")</f>
      </c>
      <c r="AC40" s="975">
        <f>IF(D40="","",SUM(S40:V40)*IF(AB40="SI",1,2))</f>
      </c>
      <c r="AD40" s="859"/>
    </row>
    <row r="41" spans="1:30" ht="16.5" customHeight="1">
      <c r="A41" s="789"/>
      <c r="B41" s="804"/>
      <c r="C41" s="895" t="s">
        <v>96</v>
      </c>
      <c r="D41" s="968"/>
      <c r="E41" s="2916"/>
      <c r="F41" s="2854"/>
      <c r="G41" s="969"/>
      <c r="H41" s="900">
        <f>IF(G41=132,#REF!,IF(G41=500,$F$21,0))</f>
        <v>0</v>
      </c>
      <c r="I41" s="901"/>
      <c r="J41" s="970"/>
      <c r="K41" s="971"/>
      <c r="L41" s="902">
        <f>IF(D41="","",(K41-J41)*24)</f>
      </c>
      <c r="M41" s="903">
        <f>IF(D41="","",(K41-J41)*24*60)</f>
      </c>
      <c r="N41" s="904"/>
      <c r="O41" s="2917">
        <f>IF(D41="","",IF(N41="P","--","NO"))</f>
      </c>
      <c r="P41" s="2918"/>
      <c r="Q41" s="2919"/>
      <c r="R41" s="962">
        <f>IF(G41=500,200,IF(G41=132,40,0))</f>
        <v>0</v>
      </c>
      <c r="S41" s="972" t="str">
        <f>IF(N41="P",H41*R41*ROUND(M41/60,2)*0.1,"--")</f>
        <v>--</v>
      </c>
      <c r="T41" s="973" t="str">
        <f>IF(AND(N41="F",O41="NO"),H41*R41,"--")</f>
        <v>--</v>
      </c>
      <c r="U41" s="974" t="str">
        <f>IF(N41="F",H41*R41*ROUND(M41/60,2),"--")</f>
        <v>--</v>
      </c>
      <c r="V41" s="911" t="str">
        <f>IF(N41="RF",H41*R41*ROUND(M41/60,2),"--")</f>
        <v>--</v>
      </c>
      <c r="W41" s="913"/>
      <c r="X41" s="913"/>
      <c r="Y41" s="913"/>
      <c r="Z41" s="913"/>
      <c r="AA41" s="914"/>
      <c r="AB41" s="915">
        <f>IF(D41="","","SI")</f>
      </c>
      <c r="AC41" s="975">
        <f>IF(D41="","",SUM(S41:V41)*IF(AB41="SI",1,2))</f>
      </c>
      <c r="AD41" s="808"/>
    </row>
    <row r="42" spans="1:30" ht="16.5" customHeight="1">
      <c r="A42" s="789"/>
      <c r="B42" s="804"/>
      <c r="C42" s="895" t="s">
        <v>97</v>
      </c>
      <c r="D42" s="968"/>
      <c r="E42" s="2916"/>
      <c r="F42" s="2854"/>
      <c r="G42" s="969"/>
      <c r="H42" s="900">
        <f>IF(G42=132,#REF!,IF(G42=500,$F$21,0))</f>
        <v>0</v>
      </c>
      <c r="I42" s="901"/>
      <c r="J42" s="970"/>
      <c r="K42" s="971"/>
      <c r="L42" s="902">
        <f>IF(D42="","",(K42-J42)*24)</f>
      </c>
      <c r="M42" s="903">
        <f>IF(D42="","",(K42-J42)*24*60)</f>
      </c>
      <c r="N42" s="904"/>
      <c r="O42" s="2917">
        <f>IF(D42="","",IF(N42="P","--","NO"))</f>
      </c>
      <c r="P42" s="2918"/>
      <c r="Q42" s="2919"/>
      <c r="R42" s="962">
        <f>IF(G42=500,200,IF(G42=132,40,0))</f>
        <v>0</v>
      </c>
      <c r="S42" s="972" t="str">
        <f>IF(N42="P",H42*R42*ROUND(M42/60,2)*0.1,"--")</f>
        <v>--</v>
      </c>
      <c r="T42" s="973" t="str">
        <f>IF(AND(N42="F",O42="NO"),H42*R42,"--")</f>
        <v>--</v>
      </c>
      <c r="U42" s="974" t="str">
        <f>IF(N42="F",H42*R42*ROUND(M42/60,2),"--")</f>
        <v>--</v>
      </c>
      <c r="V42" s="911" t="str">
        <f>IF(N42="RF",H42*R42*ROUND(M42/60,2),"--")</f>
        <v>--</v>
      </c>
      <c r="W42" s="913"/>
      <c r="X42" s="913"/>
      <c r="Y42" s="913"/>
      <c r="Z42" s="913"/>
      <c r="AA42" s="914"/>
      <c r="AB42" s="915">
        <f>IF(D42="","","SI")</f>
      </c>
      <c r="AC42" s="975">
        <f>IF(D42="","",SUM(S42:V42)*IF(AB42="SI",1,2))</f>
      </c>
      <c r="AD42" s="808"/>
    </row>
    <row r="43" spans="1:30" ht="16.5" customHeight="1" thickBot="1">
      <c r="A43" s="829"/>
      <c r="B43" s="804"/>
      <c r="C43" s="918"/>
      <c r="D43" s="919"/>
      <c r="E43" s="2920"/>
      <c r="F43" s="2921"/>
      <c r="G43" s="976"/>
      <c r="H43" s="923"/>
      <c r="I43" s="924"/>
      <c r="J43" s="925"/>
      <c r="K43" s="926"/>
      <c r="L43" s="927"/>
      <c r="M43" s="928"/>
      <c r="N43" s="929"/>
      <c r="O43" s="2906"/>
      <c r="P43" s="2922"/>
      <c r="Q43" s="2907"/>
      <c r="R43" s="962"/>
      <c r="S43" s="972"/>
      <c r="T43" s="973"/>
      <c r="U43" s="974"/>
      <c r="V43" s="911"/>
      <c r="W43" s="937"/>
      <c r="X43" s="937"/>
      <c r="Y43" s="937"/>
      <c r="Z43" s="937"/>
      <c r="AA43" s="938"/>
      <c r="AB43" s="939"/>
      <c r="AC43" s="975">
        <f>IF(D43="","",SUM(S43:V43)*IF(AB43="SI",1,2))</f>
      </c>
      <c r="AD43" s="859"/>
    </row>
    <row r="44" spans="1:30" ht="16.5" customHeight="1" thickBot="1" thickTop="1">
      <c r="A44" s="829"/>
      <c r="B44" s="804"/>
      <c r="C44" s="941"/>
      <c r="D44" s="849"/>
      <c r="E44" s="849"/>
      <c r="F44" s="942"/>
      <c r="G44" s="943"/>
      <c r="H44" s="944"/>
      <c r="I44" s="945"/>
      <c r="J44" s="946"/>
      <c r="K44" s="947"/>
      <c r="L44" s="948"/>
      <c r="M44" s="944"/>
      <c r="N44" s="949"/>
      <c r="O44" s="950"/>
      <c r="P44" s="977"/>
      <c r="Q44" s="978"/>
      <c r="R44" s="979"/>
      <c r="S44" s="979"/>
      <c r="T44" s="979"/>
      <c r="U44" s="980"/>
      <c r="V44" s="980"/>
      <c r="W44" s="980"/>
      <c r="X44" s="980"/>
      <c r="Y44" s="980"/>
      <c r="Z44" s="980"/>
      <c r="AA44" s="980"/>
      <c r="AB44" s="980"/>
      <c r="AC44" s="955">
        <f>SUM(AC39:AC43)</f>
        <v>0</v>
      </c>
      <c r="AD44" s="859"/>
    </row>
    <row r="45" spans="1:30" ht="16.5" customHeight="1" thickBot="1" thickTop="1">
      <c r="A45" s="829"/>
      <c r="B45" s="804"/>
      <c r="C45" s="941"/>
      <c r="D45" s="849"/>
      <c r="E45" s="849"/>
      <c r="F45" s="942"/>
      <c r="G45" s="943"/>
      <c r="H45" s="944"/>
      <c r="I45" s="945"/>
      <c r="J45" s="946"/>
      <c r="K45" s="947"/>
      <c r="L45" s="948"/>
      <c r="M45" s="944"/>
      <c r="N45" s="949"/>
      <c r="O45" s="950"/>
      <c r="P45" s="977"/>
      <c r="Q45" s="978"/>
      <c r="R45" s="979"/>
      <c r="S45" s="979"/>
      <c r="T45" s="979"/>
      <c r="U45" s="980"/>
      <c r="V45" s="980"/>
      <c r="W45" s="980"/>
      <c r="X45" s="980"/>
      <c r="Y45" s="980"/>
      <c r="Z45" s="980"/>
      <c r="AA45" s="980"/>
      <c r="AB45" s="980"/>
      <c r="AC45" s="981"/>
      <c r="AD45" s="859"/>
    </row>
    <row r="46" spans="1:30" ht="43.5" customHeight="1" thickBot="1" thickTop="1">
      <c r="A46" s="829"/>
      <c r="B46" s="830"/>
      <c r="C46" s="861" t="s">
        <v>25</v>
      </c>
      <c r="D46" s="862" t="s">
        <v>54</v>
      </c>
      <c r="E46" s="982" t="s">
        <v>55</v>
      </c>
      <c r="F46" s="2923" t="s">
        <v>74</v>
      </c>
      <c r="G46" s="2924"/>
      <c r="H46" s="866" t="s">
        <v>32</v>
      </c>
      <c r="I46" s="983"/>
      <c r="J46" s="982" t="s">
        <v>33</v>
      </c>
      <c r="K46" s="982" t="s">
        <v>34</v>
      </c>
      <c r="L46" s="984" t="s">
        <v>35</v>
      </c>
      <c r="M46" s="984" t="s">
        <v>36</v>
      </c>
      <c r="N46" s="868" t="s">
        <v>321</v>
      </c>
      <c r="O46" s="868" t="s">
        <v>37</v>
      </c>
      <c r="P46" s="2925" t="s">
        <v>39</v>
      </c>
      <c r="Q46" s="2926"/>
      <c r="R46" s="985" t="s">
        <v>31</v>
      </c>
      <c r="S46" s="986" t="s">
        <v>68</v>
      </c>
      <c r="T46" s="987" t="s">
        <v>75</v>
      </c>
      <c r="U46" s="988"/>
      <c r="V46" s="989" t="s">
        <v>76</v>
      </c>
      <c r="W46" s="990"/>
      <c r="X46" s="991" t="s">
        <v>44</v>
      </c>
      <c r="Y46" s="992" t="s">
        <v>41</v>
      </c>
      <c r="Z46" s="983"/>
      <c r="AA46" s="983"/>
      <c r="AB46" s="878" t="s">
        <v>46</v>
      </c>
      <c r="AC46" s="993" t="s">
        <v>47</v>
      </c>
      <c r="AD46" s="994"/>
    </row>
    <row r="47" spans="1:30" ht="16.5" customHeight="1" thickTop="1">
      <c r="A47" s="829"/>
      <c r="B47" s="830"/>
      <c r="C47" s="995"/>
      <c r="D47" s="996"/>
      <c r="E47" s="996"/>
      <c r="F47" s="2912"/>
      <c r="G47" s="2913"/>
      <c r="H47" s="997"/>
      <c r="I47" s="983"/>
      <c r="J47" s="998"/>
      <c r="K47" s="998"/>
      <c r="L47" s="999"/>
      <c r="M47" s="999"/>
      <c r="N47" s="996"/>
      <c r="O47" s="1000"/>
      <c r="P47" s="2912"/>
      <c r="Q47" s="2913"/>
      <c r="R47" s="1001"/>
      <c r="S47" s="1002"/>
      <c r="T47" s="1003"/>
      <c r="U47" s="1004"/>
      <c r="V47" s="1005"/>
      <c r="W47" s="1006"/>
      <c r="X47" s="1007"/>
      <c r="Y47" s="1007"/>
      <c r="Z47" s="983"/>
      <c r="AA47" s="983"/>
      <c r="AB47" s="1008"/>
      <c r="AC47" s="1009"/>
      <c r="AD47" s="994"/>
    </row>
    <row r="48" spans="1:30" ht="16.5" customHeight="1">
      <c r="A48" s="829"/>
      <c r="B48" s="830"/>
      <c r="C48" s="967" t="s">
        <v>95</v>
      </c>
      <c r="D48" s="1010"/>
      <c r="E48" s="1011"/>
      <c r="F48" s="2914"/>
      <c r="G48" s="2915"/>
      <c r="H48" s="1012">
        <f>F48*$F$20</f>
        <v>0</v>
      </c>
      <c r="I48" s="983"/>
      <c r="J48" s="1013"/>
      <c r="K48" s="1014"/>
      <c r="L48" s="1015">
        <f aca="true" t="shared" si="0" ref="L48:L56">IF(D48="","",(K48-J48)*24)</f>
      </c>
      <c r="M48" s="1016">
        <f aca="true" t="shared" si="1" ref="M48:M56">IF(D48="","",ROUND((K48-J48)*24*60,0))</f>
      </c>
      <c r="N48" s="906"/>
      <c r="O48" s="1017">
        <f aca="true" t="shared" si="2" ref="O48:O56">IF(D48="","","--")</f>
      </c>
      <c r="P48" s="2910">
        <f aca="true" t="shared" si="3" ref="P48:P55">IF(D48="","",IF(OR(N48="P",N48="RP"),"--","NO"))</f>
      </c>
      <c r="Q48" s="2911"/>
      <c r="R48" s="1018">
        <f aca="true" t="shared" si="4" ref="R48:R55">IF(OR(N48="P",N48="RP"),20/10,20)</f>
        <v>20</v>
      </c>
      <c r="S48" s="1019" t="str">
        <f aca="true" t="shared" si="5" ref="S48:S55">IF(N48="P",H48*R48*ROUND(M48/60,2),"--")</f>
        <v>--</v>
      </c>
      <c r="T48" s="1020" t="str">
        <f aca="true" t="shared" si="6" ref="T48:T55">IF(AND(N48="F",P48="NO"),H48*R48,"--")</f>
        <v>--</v>
      </c>
      <c r="U48" s="1021" t="str">
        <f aca="true" t="shared" si="7" ref="U48:U55">IF(N48="F",H48*R48*ROUND(M48/60,2),"--")</f>
        <v>--</v>
      </c>
      <c r="V48" s="1022" t="str">
        <f aca="true" t="shared" si="8" ref="V48:V55">IF(AND(N48="R",P48="NO"),H48*R48*O48/100,"--")</f>
        <v>--</v>
      </c>
      <c r="W48" s="1023" t="str">
        <f aca="true" t="shared" si="9" ref="W48:W55">IF(N48="R",H48*R48*O48/100*ROUND(M48/60,2),"--")</f>
        <v>--</v>
      </c>
      <c r="X48" s="1024" t="str">
        <f aca="true" t="shared" si="10" ref="X48:X55">IF(N48="RF",H48*R48*ROUND(M48/60,2),"--")</f>
        <v>--</v>
      </c>
      <c r="Y48" s="1025" t="str">
        <f aca="true" t="shared" si="11" ref="Y48:Y55">IF(N48="RP",H48*R48*O48/100*ROUND(M48/60,2),"--")</f>
        <v>--</v>
      </c>
      <c r="Z48" s="983"/>
      <c r="AA48" s="983"/>
      <c r="AB48" s="1026">
        <f aca="true" t="shared" si="12" ref="AB48:AB55">IF(D48="","","SI")</f>
      </c>
      <c r="AC48" s="1027">
        <f aca="true" t="shared" si="13" ref="AC48:AC55">IF(D48="","",SUM(S48:Y48)*IF(AB48="SI",1,2)*IF(AND(O48&lt;&gt;"--",N48="RF"),O48/100,1))</f>
      </c>
      <c r="AD48" s="994"/>
    </row>
    <row r="49" spans="2:30" s="829" customFormat="1" ht="16.5" customHeight="1">
      <c r="B49" s="830"/>
      <c r="C49" s="895" t="s">
        <v>96</v>
      </c>
      <c r="D49" s="1010"/>
      <c r="E49" s="1011"/>
      <c r="F49" s="2908"/>
      <c r="G49" s="2909"/>
      <c r="H49" s="1012">
        <f aca="true" t="shared" si="14" ref="H49:H56">F49*$F$20</f>
        <v>0</v>
      </c>
      <c r="I49" s="983"/>
      <c r="J49" s="1013"/>
      <c r="K49" s="1014"/>
      <c r="L49" s="1028">
        <f t="shared" si="0"/>
      </c>
      <c r="M49" s="1029">
        <f t="shared" si="1"/>
      </c>
      <c r="N49" s="1030"/>
      <c r="O49" s="1017">
        <f t="shared" si="2"/>
      </c>
      <c r="P49" s="2910">
        <f t="shared" si="3"/>
      </c>
      <c r="Q49" s="2911"/>
      <c r="R49" s="1018">
        <f t="shared" si="4"/>
        <v>20</v>
      </c>
      <c r="S49" s="1019" t="str">
        <f t="shared" si="5"/>
        <v>--</v>
      </c>
      <c r="T49" s="1020" t="str">
        <f t="shared" si="6"/>
        <v>--</v>
      </c>
      <c r="U49" s="1021" t="str">
        <f t="shared" si="7"/>
        <v>--</v>
      </c>
      <c r="V49" s="1022" t="str">
        <f t="shared" si="8"/>
        <v>--</v>
      </c>
      <c r="W49" s="1023" t="str">
        <f t="shared" si="9"/>
        <v>--</v>
      </c>
      <c r="X49" s="1024" t="str">
        <f t="shared" si="10"/>
        <v>--</v>
      </c>
      <c r="Y49" s="1031" t="str">
        <f t="shared" si="11"/>
        <v>--</v>
      </c>
      <c r="Z49" s="983"/>
      <c r="AA49" s="983"/>
      <c r="AB49" s="1032">
        <f t="shared" si="12"/>
      </c>
      <c r="AC49" s="975">
        <f t="shared" si="13"/>
      </c>
      <c r="AD49" s="994"/>
    </row>
    <row r="50" spans="2:30" s="829" customFormat="1" ht="16.5" customHeight="1">
      <c r="B50" s="830"/>
      <c r="C50" s="895" t="s">
        <v>97</v>
      </c>
      <c r="D50" s="1033"/>
      <c r="E50" s="1034"/>
      <c r="F50" s="2908"/>
      <c r="G50" s="2909"/>
      <c r="H50" s="1012">
        <f t="shared" si="14"/>
        <v>0</v>
      </c>
      <c r="I50" s="983"/>
      <c r="J50" s="1035"/>
      <c r="K50" s="1036"/>
      <c r="L50" s="1028">
        <f t="shared" si="0"/>
      </c>
      <c r="M50" s="1029">
        <f t="shared" si="1"/>
      </c>
      <c r="N50" s="1030"/>
      <c r="O50" s="1017">
        <f t="shared" si="2"/>
      </c>
      <c r="P50" s="2910">
        <f t="shared" si="3"/>
      </c>
      <c r="Q50" s="2911"/>
      <c r="R50" s="1018">
        <f t="shared" si="4"/>
        <v>20</v>
      </c>
      <c r="S50" s="1019" t="str">
        <f t="shared" si="5"/>
        <v>--</v>
      </c>
      <c r="T50" s="1020" t="str">
        <f t="shared" si="6"/>
        <v>--</v>
      </c>
      <c r="U50" s="1021" t="str">
        <f t="shared" si="7"/>
        <v>--</v>
      </c>
      <c r="V50" s="1022" t="str">
        <f t="shared" si="8"/>
        <v>--</v>
      </c>
      <c r="W50" s="1023" t="str">
        <f t="shared" si="9"/>
        <v>--</v>
      </c>
      <c r="X50" s="1024" t="str">
        <f t="shared" si="10"/>
        <v>--</v>
      </c>
      <c r="Y50" s="1031" t="str">
        <f t="shared" si="11"/>
        <v>--</v>
      </c>
      <c r="Z50" s="983"/>
      <c r="AA50" s="983"/>
      <c r="AB50" s="1032">
        <f t="shared" si="12"/>
      </c>
      <c r="AC50" s="975">
        <f t="shared" si="13"/>
      </c>
      <c r="AD50" s="994"/>
    </row>
    <row r="51" spans="2:30" s="829" customFormat="1" ht="16.5" customHeight="1">
      <c r="B51" s="830"/>
      <c r="C51" s="895" t="s">
        <v>98</v>
      </c>
      <c r="D51" s="1033"/>
      <c r="E51" s="1034"/>
      <c r="F51" s="2908"/>
      <c r="G51" s="2909"/>
      <c r="H51" s="1012">
        <f t="shared" si="14"/>
        <v>0</v>
      </c>
      <c r="I51" s="983"/>
      <c r="J51" s="1035"/>
      <c r="K51" s="1036"/>
      <c r="L51" s="1028">
        <f t="shared" si="0"/>
      </c>
      <c r="M51" s="1029">
        <f t="shared" si="1"/>
      </c>
      <c r="N51" s="1030"/>
      <c r="O51" s="1017">
        <f t="shared" si="2"/>
      </c>
      <c r="P51" s="2910">
        <f t="shared" si="3"/>
      </c>
      <c r="Q51" s="2911"/>
      <c r="R51" s="1018">
        <f t="shared" si="4"/>
        <v>20</v>
      </c>
      <c r="S51" s="1019" t="str">
        <f t="shared" si="5"/>
        <v>--</v>
      </c>
      <c r="T51" s="1020" t="str">
        <f t="shared" si="6"/>
        <v>--</v>
      </c>
      <c r="U51" s="1021" t="str">
        <f t="shared" si="7"/>
        <v>--</v>
      </c>
      <c r="V51" s="1022" t="str">
        <f t="shared" si="8"/>
        <v>--</v>
      </c>
      <c r="W51" s="1023" t="str">
        <f t="shared" si="9"/>
        <v>--</v>
      </c>
      <c r="X51" s="1024" t="str">
        <f t="shared" si="10"/>
        <v>--</v>
      </c>
      <c r="Y51" s="1031" t="str">
        <f t="shared" si="11"/>
        <v>--</v>
      </c>
      <c r="Z51" s="983"/>
      <c r="AA51" s="983"/>
      <c r="AB51" s="1032">
        <f t="shared" si="12"/>
      </c>
      <c r="AC51" s="975">
        <f t="shared" si="13"/>
      </c>
      <c r="AD51" s="994"/>
    </row>
    <row r="52" spans="2:30" s="829" customFormat="1" ht="16.5" customHeight="1">
      <c r="B52" s="830"/>
      <c r="C52" s="895" t="s">
        <v>99</v>
      </c>
      <c r="D52" s="1033"/>
      <c r="E52" s="1034"/>
      <c r="F52" s="2908"/>
      <c r="G52" s="2909"/>
      <c r="H52" s="1012">
        <f t="shared" si="14"/>
        <v>0</v>
      </c>
      <c r="I52" s="983"/>
      <c r="J52" s="1035"/>
      <c r="K52" s="1036"/>
      <c r="L52" s="1028">
        <f t="shared" si="0"/>
      </c>
      <c r="M52" s="1029">
        <f t="shared" si="1"/>
      </c>
      <c r="N52" s="1030"/>
      <c r="O52" s="1017">
        <f t="shared" si="2"/>
      </c>
      <c r="P52" s="2910">
        <f t="shared" si="3"/>
      </c>
      <c r="Q52" s="2911"/>
      <c r="R52" s="1018">
        <f t="shared" si="4"/>
        <v>20</v>
      </c>
      <c r="S52" s="1019" t="str">
        <f t="shared" si="5"/>
        <v>--</v>
      </c>
      <c r="T52" s="1020" t="str">
        <f t="shared" si="6"/>
        <v>--</v>
      </c>
      <c r="U52" s="1021" t="str">
        <f t="shared" si="7"/>
        <v>--</v>
      </c>
      <c r="V52" s="1022" t="str">
        <f t="shared" si="8"/>
        <v>--</v>
      </c>
      <c r="W52" s="1023" t="str">
        <f t="shared" si="9"/>
        <v>--</v>
      </c>
      <c r="X52" s="1024" t="str">
        <f t="shared" si="10"/>
        <v>--</v>
      </c>
      <c r="Y52" s="1031" t="str">
        <f t="shared" si="11"/>
        <v>--</v>
      </c>
      <c r="Z52" s="983"/>
      <c r="AA52" s="983"/>
      <c r="AB52" s="1032">
        <f t="shared" si="12"/>
      </c>
      <c r="AC52" s="975">
        <f t="shared" si="13"/>
      </c>
      <c r="AD52" s="994"/>
    </row>
    <row r="53" spans="1:30" ht="16.5" customHeight="1">
      <c r="A53" s="829"/>
      <c r="B53" s="830"/>
      <c r="C53" s="895" t="s">
        <v>100</v>
      </c>
      <c r="D53" s="1033"/>
      <c r="E53" s="1034"/>
      <c r="F53" s="2908"/>
      <c r="G53" s="2909"/>
      <c r="H53" s="1012">
        <f t="shared" si="14"/>
        <v>0</v>
      </c>
      <c r="I53" s="983"/>
      <c r="J53" s="1035"/>
      <c r="K53" s="1036"/>
      <c r="L53" s="1028">
        <f t="shared" si="0"/>
      </c>
      <c r="M53" s="1029">
        <f t="shared" si="1"/>
      </c>
      <c r="N53" s="1030"/>
      <c r="O53" s="1017">
        <f t="shared" si="2"/>
      </c>
      <c r="P53" s="2910">
        <f t="shared" si="3"/>
      </c>
      <c r="Q53" s="2911"/>
      <c r="R53" s="1018">
        <f t="shared" si="4"/>
        <v>20</v>
      </c>
      <c r="S53" s="1019" t="str">
        <f t="shared" si="5"/>
        <v>--</v>
      </c>
      <c r="T53" s="1020" t="str">
        <f t="shared" si="6"/>
        <v>--</v>
      </c>
      <c r="U53" s="1021" t="str">
        <f t="shared" si="7"/>
        <v>--</v>
      </c>
      <c r="V53" s="1022" t="str">
        <f t="shared" si="8"/>
        <v>--</v>
      </c>
      <c r="W53" s="1023" t="str">
        <f t="shared" si="9"/>
        <v>--</v>
      </c>
      <c r="X53" s="1024" t="str">
        <f t="shared" si="10"/>
        <v>--</v>
      </c>
      <c r="Y53" s="1031" t="str">
        <f t="shared" si="11"/>
        <v>--</v>
      </c>
      <c r="Z53" s="983"/>
      <c r="AA53" s="983"/>
      <c r="AB53" s="1032">
        <f t="shared" si="12"/>
      </c>
      <c r="AC53" s="975">
        <f t="shared" si="13"/>
      </c>
      <c r="AD53" s="994"/>
    </row>
    <row r="54" spans="1:30" ht="16.5" customHeight="1">
      <c r="A54" s="829"/>
      <c r="B54" s="830"/>
      <c r="C54" s="895" t="s">
        <v>101</v>
      </c>
      <c r="D54" s="1033"/>
      <c r="E54" s="1034"/>
      <c r="F54" s="2908"/>
      <c r="G54" s="2909"/>
      <c r="H54" s="1012">
        <f t="shared" si="14"/>
        <v>0</v>
      </c>
      <c r="I54" s="983"/>
      <c r="J54" s="1035"/>
      <c r="K54" s="1036"/>
      <c r="L54" s="1028">
        <f t="shared" si="0"/>
      </c>
      <c r="M54" s="1029">
        <f t="shared" si="1"/>
      </c>
      <c r="N54" s="1030"/>
      <c r="O54" s="1017">
        <f t="shared" si="2"/>
      </c>
      <c r="P54" s="2910">
        <f t="shared" si="3"/>
      </c>
      <c r="Q54" s="2911"/>
      <c r="R54" s="1018">
        <f t="shared" si="4"/>
        <v>20</v>
      </c>
      <c r="S54" s="1019" t="str">
        <f t="shared" si="5"/>
        <v>--</v>
      </c>
      <c r="T54" s="1020" t="str">
        <f t="shared" si="6"/>
        <v>--</v>
      </c>
      <c r="U54" s="1021" t="str">
        <f t="shared" si="7"/>
        <v>--</v>
      </c>
      <c r="V54" s="1022" t="str">
        <f t="shared" si="8"/>
        <v>--</v>
      </c>
      <c r="W54" s="1023" t="str">
        <f t="shared" si="9"/>
        <v>--</v>
      </c>
      <c r="X54" s="1024" t="str">
        <f t="shared" si="10"/>
        <v>--</v>
      </c>
      <c r="Y54" s="1031" t="str">
        <f t="shared" si="11"/>
        <v>--</v>
      </c>
      <c r="Z54" s="983"/>
      <c r="AA54" s="983"/>
      <c r="AB54" s="1032">
        <f t="shared" si="12"/>
      </c>
      <c r="AC54" s="975">
        <f t="shared" si="13"/>
      </c>
      <c r="AD54" s="994"/>
    </row>
    <row r="55" spans="1:30" ht="16.5" customHeight="1">
      <c r="A55" s="829"/>
      <c r="B55" s="830"/>
      <c r="C55" s="895" t="s">
        <v>102</v>
      </c>
      <c r="D55" s="1033"/>
      <c r="E55" s="1034"/>
      <c r="F55" s="2908"/>
      <c r="G55" s="2909"/>
      <c r="H55" s="1012">
        <f t="shared" si="14"/>
        <v>0</v>
      </c>
      <c r="I55" s="983"/>
      <c r="J55" s="1035"/>
      <c r="K55" s="1036"/>
      <c r="L55" s="1028">
        <f t="shared" si="0"/>
      </c>
      <c r="M55" s="1029">
        <f t="shared" si="1"/>
      </c>
      <c r="N55" s="1030"/>
      <c r="O55" s="1017">
        <f t="shared" si="2"/>
      </c>
      <c r="P55" s="2910">
        <f t="shared" si="3"/>
      </c>
      <c r="Q55" s="2911"/>
      <c r="R55" s="1018">
        <f t="shared" si="4"/>
        <v>20</v>
      </c>
      <c r="S55" s="1019" t="str">
        <f t="shared" si="5"/>
        <v>--</v>
      </c>
      <c r="T55" s="1020" t="str">
        <f t="shared" si="6"/>
        <v>--</v>
      </c>
      <c r="U55" s="1021" t="str">
        <f t="shared" si="7"/>
        <v>--</v>
      </c>
      <c r="V55" s="1022" t="str">
        <f t="shared" si="8"/>
        <v>--</v>
      </c>
      <c r="W55" s="1023" t="str">
        <f t="shared" si="9"/>
        <v>--</v>
      </c>
      <c r="X55" s="1024" t="str">
        <f t="shared" si="10"/>
        <v>--</v>
      </c>
      <c r="Y55" s="1031" t="str">
        <f t="shared" si="11"/>
        <v>--</v>
      </c>
      <c r="Z55" s="983"/>
      <c r="AA55" s="983"/>
      <c r="AB55" s="1032">
        <f t="shared" si="12"/>
      </c>
      <c r="AC55" s="975">
        <f t="shared" si="13"/>
      </c>
      <c r="AD55" s="994"/>
    </row>
    <row r="56" spans="1:30" ht="16.5" customHeight="1" thickBot="1">
      <c r="A56" s="829"/>
      <c r="B56" s="830"/>
      <c r="C56" s="1037"/>
      <c r="D56" s="1038"/>
      <c r="E56" s="1039"/>
      <c r="F56" s="2904"/>
      <c r="G56" s="2905"/>
      <c r="H56" s="1040">
        <f t="shared" si="14"/>
        <v>0</v>
      </c>
      <c r="I56" s="1041"/>
      <c r="J56" s="1042"/>
      <c r="K56" s="1043"/>
      <c r="L56" s="1044">
        <f t="shared" si="0"/>
      </c>
      <c r="M56" s="1045">
        <f t="shared" si="1"/>
      </c>
      <c r="N56" s="1046"/>
      <c r="O56" s="1047">
        <f t="shared" si="2"/>
      </c>
      <c r="P56" s="2906"/>
      <c r="Q56" s="2907"/>
      <c r="R56" s="1048"/>
      <c r="S56" s="1049"/>
      <c r="T56" s="1050"/>
      <c r="U56" s="1051"/>
      <c r="V56" s="1052"/>
      <c r="W56" s="1053"/>
      <c r="X56" s="1054"/>
      <c r="Y56" s="1055"/>
      <c r="Z56" s="937"/>
      <c r="AA56" s="937"/>
      <c r="AB56" s="930"/>
      <c r="AC56" s="1056"/>
      <c r="AD56" s="994"/>
    </row>
    <row r="57" spans="1:30" ht="16.5" customHeight="1" thickBot="1" thickTop="1">
      <c r="A57" s="829"/>
      <c r="B57" s="830"/>
      <c r="C57" s="941"/>
      <c r="D57" s="849"/>
      <c r="E57" s="980"/>
      <c r="F57" s="980"/>
      <c r="G57" s="980"/>
      <c r="H57" s="980"/>
      <c r="I57" s="980"/>
      <c r="J57" s="980"/>
      <c r="K57" s="980"/>
      <c r="L57" s="980"/>
      <c r="M57" s="980"/>
      <c r="N57" s="980"/>
      <c r="O57" s="980"/>
      <c r="P57" s="980"/>
      <c r="Q57" s="980"/>
      <c r="R57" s="980"/>
      <c r="S57" s="980"/>
      <c r="T57" s="980"/>
      <c r="U57" s="980"/>
      <c r="V57" s="980"/>
      <c r="W57" s="980"/>
      <c r="X57" s="980"/>
      <c r="Y57" s="980"/>
      <c r="Z57" s="980"/>
      <c r="AA57" s="980"/>
      <c r="AB57" s="980"/>
      <c r="AC57" s="955">
        <f>SUM(AC47:AC56)</f>
        <v>0</v>
      </c>
      <c r="AD57" s="994"/>
    </row>
    <row r="58" spans="1:30" ht="16.5" customHeight="1" thickBot="1" thickTop="1">
      <c r="A58" s="829"/>
      <c r="B58" s="830"/>
      <c r="C58" s="941"/>
      <c r="D58" s="849"/>
      <c r="E58" s="980"/>
      <c r="F58" s="980"/>
      <c r="G58" s="980"/>
      <c r="H58" s="980"/>
      <c r="I58" s="980"/>
      <c r="J58" s="980"/>
      <c r="K58" s="980"/>
      <c r="L58" s="980"/>
      <c r="M58" s="980"/>
      <c r="N58" s="980"/>
      <c r="O58" s="980"/>
      <c r="P58" s="980"/>
      <c r="Q58" s="980"/>
      <c r="R58" s="980"/>
      <c r="S58" s="980"/>
      <c r="T58" s="980"/>
      <c r="U58" s="980"/>
      <c r="V58" s="980"/>
      <c r="W58" s="980"/>
      <c r="X58" s="980"/>
      <c r="Y58" s="980"/>
      <c r="Z58" s="980"/>
      <c r="AA58" s="980"/>
      <c r="AB58" s="980"/>
      <c r="AC58" s="1057"/>
      <c r="AD58" s="994"/>
    </row>
    <row r="59" spans="1:30" ht="16.5" customHeight="1" thickBot="1" thickTop="1">
      <c r="A59" s="829"/>
      <c r="B59" s="804"/>
      <c r="C59" s="941"/>
      <c r="D59" s="849"/>
      <c r="E59" s="849"/>
      <c r="F59" s="942"/>
      <c r="G59" s="943"/>
      <c r="H59" s="944"/>
      <c r="I59" s="945"/>
      <c r="J59" s="847" t="s">
        <v>109</v>
      </c>
      <c r="K59" s="848">
        <f>+AC36+AC44+AC57</f>
        <v>5867.238</v>
      </c>
      <c r="L59" s="948"/>
      <c r="M59" s="944"/>
      <c r="N59" s="1058"/>
      <c r="O59" s="1059"/>
      <c r="P59" s="977"/>
      <c r="Q59" s="978"/>
      <c r="R59" s="979"/>
      <c r="S59" s="979"/>
      <c r="T59" s="979"/>
      <c r="U59" s="980"/>
      <c r="V59" s="980"/>
      <c r="W59" s="980"/>
      <c r="X59" s="980"/>
      <c r="Y59" s="980"/>
      <c r="Z59" s="980"/>
      <c r="AA59" s="980"/>
      <c r="AB59" s="980"/>
      <c r="AC59" s="1060"/>
      <c r="AD59" s="859"/>
    </row>
    <row r="60" spans="1:30" ht="13.5" customHeight="1" thickTop="1">
      <c r="A60" s="829"/>
      <c r="B60" s="830"/>
      <c r="C60" s="834"/>
      <c r="D60" s="1061"/>
      <c r="E60" s="1062"/>
      <c r="F60" s="1063"/>
      <c r="G60" s="1064"/>
      <c r="H60" s="1064"/>
      <c r="I60" s="1062"/>
      <c r="J60" s="1065"/>
      <c r="K60" s="1065"/>
      <c r="L60" s="1062"/>
      <c r="M60" s="1062"/>
      <c r="N60" s="1062"/>
      <c r="O60" s="1066"/>
      <c r="P60" s="1062"/>
      <c r="Q60" s="1062"/>
      <c r="R60" s="1067"/>
      <c r="S60" s="1068"/>
      <c r="T60" s="1068"/>
      <c r="U60" s="1069"/>
      <c r="AC60" s="1069"/>
      <c r="AD60" s="994"/>
    </row>
    <row r="61" spans="1:30" ht="16.5" customHeight="1">
      <c r="A61" s="829"/>
      <c r="B61" s="830"/>
      <c r="C61" s="1070" t="s">
        <v>110</v>
      </c>
      <c r="D61" s="1071" t="s">
        <v>324</v>
      </c>
      <c r="E61" s="1062"/>
      <c r="F61" s="1063"/>
      <c r="G61" s="1064"/>
      <c r="H61" s="1064"/>
      <c r="I61" s="1062"/>
      <c r="J61" s="1065"/>
      <c r="K61" s="1065"/>
      <c r="L61" s="1062"/>
      <c r="M61" s="1062"/>
      <c r="N61" s="1062"/>
      <c r="O61" s="1066"/>
      <c r="P61" s="1062"/>
      <c r="Q61" s="1062"/>
      <c r="R61" s="1067"/>
      <c r="S61" s="1068"/>
      <c r="T61" s="1068"/>
      <c r="U61" s="1069"/>
      <c r="AC61" s="1069"/>
      <c r="AD61" s="994"/>
    </row>
    <row r="62" spans="1:30" ht="16.5" customHeight="1">
      <c r="A62" s="829"/>
      <c r="B62" s="830"/>
      <c r="C62" s="1070"/>
      <c r="D62" s="1061"/>
      <c r="E62" s="1062"/>
      <c r="F62" s="1063"/>
      <c r="G62" s="1064"/>
      <c r="H62" s="1064"/>
      <c r="I62" s="1062"/>
      <c r="J62" s="1065"/>
      <c r="K62" s="1065"/>
      <c r="L62" s="1062"/>
      <c r="M62" s="1062"/>
      <c r="N62" s="1062"/>
      <c r="O62" s="1066"/>
      <c r="P62" s="1062"/>
      <c r="Q62" s="1062"/>
      <c r="R62" s="1062"/>
      <c r="S62" s="1067"/>
      <c r="T62" s="1068"/>
      <c r="AD62" s="994"/>
    </row>
    <row r="63" spans="1:30" ht="16.5" customHeight="1">
      <c r="A63" s="829"/>
      <c r="B63" s="830"/>
      <c r="C63" s="834"/>
      <c r="D63" s="1072" t="s">
        <v>125</v>
      </c>
      <c r="E63" s="852" t="s">
        <v>126</v>
      </c>
      <c r="F63" s="852" t="s">
        <v>112</v>
      </c>
      <c r="G63" s="1073" t="s">
        <v>329</v>
      </c>
      <c r="I63" s="1074"/>
      <c r="J63" s="852"/>
      <c r="L63" s="1075" t="s">
        <v>327</v>
      </c>
      <c r="M63" s="1074"/>
      <c r="N63" s="1076"/>
      <c r="O63" s="1077"/>
      <c r="P63" s="1077"/>
      <c r="Q63" s="1077"/>
      <c r="R63" s="1077"/>
      <c r="S63" s="1077"/>
      <c r="AC63" s="1078"/>
      <c r="AD63" s="994"/>
    </row>
    <row r="64" spans="1:30" ht="16.5" customHeight="1">
      <c r="A64" s="829"/>
      <c r="B64" s="830"/>
      <c r="C64" s="834"/>
      <c r="D64" s="852" t="s">
        <v>470</v>
      </c>
      <c r="E64" s="1079">
        <v>300</v>
      </c>
      <c r="F64" s="1079" t="s">
        <v>134</v>
      </c>
      <c r="G64" s="1080">
        <f>E64*F20*L20*2</f>
        <v>620942.4</v>
      </c>
      <c r="H64" s="819"/>
      <c r="I64" s="819"/>
      <c r="J64" s="1081"/>
      <c r="L64" s="1081">
        <v>0</v>
      </c>
      <c r="M64" s="819"/>
      <c r="N64" s="1082" t="s">
        <v>469</v>
      </c>
      <c r="O64" s="1083"/>
      <c r="P64" s="1083"/>
      <c r="Q64" s="1083"/>
      <c r="R64" s="1083"/>
      <c r="S64" s="1083"/>
      <c r="AC64" s="1084">
        <f>G64</f>
        <v>620942.4</v>
      </c>
      <c r="AD64" s="994"/>
    </row>
    <row r="65" spans="1:30" ht="16.5" customHeight="1">
      <c r="A65" s="829"/>
      <c r="B65" s="830"/>
      <c r="C65" s="834"/>
      <c r="D65" s="852"/>
      <c r="E65" s="1079"/>
      <c r="F65" s="1079"/>
      <c r="G65" s="1080"/>
      <c r="H65" s="819"/>
      <c r="I65" s="819"/>
      <c r="J65" s="1081"/>
      <c r="L65" s="1081"/>
      <c r="M65" s="819"/>
      <c r="N65" s="1085"/>
      <c r="O65" s="1083"/>
      <c r="P65" s="1083"/>
      <c r="Q65" s="1083"/>
      <c r="R65" s="1083"/>
      <c r="S65" s="1083"/>
      <c r="AC65" s="1084"/>
      <c r="AD65" s="994"/>
    </row>
    <row r="66" spans="1:30" ht="7.5" customHeight="1" thickBot="1">
      <c r="A66" s="829"/>
      <c r="B66" s="830"/>
      <c r="C66" s="834"/>
      <c r="D66" s="852"/>
      <c r="E66" s="1086"/>
      <c r="F66" s="1087"/>
      <c r="G66" s="1079"/>
      <c r="H66" s="819"/>
      <c r="I66" s="819"/>
      <c r="J66" s="1080"/>
      <c r="L66" s="1081"/>
      <c r="M66" s="819"/>
      <c r="N66" s="1085"/>
      <c r="O66" s="1083"/>
      <c r="P66" s="1083"/>
      <c r="Q66" s="1083"/>
      <c r="R66" s="1083"/>
      <c r="S66" s="1083"/>
      <c r="AC66" s="1084"/>
      <c r="AD66" s="994"/>
    </row>
    <row r="67" spans="1:30" ht="16.5" customHeight="1" thickBot="1" thickTop="1">
      <c r="A67" s="829"/>
      <c r="B67" s="830"/>
      <c r="C67" s="834"/>
      <c r="D67" s="852"/>
      <c r="E67" s="1086"/>
      <c r="F67" s="1087"/>
      <c r="G67" s="1079"/>
      <c r="H67" s="819"/>
      <c r="I67" s="819"/>
      <c r="J67" s="1080"/>
      <c r="L67" s="1081"/>
      <c r="M67" s="819"/>
      <c r="N67" s="1085"/>
      <c r="O67" s="1083"/>
      <c r="P67" s="1083"/>
      <c r="Q67" s="1083"/>
      <c r="R67" s="1083"/>
      <c r="S67" s="1083"/>
      <c r="AB67" s="847" t="s">
        <v>147</v>
      </c>
      <c r="AC67" s="848">
        <f>SUM(AC63:AC65)</f>
        <v>620942.4</v>
      </c>
      <c r="AD67" s="994"/>
    </row>
    <row r="68" spans="2:30" ht="16.5" customHeight="1" thickBot="1" thickTop="1">
      <c r="B68" s="830"/>
      <c r="C68" s="1070" t="s">
        <v>115</v>
      </c>
      <c r="D68" s="1088" t="s">
        <v>116</v>
      </c>
      <c r="E68" s="852"/>
      <c r="F68" s="1089"/>
      <c r="G68" s="851"/>
      <c r="H68" s="1065"/>
      <c r="I68" s="1065"/>
      <c r="J68" s="1065"/>
      <c r="K68" s="852"/>
      <c r="L68" s="852"/>
      <c r="M68" s="1065"/>
      <c r="N68" s="852"/>
      <c r="O68" s="1065"/>
      <c r="P68" s="1065"/>
      <c r="Q68" s="1065"/>
      <c r="R68" s="1065"/>
      <c r="S68" s="1065"/>
      <c r="T68" s="1065"/>
      <c r="U68" s="1065"/>
      <c r="AC68" s="1065"/>
      <c r="AD68" s="994"/>
    </row>
    <row r="69" spans="2:30" s="829" customFormat="1" ht="16.5" customHeight="1" thickBot="1" thickTop="1">
      <c r="B69" s="830"/>
      <c r="C69" s="834"/>
      <c r="D69" s="1072" t="s">
        <v>117</v>
      </c>
      <c r="E69" s="1090">
        <f>10*K59*K25/AC67</f>
        <v>805.6380000000001</v>
      </c>
      <c r="G69" s="851"/>
      <c r="L69" s="852"/>
      <c r="N69" s="852"/>
      <c r="O69" s="853"/>
      <c r="V69" s="790"/>
      <c r="W69" s="790"/>
      <c r="AB69" s="847" t="s">
        <v>392</v>
      </c>
      <c r="AC69" s="848">
        <v>341049.60000000003</v>
      </c>
      <c r="AD69" s="994"/>
    </row>
    <row r="70" spans="2:30" s="829" customFormat="1" ht="16.5" customHeight="1" thickTop="1">
      <c r="B70" s="830"/>
      <c r="C70" s="834"/>
      <c r="E70" s="1091"/>
      <c r="F70" s="845"/>
      <c r="G70" s="851"/>
      <c r="J70" s="851"/>
      <c r="K70" s="858"/>
      <c r="L70" s="852"/>
      <c r="M70" s="852"/>
      <c r="N70" s="852"/>
      <c r="O70" s="853"/>
      <c r="P70" s="852"/>
      <c r="Q70" s="852"/>
      <c r="R70" s="857"/>
      <c r="S70" s="857"/>
      <c r="T70" s="857"/>
      <c r="U70" s="1092"/>
      <c r="V70" s="790"/>
      <c r="W70" s="790"/>
      <c r="AC70" s="1092"/>
      <c r="AD70" s="994"/>
    </row>
    <row r="71" spans="2:30" ht="16.5" customHeight="1">
      <c r="B71" s="830"/>
      <c r="C71" s="834"/>
      <c r="D71" s="1093" t="s">
        <v>471</v>
      </c>
      <c r="E71" s="1094"/>
      <c r="F71" s="845"/>
      <c r="G71" s="851"/>
      <c r="H71" s="1065"/>
      <c r="I71" s="1065"/>
      <c r="N71" s="852"/>
      <c r="O71" s="853"/>
      <c r="P71" s="852"/>
      <c r="Q71" s="852"/>
      <c r="R71" s="1074"/>
      <c r="S71" s="1074"/>
      <c r="T71" s="1074"/>
      <c r="U71" s="1076"/>
      <c r="AC71" s="1076"/>
      <c r="AD71" s="994"/>
    </row>
    <row r="72" spans="2:30" ht="16.5" customHeight="1" thickBot="1">
      <c r="B72" s="830"/>
      <c r="C72" s="834"/>
      <c r="D72" s="1093"/>
      <c r="E72" s="1094"/>
      <c r="F72" s="845"/>
      <c r="G72" s="851"/>
      <c r="H72" s="1065"/>
      <c r="I72" s="1065"/>
      <c r="N72" s="852"/>
      <c r="O72" s="853"/>
      <c r="P72" s="852"/>
      <c r="Q72" s="852"/>
      <c r="R72" s="1074"/>
      <c r="S72" s="1074"/>
      <c r="T72" s="1074"/>
      <c r="U72" s="1076"/>
      <c r="AC72" s="1076"/>
      <c r="AD72" s="994"/>
    </row>
    <row r="73" spans="2:30" s="1095" customFormat="1" ht="21" thickBot="1" thickTop="1">
      <c r="B73" s="1096"/>
      <c r="C73" s="1097"/>
      <c r="D73" s="1098"/>
      <c r="E73" s="1099"/>
      <c r="F73" s="1100"/>
      <c r="G73" s="1101"/>
      <c r="I73" s="790"/>
      <c r="J73" s="1102" t="s">
        <v>119</v>
      </c>
      <c r="K73" s="1103">
        <f>IF(E69&gt;3*K25,K25*3,E69)</f>
        <v>805.6380000000001</v>
      </c>
      <c r="M73" s="1104"/>
      <c r="N73" s="2323" t="s">
        <v>398</v>
      </c>
      <c r="O73" s="1105"/>
      <c r="P73" s="1104"/>
      <c r="R73" s="1106"/>
      <c r="S73" s="1106"/>
      <c r="T73" s="1106"/>
      <c r="U73" s="1107"/>
      <c r="V73" s="790"/>
      <c r="W73" s="790"/>
      <c r="AC73" s="1107"/>
      <c r="AD73" s="1108"/>
    </row>
    <row r="74" spans="2:30" ht="16.5" customHeight="1" thickBot="1" thickTop="1">
      <c r="B74" s="1109"/>
      <c r="C74" s="1110"/>
      <c r="D74" s="1110"/>
      <c r="E74" s="1110"/>
      <c r="F74" s="1110"/>
      <c r="G74" s="1110"/>
      <c r="H74" s="1110"/>
      <c r="I74" s="1110"/>
      <c r="J74" s="1110"/>
      <c r="K74" s="1110"/>
      <c r="L74" s="1110"/>
      <c r="M74" s="1110"/>
      <c r="N74" s="1110"/>
      <c r="O74" s="1110"/>
      <c r="P74" s="1110"/>
      <c r="Q74" s="1110"/>
      <c r="R74" s="1110"/>
      <c r="S74" s="1110"/>
      <c r="T74" s="1110"/>
      <c r="U74" s="1110"/>
      <c r="V74" s="1111"/>
      <c r="W74" s="1111"/>
      <c r="X74" s="1111"/>
      <c r="Y74" s="1111"/>
      <c r="Z74" s="1111"/>
      <c r="AA74" s="1111"/>
      <c r="AB74" s="1111"/>
      <c r="AC74" s="1110"/>
      <c r="AD74" s="1112"/>
    </row>
    <row r="75" spans="2:23" ht="16.5" customHeight="1" thickTop="1">
      <c r="B75" s="826"/>
      <c r="C75" s="1113"/>
      <c r="W75" s="826"/>
    </row>
  </sheetData>
  <sheetProtection password="CC12"/>
  <mergeCells count="39">
    <mergeCell ref="P31:Q31"/>
    <mergeCell ref="P32:Q32"/>
    <mergeCell ref="P33:Q33"/>
    <mergeCell ref="P34:Q34"/>
    <mergeCell ref="P35:Q35"/>
    <mergeCell ref="E38:F38"/>
    <mergeCell ref="O38:Q38"/>
    <mergeCell ref="E39:F39"/>
    <mergeCell ref="O39:Q39"/>
    <mergeCell ref="E40:F40"/>
    <mergeCell ref="O40:Q40"/>
    <mergeCell ref="E41:F41"/>
    <mergeCell ref="O41:Q41"/>
    <mergeCell ref="E42:F42"/>
    <mergeCell ref="O42:Q42"/>
    <mergeCell ref="E43:F43"/>
    <mergeCell ref="O43:Q43"/>
    <mergeCell ref="F46:G46"/>
    <mergeCell ref="P46:Q46"/>
    <mergeCell ref="F47:G47"/>
    <mergeCell ref="P47:Q47"/>
    <mergeCell ref="F48:G48"/>
    <mergeCell ref="P48:Q48"/>
    <mergeCell ref="F49:G49"/>
    <mergeCell ref="P49:Q49"/>
    <mergeCell ref="F50:G50"/>
    <mergeCell ref="P50:Q50"/>
    <mergeCell ref="F51:G51"/>
    <mergeCell ref="P51:Q51"/>
    <mergeCell ref="F52:G52"/>
    <mergeCell ref="P52:Q52"/>
    <mergeCell ref="F56:G56"/>
    <mergeCell ref="P56:Q56"/>
    <mergeCell ref="F53:G53"/>
    <mergeCell ref="P53:Q53"/>
    <mergeCell ref="F54:G54"/>
    <mergeCell ref="P54:Q54"/>
    <mergeCell ref="F55:G55"/>
    <mergeCell ref="P55:Q55"/>
  </mergeCells>
  <printOptions horizontalCentered="1"/>
  <pageMargins left="0.1968503937007874" right="0.15748031496062992" top="0.7874015748031497" bottom="0.7874015748031497" header="0.5118110236220472" footer="0.5118110236220472"/>
  <pageSetup fitToHeight="1" fitToWidth="1" horizontalDpi="600" verticalDpi="600" orientation="portrait" paperSize="9" scale="37" r:id="rId4"/>
  <headerFooter alignWithMargins="0">
    <oddFooter>&amp;L&amp;"Times New Roman,Normal"&amp;8&amp;Z&amp;F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zoomScale="70" zoomScaleNormal="70" zoomScalePageLayoutView="0" workbookViewId="0" topLeftCell="A1">
      <selection activeCell="F55" sqref="F55"/>
    </sheetView>
  </sheetViews>
  <sheetFormatPr defaultColWidth="11.421875" defaultRowHeight="12.75"/>
  <cols>
    <col min="1" max="1" width="23.00390625" style="1120" customWidth="1"/>
    <col min="2" max="2" width="11.8515625" style="1120" customWidth="1"/>
    <col min="3" max="3" width="6.57421875" style="1120" bestFit="1" customWidth="1"/>
    <col min="4" max="4" width="27.140625" style="1120" customWidth="1"/>
    <col min="5" max="5" width="16.8515625" style="1120" customWidth="1"/>
    <col min="6" max="6" width="16.57421875" style="1120" customWidth="1"/>
    <col min="7" max="7" width="14.421875" style="1120" customWidth="1"/>
    <col min="8" max="8" width="6.28125" style="1120" hidden="1" customWidth="1"/>
    <col min="9" max="9" width="22.00390625" style="1120" customWidth="1"/>
    <col min="10" max="10" width="21.57421875" style="1120" bestFit="1" customWidth="1"/>
    <col min="11" max="11" width="18.7109375" style="1120" customWidth="1"/>
    <col min="12" max="13" width="10.7109375" style="1120" customWidth="1"/>
    <col min="14" max="14" width="9.7109375" style="1120" customWidth="1"/>
    <col min="15" max="15" width="10.28125" style="1120" customWidth="1"/>
    <col min="16" max="16" width="9.421875" style="1120" hidden="1" customWidth="1"/>
    <col min="17" max="17" width="11.8515625" style="1120" hidden="1" customWidth="1"/>
    <col min="18" max="18" width="6.57421875" style="1120" hidden="1" customWidth="1"/>
    <col min="19" max="19" width="8.7109375" style="1120" hidden="1" customWidth="1"/>
    <col min="20" max="20" width="11.57421875" style="1120" hidden="1" customWidth="1"/>
    <col min="21" max="21" width="14.8515625" style="1120" customWidth="1"/>
    <col min="22" max="22" width="20.7109375" style="1120" customWidth="1"/>
    <col min="23" max="23" width="12.140625" style="1120" customWidth="1"/>
    <col min="24" max="24" width="17.7109375" style="1120" customWidth="1"/>
    <col min="25" max="25" width="12.8515625" style="1120" customWidth="1"/>
    <col min="26" max="26" width="14.28125" style="1120" customWidth="1"/>
    <col min="27" max="27" width="24.28125" style="1120" customWidth="1"/>
    <col min="28" max="28" width="9.7109375" style="1120" customWidth="1"/>
    <col min="29" max="29" width="17.28125" style="1120" customWidth="1"/>
    <col min="30" max="30" width="25.7109375" style="1120" customWidth="1"/>
    <col min="31" max="31" width="4.140625" style="1120" customWidth="1"/>
    <col min="32" max="32" width="7.140625" style="1120" customWidth="1"/>
    <col min="33" max="33" width="5.28125" style="1120" customWidth="1"/>
    <col min="34" max="34" width="5.421875" style="1120" customWidth="1"/>
    <col min="35" max="35" width="4.7109375" style="1120" customWidth="1"/>
    <col min="36" max="36" width="5.28125" style="1120" customWidth="1"/>
    <col min="37" max="38" width="13.28125" style="1120" customWidth="1"/>
    <col min="39" max="39" width="6.57421875" style="1120" customWidth="1"/>
    <col min="40" max="40" width="6.421875" style="1120" customWidth="1"/>
    <col min="41" max="44" width="11.421875" style="1120" customWidth="1"/>
    <col min="45" max="45" width="12.7109375" style="1120" customWidth="1"/>
    <col min="46" max="48" width="11.421875" style="1120" customWidth="1"/>
    <col min="49" max="49" width="21.00390625" style="1120" customWidth="1"/>
    <col min="50" max="16384" width="11.421875" style="1120" customWidth="1"/>
  </cols>
  <sheetData>
    <row r="1" spans="1:30" ht="13.5">
      <c r="A1" s="1125"/>
      <c r="B1" s="1126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2"/>
      <c r="AD1" s="1122"/>
    </row>
    <row r="2" spans="1:23" ht="27" customHeight="1">
      <c r="A2" s="1125"/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</row>
    <row r="3" spans="1:30" s="2109" customFormat="1" ht="30.75">
      <c r="A3" s="2106"/>
      <c r="B3" s="2107" t="str">
        <f>'TOT-1215'!B2</f>
        <v>ANEXO I al Memorándum D.T.E.E. N°  231  / 2017</v>
      </c>
      <c r="C3" s="2108"/>
      <c r="D3" s="2108"/>
      <c r="E3" s="2108"/>
      <c r="F3" s="2108"/>
      <c r="G3" s="2108"/>
      <c r="H3" s="2108"/>
      <c r="I3" s="2108"/>
      <c r="J3" s="2108"/>
      <c r="K3" s="2108"/>
      <c r="L3" s="2108"/>
      <c r="M3" s="2108"/>
      <c r="N3" s="2108"/>
      <c r="O3" s="2108"/>
      <c r="P3" s="2108"/>
      <c r="Q3" s="2108"/>
      <c r="R3" s="2108"/>
      <c r="S3" s="2108"/>
      <c r="T3" s="2108"/>
      <c r="U3" s="2108"/>
      <c r="V3" s="2108"/>
      <c r="W3" s="2108"/>
      <c r="AB3" s="2108"/>
      <c r="AC3" s="2108"/>
      <c r="AD3" s="2108"/>
    </row>
    <row r="4" spans="1:2" s="1129" customFormat="1" ht="11.25">
      <c r="A4" s="2110" t="s">
        <v>2</v>
      </c>
      <c r="B4" s="1127"/>
    </row>
    <row r="5" spans="1:2" s="1129" customFormat="1" ht="12" thickBot="1">
      <c r="A5" s="2110" t="s">
        <v>3</v>
      </c>
      <c r="B5" s="2110"/>
    </row>
    <row r="6" spans="1:23" ht="16.5" customHeight="1" thickTop="1">
      <c r="A6" s="1126"/>
      <c r="B6" s="1130"/>
      <c r="C6" s="1131"/>
      <c r="D6" s="1131"/>
      <c r="E6" s="1132"/>
      <c r="F6" s="1131"/>
      <c r="G6" s="1131"/>
      <c r="H6" s="1131"/>
      <c r="I6" s="1131"/>
      <c r="J6" s="1131"/>
      <c r="K6" s="1131"/>
      <c r="L6" s="1131"/>
      <c r="M6" s="1131"/>
      <c r="N6" s="1131"/>
      <c r="O6" s="1131"/>
      <c r="P6" s="1131"/>
      <c r="Q6" s="1131"/>
      <c r="R6" s="1131"/>
      <c r="S6" s="1131"/>
      <c r="T6" s="1131"/>
      <c r="U6" s="1131"/>
      <c r="V6" s="1131"/>
      <c r="W6" s="1133"/>
    </row>
    <row r="7" spans="1:23" ht="20.25">
      <c r="A7" s="1126"/>
      <c r="B7" s="1140"/>
      <c r="C7" s="1141"/>
      <c r="D7" s="1137" t="s">
        <v>78</v>
      </c>
      <c r="E7" s="1141"/>
      <c r="F7" s="1141"/>
      <c r="G7" s="1141"/>
      <c r="H7" s="1141"/>
      <c r="I7" s="1141"/>
      <c r="J7" s="1141"/>
      <c r="K7" s="1141"/>
      <c r="L7" s="1141"/>
      <c r="M7" s="1141"/>
      <c r="N7" s="1141"/>
      <c r="O7" s="1141"/>
      <c r="P7" s="2111"/>
      <c r="Q7" s="2111"/>
      <c r="R7" s="1141"/>
      <c r="S7" s="1141"/>
      <c r="T7" s="1141"/>
      <c r="U7" s="1141"/>
      <c r="V7" s="1141"/>
      <c r="W7" s="1142"/>
    </row>
    <row r="8" spans="1:23" ht="16.5" customHeight="1">
      <c r="A8" s="1126"/>
      <c r="B8" s="1140"/>
      <c r="C8" s="1141"/>
      <c r="D8" s="1141"/>
      <c r="E8" s="1141"/>
      <c r="F8" s="1141"/>
      <c r="G8" s="1141"/>
      <c r="H8" s="1141"/>
      <c r="I8" s="1141"/>
      <c r="J8" s="1141"/>
      <c r="K8" s="1141"/>
      <c r="L8" s="1141"/>
      <c r="M8" s="1141"/>
      <c r="N8" s="1141"/>
      <c r="O8" s="1141"/>
      <c r="P8" s="1141"/>
      <c r="Q8" s="1141"/>
      <c r="R8" s="1141"/>
      <c r="S8" s="1141"/>
      <c r="T8" s="1141"/>
      <c r="U8" s="1141"/>
      <c r="V8" s="1141"/>
      <c r="W8" s="1142"/>
    </row>
    <row r="9" spans="2:23" s="1151" customFormat="1" ht="20.25">
      <c r="B9" s="2112"/>
      <c r="C9" s="2113"/>
      <c r="D9" s="1137" t="s">
        <v>79</v>
      </c>
      <c r="E9" s="2113"/>
      <c r="F9" s="2113"/>
      <c r="G9" s="2113"/>
      <c r="H9" s="2113"/>
      <c r="N9" s="2113"/>
      <c r="O9" s="2113"/>
      <c r="P9" s="2114"/>
      <c r="Q9" s="2114"/>
      <c r="R9" s="2113"/>
      <c r="S9" s="2113"/>
      <c r="T9" s="2113"/>
      <c r="U9" s="2113"/>
      <c r="V9" s="2113"/>
      <c r="W9" s="2115"/>
    </row>
    <row r="10" spans="1:23" ht="16.5" customHeight="1">
      <c r="A10" s="1126"/>
      <c r="B10" s="1140"/>
      <c r="C10" s="1141"/>
      <c r="D10" s="1141"/>
      <c r="E10" s="1141"/>
      <c r="F10" s="1141"/>
      <c r="G10" s="1141"/>
      <c r="H10" s="1141"/>
      <c r="I10" s="1141"/>
      <c r="J10" s="1141"/>
      <c r="K10" s="1141"/>
      <c r="L10" s="1141"/>
      <c r="M10" s="1141"/>
      <c r="N10" s="1141"/>
      <c r="O10" s="1141"/>
      <c r="P10" s="1141"/>
      <c r="Q10" s="1141"/>
      <c r="R10" s="1141"/>
      <c r="S10" s="1141"/>
      <c r="T10" s="1141"/>
      <c r="U10" s="1141"/>
      <c r="V10" s="1141"/>
      <c r="W10" s="1142"/>
    </row>
    <row r="11" spans="2:23" s="1151" customFormat="1" ht="20.25">
      <c r="B11" s="2112"/>
      <c r="C11" s="2113"/>
      <c r="D11" s="1137" t="s">
        <v>394</v>
      </c>
      <c r="E11" s="2113"/>
      <c r="F11" s="2113"/>
      <c r="G11" s="2113"/>
      <c r="H11" s="2113"/>
      <c r="N11" s="2113"/>
      <c r="O11" s="2113"/>
      <c r="P11" s="2114"/>
      <c r="Q11" s="2114"/>
      <c r="R11" s="2113"/>
      <c r="S11" s="2113"/>
      <c r="T11" s="2113"/>
      <c r="U11" s="2113"/>
      <c r="V11" s="2113"/>
      <c r="W11" s="2115"/>
    </row>
    <row r="12" spans="1:23" ht="16.5" customHeight="1">
      <c r="A12" s="1126"/>
      <c r="B12" s="1140"/>
      <c r="C12" s="1141"/>
      <c r="D12" s="1141"/>
      <c r="E12" s="1126"/>
      <c r="F12" s="1126"/>
      <c r="G12" s="1126"/>
      <c r="H12" s="1126"/>
      <c r="I12" s="2116"/>
      <c r="J12" s="2116"/>
      <c r="K12" s="2116"/>
      <c r="L12" s="2116"/>
      <c r="M12" s="2116"/>
      <c r="N12" s="2116"/>
      <c r="O12" s="2116"/>
      <c r="P12" s="2116"/>
      <c r="Q12" s="2116"/>
      <c r="R12" s="1141"/>
      <c r="S12" s="1141"/>
      <c r="T12" s="1141"/>
      <c r="U12" s="1141"/>
      <c r="V12" s="1141"/>
      <c r="W12" s="1142"/>
    </row>
    <row r="13" spans="2:23" s="1151" customFormat="1" ht="19.5">
      <c r="B13" s="1152" t="str">
        <f>'TOT-1215'!B14</f>
        <v>Desde el 01 al 31 de diciembre de 2015</v>
      </c>
      <c r="C13" s="2117"/>
      <c r="D13" s="1153"/>
      <c r="E13" s="1153"/>
      <c r="F13" s="1153"/>
      <c r="G13" s="1153"/>
      <c r="H13" s="1153"/>
      <c r="I13" s="2118"/>
      <c r="J13" s="2119"/>
      <c r="K13" s="2118"/>
      <c r="L13" s="2118"/>
      <c r="M13" s="2118"/>
      <c r="N13" s="2118"/>
      <c r="O13" s="2118"/>
      <c r="P13" s="2118"/>
      <c r="Q13" s="2118"/>
      <c r="R13" s="2118"/>
      <c r="S13" s="2118"/>
      <c r="T13" s="2118"/>
      <c r="U13" s="2120"/>
      <c r="V13" s="2120"/>
      <c r="W13" s="2121"/>
    </row>
    <row r="14" spans="1:23" ht="16.5" customHeight="1">
      <c r="A14" s="1126"/>
      <c r="B14" s="1140"/>
      <c r="C14" s="1141"/>
      <c r="D14" s="1141"/>
      <c r="E14" s="1154"/>
      <c r="F14" s="1154"/>
      <c r="G14" s="1141"/>
      <c r="H14" s="1141"/>
      <c r="I14" s="1141"/>
      <c r="J14" s="2122"/>
      <c r="K14" s="1141"/>
      <c r="L14" s="1141"/>
      <c r="M14" s="1141"/>
      <c r="N14" s="1126"/>
      <c r="O14" s="1126"/>
      <c r="P14" s="1141"/>
      <c r="Q14" s="1141"/>
      <c r="R14" s="1141"/>
      <c r="S14" s="1141"/>
      <c r="T14" s="1141"/>
      <c r="U14" s="1141"/>
      <c r="V14" s="1141"/>
      <c r="W14" s="1142"/>
    </row>
    <row r="15" spans="1:23" ht="16.5" customHeight="1">
      <c r="A15" s="1126"/>
      <c r="B15" s="1140"/>
      <c r="C15" s="1141"/>
      <c r="D15" s="1141"/>
      <c r="E15" s="1154"/>
      <c r="F15" s="1154"/>
      <c r="G15" s="1141"/>
      <c r="H15" s="1141"/>
      <c r="I15" s="2123"/>
      <c r="J15" s="1141"/>
      <c r="K15" s="1188"/>
      <c r="M15" s="1141"/>
      <c r="N15" s="1126"/>
      <c r="O15" s="1126"/>
      <c r="P15" s="1141"/>
      <c r="Q15" s="1141"/>
      <c r="R15" s="1141"/>
      <c r="S15" s="1141"/>
      <c r="T15" s="1141"/>
      <c r="U15" s="1141"/>
      <c r="V15" s="1141"/>
      <c r="W15" s="1142"/>
    </row>
    <row r="16" spans="1:23" ht="16.5" customHeight="1">
      <c r="A16" s="1126"/>
      <c r="B16" s="1140"/>
      <c r="C16" s="1141"/>
      <c r="D16" s="1141"/>
      <c r="E16" s="1154"/>
      <c r="F16" s="1154"/>
      <c r="G16" s="1141"/>
      <c r="H16" s="1141"/>
      <c r="I16" s="2123"/>
      <c r="J16" s="1141"/>
      <c r="K16" s="1188"/>
      <c r="M16" s="1141"/>
      <c r="N16" s="1126"/>
      <c r="O16" s="1126"/>
      <c r="P16" s="1141"/>
      <c r="Q16" s="1141"/>
      <c r="R16" s="1141"/>
      <c r="S16" s="1141"/>
      <c r="T16" s="1141"/>
      <c r="U16" s="1141"/>
      <c r="V16" s="1141"/>
      <c r="W16" s="1142"/>
    </row>
    <row r="17" spans="1:23" ht="16.5" customHeight="1" thickBot="1">
      <c r="A17" s="1126"/>
      <c r="B17" s="1140"/>
      <c r="C17" s="2124" t="s">
        <v>80</v>
      </c>
      <c r="D17" s="2125" t="s">
        <v>81</v>
      </c>
      <c r="E17" s="1154"/>
      <c r="F17" s="1154"/>
      <c r="G17" s="1141"/>
      <c r="H17" s="1141"/>
      <c r="I17" s="1141"/>
      <c r="J17" s="2122"/>
      <c r="K17" s="1141"/>
      <c r="L17" s="1141"/>
      <c r="M17" s="1141"/>
      <c r="N17" s="1126"/>
      <c r="O17" s="1126"/>
      <c r="P17" s="1141"/>
      <c r="Q17" s="1141"/>
      <c r="R17" s="1141"/>
      <c r="S17" s="1141"/>
      <c r="T17" s="1141"/>
      <c r="U17" s="1141"/>
      <c r="V17" s="1141"/>
      <c r="W17" s="1142"/>
    </row>
    <row r="18" spans="2:23" s="2126" customFormat="1" ht="16.5" customHeight="1" thickBot="1">
      <c r="B18" s="2127"/>
      <c r="C18" s="2128"/>
      <c r="D18" s="2129"/>
      <c r="E18" s="2130"/>
      <c r="F18" s="2131"/>
      <c r="G18" s="2132"/>
      <c r="H18" s="2128"/>
      <c r="I18" s="2128"/>
      <c r="J18" s="2133"/>
      <c r="K18" s="2128"/>
      <c r="L18" s="2128"/>
      <c r="M18" s="2128"/>
      <c r="N18" s="2134" t="s">
        <v>31</v>
      </c>
      <c r="P18" s="2128"/>
      <c r="Q18" s="2128"/>
      <c r="R18" s="2128"/>
      <c r="S18" s="2128"/>
      <c r="T18" s="2128"/>
      <c r="U18" s="2128"/>
      <c r="V18" s="2128"/>
      <c r="W18" s="2135"/>
    </row>
    <row r="19" spans="2:23" s="2126" customFormat="1" ht="16.5" customHeight="1">
      <c r="B19" s="2127"/>
      <c r="C19" s="2128"/>
      <c r="D19" s="2136"/>
      <c r="E19" s="2130" t="s">
        <v>84</v>
      </c>
      <c r="F19" s="2137">
        <v>0.025</v>
      </c>
      <c r="G19" s="2138"/>
      <c r="H19" s="2128"/>
      <c r="I19" s="1155"/>
      <c r="J19" s="1156"/>
      <c r="K19" s="2139" t="s">
        <v>135</v>
      </c>
      <c r="L19" s="2140"/>
      <c r="M19" s="565">
        <v>276.033</v>
      </c>
      <c r="N19" s="2141">
        <v>200</v>
      </c>
      <c r="R19" s="2128"/>
      <c r="S19" s="2128"/>
      <c r="T19" s="2128"/>
      <c r="U19" s="2128"/>
      <c r="V19" s="2142"/>
      <c r="W19" s="2135"/>
    </row>
    <row r="20" spans="2:23" s="2126" customFormat="1" ht="16.5" customHeight="1">
      <c r="B20" s="2127"/>
      <c r="C20" s="2128"/>
      <c r="D20" s="2136"/>
      <c r="E20" s="2129" t="s">
        <v>87</v>
      </c>
      <c r="F20" s="2128">
        <f>MID(B13,16,2)*24</f>
        <v>744</v>
      </c>
      <c r="G20" s="2128" t="s">
        <v>88</v>
      </c>
      <c r="H20" s="2128"/>
      <c r="I20" s="2128"/>
      <c r="J20" s="2128"/>
      <c r="K20" s="2143" t="s">
        <v>66</v>
      </c>
      <c r="L20" s="2144"/>
      <c r="M20" s="566" t="s">
        <v>360</v>
      </c>
      <c r="N20" s="2145">
        <v>100</v>
      </c>
      <c r="O20" s="2128"/>
      <c r="P20" s="2146"/>
      <c r="Q20" s="2128"/>
      <c r="R20" s="2128"/>
      <c r="S20" s="2128"/>
      <c r="T20" s="2128"/>
      <c r="U20" s="2128"/>
      <c r="V20" s="2128"/>
      <c r="W20" s="2135"/>
    </row>
    <row r="21" spans="2:23" s="2126" customFormat="1" ht="16.5" customHeight="1" thickBot="1">
      <c r="B21" s="2127"/>
      <c r="C21" s="2128"/>
      <c r="D21" s="2136"/>
      <c r="E21" s="2129" t="s">
        <v>136</v>
      </c>
      <c r="F21" s="2128">
        <v>1.391</v>
      </c>
      <c r="G21" s="2126" t="s">
        <v>86</v>
      </c>
      <c r="H21" s="2128"/>
      <c r="I21" s="2128"/>
      <c r="J21" s="2128"/>
      <c r="K21" s="2147" t="s">
        <v>137</v>
      </c>
      <c r="L21" s="2148"/>
      <c r="M21" s="567">
        <v>220.831</v>
      </c>
      <c r="N21" s="2149">
        <v>40</v>
      </c>
      <c r="O21" s="2128"/>
      <c r="P21" s="2146"/>
      <c r="Q21" s="2128"/>
      <c r="R21" s="2128"/>
      <c r="S21" s="2128"/>
      <c r="T21" s="2128"/>
      <c r="U21" s="2128"/>
      <c r="V21" s="2150"/>
      <c r="W21" s="2135"/>
    </row>
    <row r="22" spans="2:23" s="2126" customFormat="1" ht="16.5" customHeight="1">
      <c r="B22" s="2127"/>
      <c r="C22" s="2128"/>
      <c r="D22" s="2128"/>
      <c r="E22" s="2151"/>
      <c r="F22" s="2128"/>
      <c r="G22" s="2128"/>
      <c r="H22" s="2128"/>
      <c r="I22" s="2128"/>
      <c r="J22" s="2128"/>
      <c r="K22" s="2128"/>
      <c r="L22" s="2128"/>
      <c r="M22" s="2128"/>
      <c r="N22" s="2128"/>
      <c r="O22" s="2128"/>
      <c r="P22" s="2128"/>
      <c r="Q22" s="2128"/>
      <c r="R22" s="2128"/>
      <c r="S22" s="2128"/>
      <c r="T22" s="2128"/>
      <c r="U22" s="2128"/>
      <c r="V22" s="2128"/>
      <c r="W22" s="2135"/>
    </row>
    <row r="23" spans="1:23" ht="16.5" customHeight="1">
      <c r="A23" s="1126"/>
      <c r="B23" s="1140"/>
      <c r="C23" s="2124" t="s">
        <v>89</v>
      </c>
      <c r="D23" s="2152" t="s">
        <v>361</v>
      </c>
      <c r="I23" s="1141"/>
      <c r="J23" s="2126"/>
      <c r="O23" s="1141"/>
      <c r="P23" s="1141"/>
      <c r="Q23" s="1141"/>
      <c r="R23" s="1141"/>
      <c r="S23" s="1141"/>
      <c r="T23" s="1141"/>
      <c r="V23" s="1141"/>
      <c r="W23" s="1142"/>
    </row>
    <row r="24" spans="1:23" ht="10.5" customHeight="1" thickBot="1">
      <c r="A24" s="1126"/>
      <c r="B24" s="1140"/>
      <c r="C24" s="1154"/>
      <c r="D24" s="2152"/>
      <c r="I24" s="1141"/>
      <c r="J24" s="2126"/>
      <c r="O24" s="1141"/>
      <c r="P24" s="1141"/>
      <c r="Q24" s="1141"/>
      <c r="R24" s="1141"/>
      <c r="S24" s="1141"/>
      <c r="T24" s="1141"/>
      <c r="V24" s="1141"/>
      <c r="W24" s="1142"/>
    </row>
    <row r="25" spans="2:23" s="2126" customFormat="1" ht="21" customHeight="1" thickBot="1" thickTop="1">
      <c r="B25" s="2127"/>
      <c r="C25" s="2153"/>
      <c r="D25" s="1120"/>
      <c r="E25" s="1120"/>
      <c r="F25" s="1120"/>
      <c r="G25" s="1120"/>
      <c r="H25" s="1120"/>
      <c r="I25" s="2154" t="s">
        <v>90</v>
      </c>
      <c r="J25" s="2155">
        <f>+V68*F19</f>
        <v>51666.3238</v>
      </c>
      <c r="L25" s="1120"/>
      <c r="S25" s="1120"/>
      <c r="T25" s="1120"/>
      <c r="U25" s="1120"/>
      <c r="W25" s="2135"/>
    </row>
    <row r="26" spans="2:23" s="2126" customFormat="1" ht="11.25" customHeight="1" thickTop="1">
      <c r="B26" s="2127"/>
      <c r="C26" s="2153"/>
      <c r="D26" s="2128"/>
      <c r="E26" s="2151"/>
      <c r="F26" s="2128"/>
      <c r="G26" s="2128"/>
      <c r="H26" s="2128"/>
      <c r="I26" s="2128"/>
      <c r="J26" s="2128"/>
      <c r="K26" s="2128"/>
      <c r="L26" s="2128"/>
      <c r="M26" s="2128"/>
      <c r="N26" s="2128"/>
      <c r="O26" s="2128"/>
      <c r="P26" s="2128"/>
      <c r="Q26" s="2128"/>
      <c r="R26" s="2128"/>
      <c r="S26" s="2128"/>
      <c r="T26" s="2128"/>
      <c r="U26" s="1120"/>
      <c r="W26" s="2135"/>
    </row>
    <row r="27" spans="1:23" ht="16.5" customHeight="1">
      <c r="A27" s="1126"/>
      <c r="B27" s="1140"/>
      <c r="C27" s="2124" t="s">
        <v>91</v>
      </c>
      <c r="D27" s="2152" t="s">
        <v>323</v>
      </c>
      <c r="E27" s="1186"/>
      <c r="F27" s="1141"/>
      <c r="G27" s="1141"/>
      <c r="H27" s="1141"/>
      <c r="I27" s="1141"/>
      <c r="J27" s="1141"/>
      <c r="K27" s="1141"/>
      <c r="L27" s="1141"/>
      <c r="M27" s="1141"/>
      <c r="N27" s="1141"/>
      <c r="O27" s="1141"/>
      <c r="P27" s="1141"/>
      <c r="Q27" s="1141"/>
      <c r="R27" s="1141"/>
      <c r="S27" s="1141"/>
      <c r="T27" s="1141"/>
      <c r="U27" s="1141"/>
      <c r="V27" s="1141"/>
      <c r="W27" s="1142"/>
    </row>
    <row r="28" spans="1:23" ht="13.5" customHeight="1" thickBot="1">
      <c r="A28" s="2126"/>
      <c r="B28" s="1140"/>
      <c r="C28" s="2153"/>
      <c r="D28" s="2153"/>
      <c r="E28" s="2156"/>
      <c r="F28" s="2151"/>
      <c r="G28" s="2157"/>
      <c r="H28" s="2157"/>
      <c r="I28" s="2158"/>
      <c r="J28" s="2158"/>
      <c r="K28" s="2158"/>
      <c r="L28" s="2158"/>
      <c r="M28" s="2158"/>
      <c r="N28" s="2158"/>
      <c r="O28" s="2159"/>
      <c r="P28" s="2158"/>
      <c r="Q28" s="2158"/>
      <c r="R28" s="2160"/>
      <c r="S28" s="2161"/>
      <c r="T28" s="2162"/>
      <c r="U28" s="2162"/>
      <c r="V28" s="2162"/>
      <c r="W28" s="2163"/>
    </row>
    <row r="29" spans="1:26" s="1126" customFormat="1" ht="33.75" customHeight="1" thickBot="1" thickTop="1">
      <c r="A29" s="1125"/>
      <c r="B29" s="1197"/>
      <c r="C29" s="1227" t="s">
        <v>25</v>
      </c>
      <c r="D29" s="1228" t="s">
        <v>54</v>
      </c>
      <c r="E29" s="1229" t="s">
        <v>55</v>
      </c>
      <c r="F29" s="1230" t="s">
        <v>56</v>
      </c>
      <c r="G29" s="1231" t="s">
        <v>28</v>
      </c>
      <c r="H29" s="1232" t="s">
        <v>32</v>
      </c>
      <c r="I29" s="1229" t="s">
        <v>33</v>
      </c>
      <c r="J29" s="1229" t="s">
        <v>34</v>
      </c>
      <c r="K29" s="1228" t="s">
        <v>57</v>
      </c>
      <c r="L29" s="1228" t="s">
        <v>36</v>
      </c>
      <c r="M29" s="1162" t="s">
        <v>104</v>
      </c>
      <c r="N29" s="1229" t="s">
        <v>39</v>
      </c>
      <c r="O29" s="2164" t="s">
        <v>58</v>
      </c>
      <c r="P29" s="1232" t="s">
        <v>106</v>
      </c>
      <c r="Q29" s="2165" t="s">
        <v>40</v>
      </c>
      <c r="R29" s="2166" t="s">
        <v>107</v>
      </c>
      <c r="S29" s="2167"/>
      <c r="T29" s="2168" t="s">
        <v>44</v>
      </c>
      <c r="U29" s="1165" t="s">
        <v>46</v>
      </c>
      <c r="V29" s="1231" t="s">
        <v>47</v>
      </c>
      <c r="W29" s="1142"/>
      <c r="Y29" s="1120"/>
      <c r="Z29" s="1120"/>
    </row>
    <row r="30" spans="1:23" ht="16.5" customHeight="1" thickTop="1">
      <c r="A30" s="1126"/>
      <c r="B30" s="1140"/>
      <c r="C30" s="1167"/>
      <c r="D30" s="1167"/>
      <c r="E30" s="1167"/>
      <c r="F30" s="1167"/>
      <c r="G30" s="2169"/>
      <c r="H30" s="2170"/>
      <c r="I30" s="1167"/>
      <c r="J30" s="1167"/>
      <c r="K30" s="1167"/>
      <c r="L30" s="1167"/>
      <c r="M30" s="1167"/>
      <c r="N30" s="2171"/>
      <c r="O30" s="2172"/>
      <c r="P30" s="2173"/>
      <c r="Q30" s="2174"/>
      <c r="R30" s="2175"/>
      <c r="S30" s="2176"/>
      <c r="T30" s="2177"/>
      <c r="U30" s="2171"/>
      <c r="V30" s="2178"/>
      <c r="W30" s="1142"/>
    </row>
    <row r="31" spans="1:23" ht="16.5" customHeight="1">
      <c r="A31" s="1126"/>
      <c r="B31" s="1140"/>
      <c r="C31" s="895" t="s">
        <v>95</v>
      </c>
      <c r="D31" s="1549" t="s">
        <v>347</v>
      </c>
      <c r="E31" s="1550" t="s">
        <v>341</v>
      </c>
      <c r="F31" s="1551">
        <v>300</v>
      </c>
      <c r="G31" s="1552" t="s">
        <v>149</v>
      </c>
      <c r="H31" s="2179">
        <f>F31*$F$21</f>
        <v>417.3</v>
      </c>
      <c r="I31" s="2180">
        <v>42340.379166666666</v>
      </c>
      <c r="J31" s="2180">
        <v>42340.71805555555</v>
      </c>
      <c r="K31" s="2181">
        <f aca="true" t="shared" si="0" ref="K31:K37">IF(D31="","",(J31-I31)*24)</f>
        <v>8.13333333330229</v>
      </c>
      <c r="L31" s="2182">
        <f aca="true" t="shared" si="1" ref="L31:L37">IF(D31="","",(J31-I31)*24*60)</f>
        <v>487.99999999813735</v>
      </c>
      <c r="M31" s="2183" t="s">
        <v>332</v>
      </c>
      <c r="N31" s="2184" t="str">
        <f aca="true" t="shared" si="2" ref="N31:N37">IF(D31="","",IF(OR(M31="P",M31="RP"),"--","NO"))</f>
        <v>--</v>
      </c>
      <c r="O31" s="2185" t="str">
        <f aca="true" t="shared" si="3" ref="O31:O37">IF(D31="","","NO")</f>
        <v>NO</v>
      </c>
      <c r="P31" s="2186">
        <f aca="true" t="shared" si="4" ref="P31:P37">200*IF(O31="SI",1,0.1)*IF(M31="P",0.1,1)</f>
        <v>2</v>
      </c>
      <c r="Q31" s="2187">
        <f aca="true" t="shared" si="5" ref="Q31:Q37">IF(M31="P",H31*P31*ROUND(L31/60,2),"--")</f>
        <v>6785.298000000001</v>
      </c>
      <c r="R31" s="2188" t="str">
        <f aca="true" t="shared" si="6" ref="R31:R37">IF(AND(M31="F",N31="NO"),H31*P31,"--")</f>
        <v>--</v>
      </c>
      <c r="S31" s="2189" t="str">
        <f aca="true" t="shared" si="7" ref="S31:S37">IF(M31="F",H31*P31*ROUND(L31/60,2),"--")</f>
        <v>--</v>
      </c>
      <c r="T31" s="2190" t="str">
        <f aca="true" t="shared" si="8" ref="T31:T37">IF(M31="RF",H31*P31*ROUND(L31/60,2),"--")</f>
        <v>--</v>
      </c>
      <c r="U31" s="2191" t="str">
        <f aca="true" t="shared" si="9" ref="U31:U37">IF(D31="","","SI")</f>
        <v>SI</v>
      </c>
      <c r="V31" s="2192">
        <f aca="true" t="shared" si="10" ref="V31:V37">IF(D31="","",SUM(Q31:T31)*IF(U31="SI",1,2))</f>
        <v>6785.298000000001</v>
      </c>
      <c r="W31" s="2163"/>
    </row>
    <row r="32" spans="1:23" ht="16.5" customHeight="1">
      <c r="A32" s="1126"/>
      <c r="B32" s="1140"/>
      <c r="C32" s="895" t="s">
        <v>96</v>
      </c>
      <c r="D32" s="1549" t="s">
        <v>344</v>
      </c>
      <c r="E32" s="1550" t="s">
        <v>367</v>
      </c>
      <c r="F32" s="1551">
        <v>300</v>
      </c>
      <c r="G32" s="1552" t="s">
        <v>149</v>
      </c>
      <c r="H32" s="2179">
        <f aca="true" t="shared" si="11" ref="H32:H37">F32*$F$21</f>
        <v>417.3</v>
      </c>
      <c r="I32" s="2180">
        <v>42361.472916666666</v>
      </c>
      <c r="J32" s="2180">
        <v>42361.54236111111</v>
      </c>
      <c r="K32" s="2181">
        <f t="shared" si="0"/>
        <v>1.6666666666860692</v>
      </c>
      <c r="L32" s="2182">
        <f t="shared" si="1"/>
        <v>100.00000000116415</v>
      </c>
      <c r="M32" s="2183" t="s">
        <v>335</v>
      </c>
      <c r="N32" s="2184" t="str">
        <f t="shared" si="2"/>
        <v>NO</v>
      </c>
      <c r="O32" s="2185" t="str">
        <f t="shared" si="3"/>
        <v>NO</v>
      </c>
      <c r="P32" s="2186">
        <f t="shared" si="4"/>
        <v>20</v>
      </c>
      <c r="Q32" s="2187" t="str">
        <f t="shared" si="5"/>
        <v>--</v>
      </c>
      <c r="R32" s="2188">
        <f t="shared" si="6"/>
        <v>8346</v>
      </c>
      <c r="S32" s="2189">
        <f t="shared" si="7"/>
        <v>13937.82</v>
      </c>
      <c r="T32" s="2190" t="str">
        <f t="shared" si="8"/>
        <v>--</v>
      </c>
      <c r="U32" s="2191" t="str">
        <f t="shared" si="9"/>
        <v>SI</v>
      </c>
      <c r="V32" s="2192">
        <f t="shared" si="10"/>
        <v>22283.82</v>
      </c>
      <c r="W32" s="2163"/>
    </row>
    <row r="33" spans="1:23" ht="16.5" customHeight="1">
      <c r="A33" s="1126"/>
      <c r="B33" s="1140"/>
      <c r="C33" s="895" t="s">
        <v>97</v>
      </c>
      <c r="D33" s="1549"/>
      <c r="E33" s="1550"/>
      <c r="F33" s="1551"/>
      <c r="G33" s="1551"/>
      <c r="H33" s="2179">
        <f t="shared" si="11"/>
        <v>0</v>
      </c>
      <c r="I33" s="2180"/>
      <c r="J33" s="2180"/>
      <c r="K33" s="2181">
        <f t="shared" si="0"/>
      </c>
      <c r="L33" s="2182">
        <f t="shared" si="1"/>
      </c>
      <c r="M33" s="2183"/>
      <c r="N33" s="2184">
        <f t="shared" si="2"/>
      </c>
      <c r="O33" s="2185">
        <f t="shared" si="3"/>
      </c>
      <c r="P33" s="2186">
        <f t="shared" si="4"/>
        <v>20</v>
      </c>
      <c r="Q33" s="2187" t="str">
        <f t="shared" si="5"/>
        <v>--</v>
      </c>
      <c r="R33" s="2188" t="str">
        <f t="shared" si="6"/>
        <v>--</v>
      </c>
      <c r="S33" s="2189" t="str">
        <f t="shared" si="7"/>
        <v>--</v>
      </c>
      <c r="T33" s="2190" t="str">
        <f t="shared" si="8"/>
        <v>--</v>
      </c>
      <c r="U33" s="2191">
        <f t="shared" si="9"/>
      </c>
      <c r="V33" s="2192">
        <f t="shared" si="10"/>
      </c>
      <c r="W33" s="2163"/>
    </row>
    <row r="34" spans="1:23" ht="16.5" customHeight="1">
      <c r="A34" s="1126"/>
      <c r="B34" s="1140"/>
      <c r="C34" s="895" t="s">
        <v>98</v>
      </c>
      <c r="D34" s="2193"/>
      <c r="E34" s="1550"/>
      <c r="F34" s="1551"/>
      <c r="G34" s="1551"/>
      <c r="H34" s="2179">
        <f t="shared" si="11"/>
        <v>0</v>
      </c>
      <c r="I34" s="2194"/>
      <c r="J34" s="2194"/>
      <c r="K34" s="2181">
        <f t="shared" si="0"/>
      </c>
      <c r="L34" s="2182">
        <f t="shared" si="1"/>
      </c>
      <c r="M34" s="2183"/>
      <c r="N34" s="2184">
        <f t="shared" si="2"/>
      </c>
      <c r="O34" s="2185">
        <f t="shared" si="3"/>
      </c>
      <c r="P34" s="2186">
        <f t="shared" si="4"/>
        <v>20</v>
      </c>
      <c r="Q34" s="2187" t="str">
        <f t="shared" si="5"/>
        <v>--</v>
      </c>
      <c r="R34" s="2188" t="str">
        <f t="shared" si="6"/>
        <v>--</v>
      </c>
      <c r="S34" s="2189" t="str">
        <f t="shared" si="7"/>
        <v>--</v>
      </c>
      <c r="T34" s="2190" t="str">
        <f t="shared" si="8"/>
        <v>--</v>
      </c>
      <c r="U34" s="2191">
        <f t="shared" si="9"/>
      </c>
      <c r="V34" s="2192">
        <f t="shared" si="10"/>
      </c>
      <c r="W34" s="2163"/>
    </row>
    <row r="35" spans="1:23" ht="16.5" customHeight="1">
      <c r="A35" s="1126"/>
      <c r="B35" s="1140"/>
      <c r="C35" s="895" t="s">
        <v>99</v>
      </c>
      <c r="D35" s="2193"/>
      <c r="E35" s="1550"/>
      <c r="F35" s="1551"/>
      <c r="G35" s="1551"/>
      <c r="H35" s="2179">
        <f t="shared" si="11"/>
        <v>0</v>
      </c>
      <c r="I35" s="2194"/>
      <c r="J35" s="2194"/>
      <c r="K35" s="2181">
        <f t="shared" si="0"/>
      </c>
      <c r="L35" s="2182">
        <f t="shared" si="1"/>
      </c>
      <c r="M35" s="2183"/>
      <c r="N35" s="2184">
        <f t="shared" si="2"/>
      </c>
      <c r="O35" s="2185">
        <f t="shared" si="3"/>
      </c>
      <c r="P35" s="2186">
        <f t="shared" si="4"/>
        <v>20</v>
      </c>
      <c r="Q35" s="2187" t="str">
        <f t="shared" si="5"/>
        <v>--</v>
      </c>
      <c r="R35" s="2188" t="str">
        <f t="shared" si="6"/>
        <v>--</v>
      </c>
      <c r="S35" s="2189" t="str">
        <f t="shared" si="7"/>
        <v>--</v>
      </c>
      <c r="T35" s="2190" t="str">
        <f t="shared" si="8"/>
        <v>--</v>
      </c>
      <c r="U35" s="2191">
        <f t="shared" si="9"/>
      </c>
      <c r="V35" s="2192">
        <f t="shared" si="10"/>
      </c>
      <c r="W35" s="2163"/>
    </row>
    <row r="36" spans="1:23" ht="16.5" customHeight="1">
      <c r="A36" s="1126"/>
      <c r="B36" s="1140"/>
      <c r="C36" s="895" t="s">
        <v>100</v>
      </c>
      <c r="D36" s="2193"/>
      <c r="E36" s="1550"/>
      <c r="F36" s="1551"/>
      <c r="G36" s="1551"/>
      <c r="H36" s="2179">
        <f t="shared" si="11"/>
        <v>0</v>
      </c>
      <c r="I36" s="2194"/>
      <c r="J36" s="2194"/>
      <c r="K36" s="2181">
        <f t="shared" si="0"/>
      </c>
      <c r="L36" s="2182">
        <f t="shared" si="1"/>
      </c>
      <c r="M36" s="2183"/>
      <c r="N36" s="2184">
        <f t="shared" si="2"/>
      </c>
      <c r="O36" s="2185">
        <f t="shared" si="3"/>
      </c>
      <c r="P36" s="2186">
        <f t="shared" si="4"/>
        <v>20</v>
      </c>
      <c r="Q36" s="2187" t="str">
        <f t="shared" si="5"/>
        <v>--</v>
      </c>
      <c r="R36" s="2188" t="str">
        <f t="shared" si="6"/>
        <v>--</v>
      </c>
      <c r="S36" s="2189" t="str">
        <f t="shared" si="7"/>
        <v>--</v>
      </c>
      <c r="T36" s="2190" t="str">
        <f t="shared" si="8"/>
        <v>--</v>
      </c>
      <c r="U36" s="2191">
        <f t="shared" si="9"/>
      </c>
      <c r="V36" s="2192">
        <f t="shared" si="10"/>
      </c>
      <c r="W36" s="2163"/>
    </row>
    <row r="37" spans="1:23" ht="16.5" customHeight="1">
      <c r="A37" s="1126"/>
      <c r="B37" s="1140"/>
      <c r="C37" s="967" t="s">
        <v>101</v>
      </c>
      <c r="D37" s="2195"/>
      <c r="E37" s="1550"/>
      <c r="F37" s="1551"/>
      <c r="G37" s="1551"/>
      <c r="H37" s="2179">
        <f t="shared" si="11"/>
        <v>0</v>
      </c>
      <c r="I37" s="2196"/>
      <c r="J37" s="2196"/>
      <c r="K37" s="2181">
        <f t="shared" si="0"/>
      </c>
      <c r="L37" s="2182">
        <f t="shared" si="1"/>
      </c>
      <c r="M37" s="2197"/>
      <c r="N37" s="2184">
        <f t="shared" si="2"/>
      </c>
      <c r="O37" s="2185">
        <f t="shared" si="3"/>
      </c>
      <c r="P37" s="2186">
        <f t="shared" si="4"/>
        <v>20</v>
      </c>
      <c r="Q37" s="2187" t="str">
        <f t="shared" si="5"/>
        <v>--</v>
      </c>
      <c r="R37" s="2188" t="str">
        <f t="shared" si="6"/>
        <v>--</v>
      </c>
      <c r="S37" s="2189" t="str">
        <f t="shared" si="7"/>
        <v>--</v>
      </c>
      <c r="T37" s="2190" t="str">
        <f t="shared" si="8"/>
        <v>--</v>
      </c>
      <c r="U37" s="2191">
        <f t="shared" si="9"/>
      </c>
      <c r="V37" s="2192">
        <f t="shared" si="10"/>
      </c>
      <c r="W37" s="2163"/>
    </row>
    <row r="38" spans="1:23" ht="16.5" customHeight="1" thickBot="1">
      <c r="A38" s="2126"/>
      <c r="B38" s="1140"/>
      <c r="C38" s="2198"/>
      <c r="D38" s="2199"/>
      <c r="E38" s="2200"/>
      <c r="F38" s="2201"/>
      <c r="G38" s="2201"/>
      <c r="H38" s="2202"/>
      <c r="I38" s="2203"/>
      <c r="J38" s="2204"/>
      <c r="K38" s="2205"/>
      <c r="L38" s="2206"/>
      <c r="M38" s="2207"/>
      <c r="N38" s="1182"/>
      <c r="O38" s="2208"/>
      <c r="P38" s="2209"/>
      <c r="Q38" s="2210"/>
      <c r="R38" s="2211"/>
      <c r="S38" s="2212"/>
      <c r="T38" s="2213"/>
      <c r="U38" s="2214"/>
      <c r="V38" s="2215"/>
      <c r="W38" s="2163"/>
    </row>
    <row r="39" spans="1:23" ht="16.5" customHeight="1" thickBot="1" thickTop="1">
      <c r="A39" s="2126"/>
      <c r="B39" s="1140"/>
      <c r="C39" s="1211"/>
      <c r="D39" s="1186"/>
      <c r="E39" s="1186"/>
      <c r="F39" s="2216"/>
      <c r="G39" s="2217"/>
      <c r="H39" s="2218"/>
      <c r="I39" s="2219"/>
      <c r="J39" s="2220"/>
      <c r="K39" s="2221"/>
      <c r="L39" s="2222"/>
      <c r="M39" s="2218"/>
      <c r="N39" s="2223"/>
      <c r="O39" s="1187"/>
      <c r="P39" s="2224"/>
      <c r="Q39" s="2225"/>
      <c r="R39" s="2226"/>
      <c r="S39" s="2226"/>
      <c r="T39" s="2226"/>
      <c r="U39" s="2227"/>
      <c r="V39" s="2228">
        <f>SUM(V30:V38)</f>
        <v>29069.118000000002</v>
      </c>
      <c r="W39" s="2163"/>
    </row>
    <row r="40" spans="1:23" ht="16.5" customHeight="1" thickBot="1" thickTop="1">
      <c r="A40" s="2126"/>
      <c r="B40" s="1140"/>
      <c r="C40" s="1211"/>
      <c r="D40" s="1186"/>
      <c r="E40" s="1186"/>
      <c r="F40" s="2216"/>
      <c r="G40" s="2217"/>
      <c r="H40" s="2218"/>
      <c r="I40" s="2219"/>
      <c r="L40" s="2222"/>
      <c r="M40" s="2218"/>
      <c r="N40" s="2229"/>
      <c r="O40" s="2230"/>
      <c r="P40" s="2224"/>
      <c r="Q40" s="2225"/>
      <c r="R40" s="2226"/>
      <c r="S40" s="2226"/>
      <c r="T40" s="2226"/>
      <c r="U40" s="2227"/>
      <c r="V40" s="2227"/>
      <c r="W40" s="2163"/>
    </row>
    <row r="41" spans="2:23" s="1126" customFormat="1" ht="33.75" customHeight="1" thickBot="1" thickTop="1">
      <c r="B41" s="1140"/>
      <c r="C41" s="1157" t="s">
        <v>25</v>
      </c>
      <c r="D41" s="1159" t="s">
        <v>54</v>
      </c>
      <c r="E41" s="2947" t="s">
        <v>55</v>
      </c>
      <c r="F41" s="2948"/>
      <c r="G41" s="1165" t="s">
        <v>28</v>
      </c>
      <c r="H41" s="1232" t="s">
        <v>32</v>
      </c>
      <c r="I41" s="1158" t="s">
        <v>33</v>
      </c>
      <c r="J41" s="2231" t="s">
        <v>34</v>
      </c>
      <c r="K41" s="2232" t="s">
        <v>35</v>
      </c>
      <c r="L41" s="2232" t="s">
        <v>36</v>
      </c>
      <c r="M41" s="1162" t="s">
        <v>321</v>
      </c>
      <c r="N41" s="2947" t="s">
        <v>39</v>
      </c>
      <c r="O41" s="2949"/>
      <c r="P41" s="2233" t="s">
        <v>31</v>
      </c>
      <c r="Q41" s="2234" t="s">
        <v>68</v>
      </c>
      <c r="R41" s="2235" t="s">
        <v>69</v>
      </c>
      <c r="S41" s="2236"/>
      <c r="T41" s="2237" t="s">
        <v>44</v>
      </c>
      <c r="U41" s="1165" t="s">
        <v>46</v>
      </c>
      <c r="V41" s="1231" t="s">
        <v>47</v>
      </c>
      <c r="W41" s="2238"/>
    </row>
    <row r="42" spans="2:23" s="1126" customFormat="1" ht="16.5" customHeight="1" thickTop="1">
      <c r="B42" s="1140"/>
      <c r="C42" s="2239"/>
      <c r="D42" s="2240"/>
      <c r="E42" s="2950"/>
      <c r="F42" s="2951"/>
      <c r="G42" s="2240"/>
      <c r="H42" s="2241"/>
      <c r="I42" s="2240"/>
      <c r="J42" s="2240"/>
      <c r="K42" s="2240"/>
      <c r="L42" s="2240"/>
      <c r="M42" s="2240"/>
      <c r="N42" s="2952"/>
      <c r="O42" s="2953"/>
      <c r="P42" s="2242"/>
      <c r="Q42" s="2243"/>
      <c r="R42" s="2244"/>
      <c r="S42" s="2245"/>
      <c r="T42" s="2190"/>
      <c r="U42" s="2240"/>
      <c r="V42" s="2246"/>
      <c r="W42" s="2238"/>
    </row>
    <row r="43" spans="2:23" s="1126" customFormat="1" ht="16.5" customHeight="1">
      <c r="B43" s="1140"/>
      <c r="C43" s="895" t="s">
        <v>95</v>
      </c>
      <c r="D43" s="464" t="s">
        <v>347</v>
      </c>
      <c r="E43" s="2942" t="s">
        <v>419</v>
      </c>
      <c r="F43" s="2868"/>
      <c r="G43" s="465">
        <v>132</v>
      </c>
      <c r="H43" s="2248">
        <f aca="true" t="shared" si="12" ref="H43:H51">IF(G43=500,$M$19,IF(G43=220,$M$20,$M$21))</f>
        <v>220.831</v>
      </c>
      <c r="I43" s="467">
        <v>42353.365277777775</v>
      </c>
      <c r="J43" s="468">
        <v>42353.61944444444</v>
      </c>
      <c r="K43" s="2250">
        <f>IF(D43="","",(J43-I43)*24)</f>
        <v>6.099999999976717</v>
      </c>
      <c r="L43" s="2251">
        <f>IF(D43="","",ROUND((J43-I43)*24*60,0))</f>
        <v>366</v>
      </c>
      <c r="M43" s="564" t="s">
        <v>332</v>
      </c>
      <c r="N43" s="2943" t="str">
        <f aca="true" t="shared" si="13" ref="N43:N51">IF(D43="","",IF(OR(M43="P",M43="RP"),"--","NO"))</f>
        <v>--</v>
      </c>
      <c r="O43" s="2944"/>
      <c r="P43" s="2252">
        <f aca="true" t="shared" si="14" ref="P43:P51">IF(G43=500,$N$19,IF(G43=220,$N$20,$N$21))</f>
        <v>40</v>
      </c>
      <c r="Q43" s="2253">
        <f aca="true" t="shared" si="15" ref="Q43:Q51">IF(M43="P",H43*P43*ROUND(L43/60,2)*0.1,"--")</f>
        <v>5388.2764</v>
      </c>
      <c r="R43" s="2244" t="str">
        <f aca="true" t="shared" si="16" ref="R43:R51">IF(AND(M43="F",N43="NO"),H43*P43,"--")</f>
        <v>--</v>
      </c>
      <c r="S43" s="2245" t="str">
        <f aca="true" t="shared" si="17" ref="S43:S51">IF(M43="F",H43*P43*ROUND(L43/60,2),"--")</f>
        <v>--</v>
      </c>
      <c r="T43" s="2190" t="str">
        <f aca="true" t="shared" si="18" ref="T43:T51">IF(M43="RF",H43*P43*ROUND(L43/60,2),"--")</f>
        <v>--</v>
      </c>
      <c r="U43" s="2254" t="str">
        <f aca="true" t="shared" si="19" ref="U43:U51">IF(D43="","","SI")</f>
        <v>SI</v>
      </c>
      <c r="V43" s="2255">
        <f aca="true" t="shared" si="20" ref="V43:V51">IF(D43="","",SUM(Q43:T43)*IF(U43="SI",1,2))</f>
        <v>5388.2764</v>
      </c>
      <c r="W43" s="2238"/>
    </row>
    <row r="44" spans="2:23" s="1126" customFormat="1" ht="16.5" customHeight="1">
      <c r="B44" s="1140"/>
      <c r="C44" s="895" t="s">
        <v>96</v>
      </c>
      <c r="D44" s="464" t="s">
        <v>344</v>
      </c>
      <c r="E44" s="2942" t="s">
        <v>420</v>
      </c>
      <c r="F44" s="2868"/>
      <c r="G44" s="465">
        <v>500</v>
      </c>
      <c r="H44" s="2248">
        <f t="shared" si="12"/>
        <v>276.033</v>
      </c>
      <c r="I44" s="467">
        <v>42353.385416666664</v>
      </c>
      <c r="J44" s="468">
        <v>42353.73888888889</v>
      </c>
      <c r="K44" s="2250">
        <f aca="true" t="shared" si="21" ref="K44:K51">IF(D44="","",(J44-I44)*24)</f>
        <v>8.483333333395422</v>
      </c>
      <c r="L44" s="2251">
        <f aca="true" t="shared" si="22" ref="L44:L51">IF(D44="","",ROUND((J44-I44)*24*60,0))</f>
        <v>509</v>
      </c>
      <c r="M44" s="564" t="s">
        <v>332</v>
      </c>
      <c r="N44" s="2943" t="str">
        <f t="shared" si="13"/>
        <v>--</v>
      </c>
      <c r="O44" s="2944"/>
      <c r="P44" s="2252">
        <f t="shared" si="14"/>
        <v>200</v>
      </c>
      <c r="Q44" s="2253">
        <f t="shared" si="15"/>
        <v>46815.196800000005</v>
      </c>
      <c r="R44" s="2244" t="str">
        <f t="shared" si="16"/>
        <v>--</v>
      </c>
      <c r="S44" s="2245" t="str">
        <f t="shared" si="17"/>
        <v>--</v>
      </c>
      <c r="T44" s="2190" t="str">
        <f t="shared" si="18"/>
        <v>--</v>
      </c>
      <c r="U44" s="2254" t="str">
        <f t="shared" si="19"/>
        <v>SI</v>
      </c>
      <c r="V44" s="2255">
        <f t="shared" si="20"/>
        <v>46815.196800000005</v>
      </c>
      <c r="W44" s="2238"/>
    </row>
    <row r="45" spans="2:23" s="1126" customFormat="1" ht="16.5" customHeight="1">
      <c r="B45" s="1140"/>
      <c r="C45" s="895" t="s">
        <v>97</v>
      </c>
      <c r="D45" s="464" t="s">
        <v>344</v>
      </c>
      <c r="E45" s="2942" t="s">
        <v>421</v>
      </c>
      <c r="F45" s="2868"/>
      <c r="G45" s="465">
        <v>500</v>
      </c>
      <c r="H45" s="2248">
        <f t="shared" si="12"/>
        <v>276.033</v>
      </c>
      <c r="I45" s="467">
        <v>42357.36597222222</v>
      </c>
      <c r="J45" s="468">
        <v>42357.65625</v>
      </c>
      <c r="K45" s="2250">
        <f t="shared" si="21"/>
        <v>6.966666666674428</v>
      </c>
      <c r="L45" s="2251">
        <f t="shared" si="22"/>
        <v>418</v>
      </c>
      <c r="M45" s="564" t="s">
        <v>332</v>
      </c>
      <c r="N45" s="2943" t="str">
        <f t="shared" si="13"/>
        <v>--</v>
      </c>
      <c r="O45" s="2944"/>
      <c r="P45" s="2252">
        <f t="shared" si="14"/>
        <v>200</v>
      </c>
      <c r="Q45" s="2253">
        <f t="shared" si="15"/>
        <v>38479.0002</v>
      </c>
      <c r="R45" s="2244" t="str">
        <f t="shared" si="16"/>
        <v>--</v>
      </c>
      <c r="S45" s="2245" t="str">
        <f t="shared" si="17"/>
        <v>--</v>
      </c>
      <c r="T45" s="2190" t="str">
        <f t="shared" si="18"/>
        <v>--</v>
      </c>
      <c r="U45" s="2254" t="str">
        <f t="shared" si="19"/>
        <v>SI</v>
      </c>
      <c r="V45" s="2255">
        <f t="shared" si="20"/>
        <v>38479.0002</v>
      </c>
      <c r="W45" s="2238"/>
    </row>
    <row r="46" spans="2:23" s="1126" customFormat="1" ht="16.5" customHeight="1">
      <c r="B46" s="1140"/>
      <c r="C46" s="895" t="s">
        <v>98</v>
      </c>
      <c r="D46" s="464" t="s">
        <v>347</v>
      </c>
      <c r="E46" s="2942" t="s">
        <v>422</v>
      </c>
      <c r="F46" s="2868"/>
      <c r="G46" s="465">
        <v>132</v>
      </c>
      <c r="H46" s="2248">
        <f t="shared" si="12"/>
        <v>220.831</v>
      </c>
      <c r="I46" s="467">
        <v>42361.36111111111</v>
      </c>
      <c r="J46" s="468">
        <v>42361.4</v>
      </c>
      <c r="K46" s="2250">
        <f t="shared" si="21"/>
        <v>0.933333333407063</v>
      </c>
      <c r="L46" s="2251">
        <f t="shared" si="22"/>
        <v>56</v>
      </c>
      <c r="M46" s="564" t="s">
        <v>332</v>
      </c>
      <c r="N46" s="2943" t="str">
        <f t="shared" si="13"/>
        <v>--</v>
      </c>
      <c r="O46" s="2944"/>
      <c r="P46" s="2252">
        <f t="shared" si="14"/>
        <v>40</v>
      </c>
      <c r="Q46" s="2253">
        <f t="shared" si="15"/>
        <v>821.4913200000001</v>
      </c>
      <c r="R46" s="2244" t="str">
        <f t="shared" si="16"/>
        <v>--</v>
      </c>
      <c r="S46" s="2245" t="str">
        <f t="shared" si="17"/>
        <v>--</v>
      </c>
      <c r="T46" s="2190" t="str">
        <f t="shared" si="18"/>
        <v>--</v>
      </c>
      <c r="U46" s="2254" t="str">
        <f t="shared" si="19"/>
        <v>SI</v>
      </c>
      <c r="V46" s="2255">
        <f t="shared" si="20"/>
        <v>821.4913200000001</v>
      </c>
      <c r="W46" s="2238"/>
    </row>
    <row r="47" spans="2:23" s="1126" customFormat="1" ht="16.5" customHeight="1">
      <c r="B47" s="1140"/>
      <c r="C47" s="895" t="s">
        <v>99</v>
      </c>
      <c r="D47" s="464" t="s">
        <v>347</v>
      </c>
      <c r="E47" s="2942" t="s">
        <v>423</v>
      </c>
      <c r="F47" s="2868"/>
      <c r="G47" s="465">
        <v>132</v>
      </c>
      <c r="H47" s="2248">
        <f t="shared" si="12"/>
        <v>220.831</v>
      </c>
      <c r="I47" s="467">
        <v>42361.407638888886</v>
      </c>
      <c r="J47" s="468">
        <v>42361.52361111111</v>
      </c>
      <c r="K47" s="2250">
        <f t="shared" si="21"/>
        <v>2.7833333333255723</v>
      </c>
      <c r="L47" s="2251">
        <f t="shared" si="22"/>
        <v>167</v>
      </c>
      <c r="M47" s="564" t="s">
        <v>332</v>
      </c>
      <c r="N47" s="2943" t="str">
        <f t="shared" si="13"/>
        <v>--</v>
      </c>
      <c r="O47" s="2944"/>
      <c r="P47" s="2252">
        <f t="shared" si="14"/>
        <v>40</v>
      </c>
      <c r="Q47" s="2253">
        <f t="shared" si="15"/>
        <v>2455.64072</v>
      </c>
      <c r="R47" s="2244" t="str">
        <f t="shared" si="16"/>
        <v>--</v>
      </c>
      <c r="S47" s="2245" t="str">
        <f t="shared" si="17"/>
        <v>--</v>
      </c>
      <c r="T47" s="2190" t="str">
        <f t="shared" si="18"/>
        <v>--</v>
      </c>
      <c r="U47" s="2254" t="str">
        <f t="shared" si="19"/>
        <v>SI</v>
      </c>
      <c r="V47" s="2255">
        <f t="shared" si="20"/>
        <v>2455.64072</v>
      </c>
      <c r="W47" s="2238"/>
    </row>
    <row r="48" spans="2:23" s="1126" customFormat="1" ht="16.5" customHeight="1">
      <c r="B48" s="1140"/>
      <c r="C48" s="895" t="s">
        <v>100</v>
      </c>
      <c r="D48" s="464" t="s">
        <v>347</v>
      </c>
      <c r="E48" s="2942" t="s">
        <v>423</v>
      </c>
      <c r="F48" s="2868"/>
      <c r="G48" s="465">
        <v>132</v>
      </c>
      <c r="H48" s="2248">
        <f t="shared" si="12"/>
        <v>220.831</v>
      </c>
      <c r="I48" s="467">
        <v>42368.41180555556</v>
      </c>
      <c r="J48" s="468">
        <v>42368.600694444445</v>
      </c>
      <c r="K48" s="2250">
        <f t="shared" si="21"/>
        <v>4.533333333267365</v>
      </c>
      <c r="L48" s="2251">
        <f t="shared" si="22"/>
        <v>272</v>
      </c>
      <c r="M48" s="564" t="s">
        <v>332</v>
      </c>
      <c r="N48" s="2943" t="str">
        <f t="shared" si="13"/>
        <v>--</v>
      </c>
      <c r="O48" s="2944"/>
      <c r="P48" s="2252">
        <f t="shared" si="14"/>
        <v>40</v>
      </c>
      <c r="Q48" s="2253">
        <f t="shared" si="15"/>
        <v>4001.4577200000003</v>
      </c>
      <c r="R48" s="2244" t="str">
        <f t="shared" si="16"/>
        <v>--</v>
      </c>
      <c r="S48" s="2245" t="str">
        <f t="shared" si="17"/>
        <v>--</v>
      </c>
      <c r="T48" s="2190" t="str">
        <f t="shared" si="18"/>
        <v>--</v>
      </c>
      <c r="U48" s="2254" t="str">
        <f t="shared" si="19"/>
        <v>SI</v>
      </c>
      <c r="V48" s="2255">
        <f t="shared" si="20"/>
        <v>4001.4577200000003</v>
      </c>
      <c r="W48" s="2238"/>
    </row>
    <row r="49" spans="2:23" s="1126" customFormat="1" ht="16.5" customHeight="1">
      <c r="B49" s="1140"/>
      <c r="C49" s="895" t="s">
        <v>101</v>
      </c>
      <c r="D49" s="456"/>
      <c r="E49" s="2945"/>
      <c r="F49" s="2946"/>
      <c r="G49" s="568"/>
      <c r="H49" s="2248">
        <f t="shared" si="12"/>
        <v>220.831</v>
      </c>
      <c r="I49" s="569"/>
      <c r="J49" s="570"/>
      <c r="K49" s="2250">
        <f t="shared" si="21"/>
      </c>
      <c r="L49" s="2251">
        <f t="shared" si="22"/>
      </c>
      <c r="M49" s="564"/>
      <c r="N49" s="2943">
        <f>IF(D49="","",IF(OR(M49="P",M49="RP"),"--","NO"))</f>
      </c>
      <c r="O49" s="2944"/>
      <c r="P49" s="2252">
        <f>IF(G49=500,$N$19,IF(G49=220,$N$20,$N$21))</f>
        <v>40</v>
      </c>
      <c r="Q49" s="2253" t="str">
        <f>IF(M49="P",H49*P49*ROUND(L49/60,2)*0.1,"--")</f>
        <v>--</v>
      </c>
      <c r="R49" s="2244" t="str">
        <f>IF(AND(M49="F",N49="NO"),H49*P49,"--")</f>
        <v>--</v>
      </c>
      <c r="S49" s="2245" t="str">
        <f>IF(M49="F",H49*P49*ROUND(L49/60,2),"--")</f>
        <v>--</v>
      </c>
      <c r="T49" s="2190" t="str">
        <f>IF(M49="RF",H49*P49*ROUND(L49/60,2),"--")</f>
        <v>--</v>
      </c>
      <c r="U49" s="2254">
        <f>IF(D49="","","SI")</f>
      </c>
      <c r="V49" s="2255">
        <f>IF(D49="","",SUM(Q49:T49)*IF(U49="SI",1,2))</f>
      </c>
      <c r="W49" s="2238"/>
    </row>
    <row r="50" spans="2:23" s="1126" customFormat="1" ht="16.5" customHeight="1">
      <c r="B50" s="1140"/>
      <c r="C50" s="895" t="s">
        <v>102</v>
      </c>
      <c r="D50" s="456"/>
      <c r="E50" s="2945"/>
      <c r="F50" s="2946"/>
      <c r="G50" s="568"/>
      <c r="H50" s="2248">
        <f t="shared" si="12"/>
        <v>220.831</v>
      </c>
      <c r="I50" s="569"/>
      <c r="J50" s="570"/>
      <c r="K50" s="2250">
        <f t="shared" si="21"/>
      </c>
      <c r="L50" s="2251">
        <f t="shared" si="22"/>
      </c>
      <c r="M50" s="564"/>
      <c r="N50" s="2943">
        <f>IF(D50="","",IF(OR(M50="P",M50="RP"),"--","NO"))</f>
      </c>
      <c r="O50" s="2944"/>
      <c r="P50" s="2252">
        <f>IF(G50=500,$N$19,IF(G50=220,$N$20,$N$21))</f>
        <v>40</v>
      </c>
      <c r="Q50" s="2253" t="str">
        <f>IF(M50="P",H50*P50*ROUND(L50/60,2)*0.1,"--")</f>
        <v>--</v>
      </c>
      <c r="R50" s="2244" t="str">
        <f>IF(AND(M50="F",N50="NO"),H50*P50,"--")</f>
        <v>--</v>
      </c>
      <c r="S50" s="2245" t="str">
        <f>IF(M50="F",H50*P50*ROUND(L50/60,2),"--")</f>
        <v>--</v>
      </c>
      <c r="T50" s="2190" t="str">
        <f>IF(M50="RF",H50*P50*ROUND(L50/60,2),"--")</f>
        <v>--</v>
      </c>
      <c r="U50" s="2254">
        <f>IF(D50="","","SI")</f>
      </c>
      <c r="V50" s="2255">
        <f>IF(D50="","",SUM(Q50:T50)*IF(U50="SI",1,2))</f>
      </c>
      <c r="W50" s="2238"/>
    </row>
    <row r="51" spans="2:23" s="1126" customFormat="1" ht="16.5" customHeight="1">
      <c r="B51" s="1140"/>
      <c r="C51" s="895" t="s">
        <v>103</v>
      </c>
      <c r="D51" s="456"/>
      <c r="E51" s="2945"/>
      <c r="F51" s="2946"/>
      <c r="G51" s="568"/>
      <c r="H51" s="2248">
        <f t="shared" si="12"/>
        <v>220.831</v>
      </c>
      <c r="I51" s="569"/>
      <c r="J51" s="570"/>
      <c r="K51" s="2250">
        <f t="shared" si="21"/>
      </c>
      <c r="L51" s="2251">
        <f t="shared" si="22"/>
      </c>
      <c r="M51" s="564"/>
      <c r="N51" s="2943">
        <f t="shared" si="13"/>
      </c>
      <c r="O51" s="2944"/>
      <c r="P51" s="2252">
        <f t="shared" si="14"/>
        <v>40</v>
      </c>
      <c r="Q51" s="2253" t="str">
        <f t="shared" si="15"/>
        <v>--</v>
      </c>
      <c r="R51" s="2244" t="str">
        <f t="shared" si="16"/>
        <v>--</v>
      </c>
      <c r="S51" s="2245" t="str">
        <f t="shared" si="17"/>
        <v>--</v>
      </c>
      <c r="T51" s="2190" t="str">
        <f t="shared" si="18"/>
        <v>--</v>
      </c>
      <c r="U51" s="2254">
        <f t="shared" si="19"/>
      </c>
      <c r="V51" s="2255">
        <f t="shared" si="20"/>
      </c>
      <c r="W51" s="2238"/>
    </row>
    <row r="52" spans="2:28" s="1126" customFormat="1" ht="16.5" customHeight="1" thickBot="1">
      <c r="B52" s="1140"/>
      <c r="C52" s="2198"/>
      <c r="D52" s="2256"/>
      <c r="E52" s="2938"/>
      <c r="F52" s="2939"/>
      <c r="G52" s="2257"/>
      <c r="H52" s="2258"/>
      <c r="I52" s="2259"/>
      <c r="J52" s="2260"/>
      <c r="K52" s="2261"/>
      <c r="L52" s="2262"/>
      <c r="M52" s="2263"/>
      <c r="N52" s="2940"/>
      <c r="O52" s="2941"/>
      <c r="P52" s="2264"/>
      <c r="Q52" s="2265"/>
      <c r="R52" s="2266"/>
      <c r="S52" s="2267"/>
      <c r="T52" s="2268"/>
      <c r="U52" s="2269"/>
      <c r="V52" s="2270"/>
      <c r="W52" s="2238"/>
      <c r="X52" s="1120"/>
      <c r="Y52" s="1120"/>
      <c r="Z52" s="1120"/>
      <c r="AA52" s="1120"/>
      <c r="AB52" s="1120"/>
    </row>
    <row r="53" spans="1:23" ht="17.25" thickBot="1" thickTop="1">
      <c r="A53" s="2126"/>
      <c r="B53" s="2127"/>
      <c r="C53" s="2153"/>
      <c r="D53" s="2271"/>
      <c r="E53" s="2272"/>
      <c r="F53" s="2273"/>
      <c r="G53" s="2274"/>
      <c r="H53" s="2274"/>
      <c r="I53" s="2272"/>
      <c r="J53" s="2275"/>
      <c r="K53" s="2275"/>
      <c r="L53" s="2272"/>
      <c r="M53" s="2272"/>
      <c r="N53" s="2272"/>
      <c r="O53" s="2276"/>
      <c r="P53" s="2272"/>
      <c r="Q53" s="2272"/>
      <c r="R53" s="2277"/>
      <c r="S53" s="2278"/>
      <c r="T53" s="2278"/>
      <c r="U53" s="2279"/>
      <c r="V53" s="2228">
        <f>SUM(V43:V52)</f>
        <v>97961.06316000002</v>
      </c>
      <c r="W53" s="2280"/>
    </row>
    <row r="54" spans="1:23" ht="21" customHeight="1" thickBot="1" thickTop="1">
      <c r="A54" s="2126"/>
      <c r="B54" s="2127"/>
      <c r="C54" s="2153"/>
      <c r="D54" s="2271"/>
      <c r="E54" s="2272"/>
      <c r="F54" s="2273"/>
      <c r="G54" s="2274"/>
      <c r="H54" s="2274"/>
      <c r="I54" s="2154" t="s">
        <v>109</v>
      </c>
      <c r="J54" s="2155">
        <f>+V53+V39</f>
        <v>127030.18116000002</v>
      </c>
      <c r="L54" s="2272"/>
      <c r="M54" s="2272"/>
      <c r="N54" s="2272"/>
      <c r="O54" s="2276"/>
      <c r="P54" s="2272"/>
      <c r="Q54" s="2272"/>
      <c r="R54" s="2277"/>
      <c r="S54" s="2278"/>
      <c r="T54" s="2278"/>
      <c r="U54" s="2279"/>
      <c r="W54" s="2280"/>
    </row>
    <row r="55" spans="1:23" ht="13.5" customHeight="1" thickTop="1">
      <c r="A55" s="2126"/>
      <c r="B55" s="2127"/>
      <c r="C55" s="2153"/>
      <c r="D55" s="2271"/>
      <c r="E55" s="2272"/>
      <c r="F55" s="2273"/>
      <c r="G55" s="2274"/>
      <c r="H55" s="2274"/>
      <c r="I55" s="2272"/>
      <c r="J55" s="2275"/>
      <c r="K55" s="2275"/>
      <c r="L55" s="2272"/>
      <c r="M55" s="2272"/>
      <c r="N55" s="2272"/>
      <c r="O55" s="2276"/>
      <c r="P55" s="2272"/>
      <c r="Q55" s="2272"/>
      <c r="R55" s="2277"/>
      <c r="S55" s="2278"/>
      <c r="T55" s="2278"/>
      <c r="U55" s="2279"/>
      <c r="W55" s="2280"/>
    </row>
    <row r="56" spans="1:23" ht="16.5" customHeight="1">
      <c r="A56" s="2126"/>
      <c r="B56" s="2127"/>
      <c r="C56" s="2281" t="s">
        <v>110</v>
      </c>
      <c r="D56" s="2282" t="s">
        <v>324</v>
      </c>
      <c r="E56" s="2272"/>
      <c r="F56" s="2273"/>
      <c r="G56" s="2274"/>
      <c r="H56" s="2274"/>
      <c r="I56" s="2272"/>
      <c r="J56" s="2275"/>
      <c r="K56" s="2275"/>
      <c r="L56" s="2272"/>
      <c r="M56" s="2272"/>
      <c r="N56" s="2272"/>
      <c r="O56" s="2276"/>
      <c r="P56" s="2272"/>
      <c r="Q56" s="2272"/>
      <c r="R56" s="2277"/>
      <c r="S56" s="2278"/>
      <c r="T56" s="2278"/>
      <c r="U56" s="2279"/>
      <c r="W56" s="2280"/>
    </row>
    <row r="57" spans="1:23" ht="16.5" customHeight="1">
      <c r="A57" s="2126"/>
      <c r="B57" s="2127"/>
      <c r="C57" s="2281"/>
      <c r="D57" s="2271"/>
      <c r="E57" s="2272"/>
      <c r="F57" s="2273"/>
      <c r="G57" s="2274"/>
      <c r="H57" s="2274"/>
      <c r="I57" s="2272"/>
      <c r="J57" s="2275"/>
      <c r="K57" s="2275"/>
      <c r="L57" s="2272"/>
      <c r="M57" s="2272"/>
      <c r="N57" s="2272"/>
      <c r="O57" s="2276"/>
      <c r="P57" s="2272"/>
      <c r="Q57" s="2272"/>
      <c r="R57" s="2272"/>
      <c r="S57" s="2277"/>
      <c r="T57" s="2278"/>
      <c r="W57" s="2280"/>
    </row>
    <row r="58" spans="2:23" s="2126" customFormat="1" ht="16.5" customHeight="1">
      <c r="B58" s="2127"/>
      <c r="C58" s="2153"/>
      <c r="D58" s="2283" t="s">
        <v>125</v>
      </c>
      <c r="E58" s="2158" t="s">
        <v>126</v>
      </c>
      <c r="F58" s="2158" t="s">
        <v>112</v>
      </c>
      <c r="G58" s="2284" t="s">
        <v>329</v>
      </c>
      <c r="H58" s="1120"/>
      <c r="I58" s="2285"/>
      <c r="J58" s="2286" t="s">
        <v>129</v>
      </c>
      <c r="K58" s="2286"/>
      <c r="L58" s="2158" t="s">
        <v>112</v>
      </c>
      <c r="M58" s="1120" t="s">
        <v>138</v>
      </c>
      <c r="O58" s="2284" t="s">
        <v>331</v>
      </c>
      <c r="P58" s="1120"/>
      <c r="Q58" s="2287"/>
      <c r="R58" s="2287"/>
      <c r="S58" s="2128"/>
      <c r="T58" s="1120"/>
      <c r="U58" s="1120"/>
      <c r="V58" s="1120"/>
      <c r="W58" s="2280"/>
    </row>
    <row r="59" spans="2:23" s="2126" customFormat="1" ht="16.5" customHeight="1">
      <c r="B59" s="2127"/>
      <c r="C59" s="2153"/>
      <c r="D59" s="2288" t="s">
        <v>139</v>
      </c>
      <c r="E59" s="2288">
        <v>300</v>
      </c>
      <c r="F59" s="2289">
        <v>500</v>
      </c>
      <c r="G59" s="2935">
        <f>+E59*$F$20*$F$21</f>
        <v>310471.2</v>
      </c>
      <c r="H59" s="2935"/>
      <c r="I59" s="2935"/>
      <c r="J59" s="2291" t="s">
        <v>140</v>
      </c>
      <c r="K59" s="2291"/>
      <c r="L59" s="2288">
        <v>500</v>
      </c>
      <c r="M59" s="2288">
        <v>2</v>
      </c>
      <c r="O59" s="2935">
        <f>+M59*$F$20*$M$19</f>
        <v>410737.10400000005</v>
      </c>
      <c r="P59" s="2935"/>
      <c r="Q59" s="2935"/>
      <c r="R59" s="2935"/>
      <c r="S59" s="2935"/>
      <c r="T59" s="2935"/>
      <c r="U59" s="2935"/>
      <c r="V59" s="1120"/>
      <c r="W59" s="2280"/>
    </row>
    <row r="60" spans="2:23" s="2126" customFormat="1" ht="16.5" customHeight="1">
      <c r="B60" s="2127"/>
      <c r="C60" s="2153"/>
      <c r="D60" s="2288" t="s">
        <v>141</v>
      </c>
      <c r="E60" s="2292">
        <v>300</v>
      </c>
      <c r="F60" s="2289">
        <v>500</v>
      </c>
      <c r="G60" s="2935">
        <f>+E60*$F$20*$F$21</f>
        <v>310471.2</v>
      </c>
      <c r="H60" s="2935"/>
      <c r="I60" s="2935"/>
      <c r="J60" s="2291" t="s">
        <v>140</v>
      </c>
      <c r="K60" s="2291"/>
      <c r="L60" s="2288">
        <v>132</v>
      </c>
      <c r="M60" s="2288">
        <v>9</v>
      </c>
      <c r="O60" s="2935">
        <f>+M60*$F$20*$M$21</f>
        <v>1478684.376</v>
      </c>
      <c r="P60" s="2935"/>
      <c r="Q60" s="2935"/>
      <c r="R60" s="2935"/>
      <c r="S60" s="2935"/>
      <c r="T60" s="2935"/>
      <c r="U60" s="2935"/>
      <c r="V60" s="1120"/>
      <c r="W60" s="2280"/>
    </row>
    <row r="61" spans="2:23" s="2126" customFormat="1" ht="16.5" customHeight="1">
      <c r="B61" s="2127"/>
      <c r="C61" s="2153"/>
      <c r="D61" s="2293" t="s">
        <v>142</v>
      </c>
      <c r="E61" s="2292">
        <v>300</v>
      </c>
      <c r="F61" s="2289">
        <v>500</v>
      </c>
      <c r="G61" s="2935">
        <f>+E61*$F$20*$F$21</f>
        <v>310471.2</v>
      </c>
      <c r="H61" s="2935"/>
      <c r="I61" s="2935"/>
      <c r="J61" s="2291" t="s">
        <v>143</v>
      </c>
      <c r="K61" s="2291"/>
      <c r="L61" s="2288">
        <v>132</v>
      </c>
      <c r="M61" s="2288">
        <v>8</v>
      </c>
      <c r="O61" s="2935">
        <f>+M61*$F$20*$M$21</f>
        <v>1314386.112</v>
      </c>
      <c r="P61" s="2935"/>
      <c r="Q61" s="2935"/>
      <c r="R61" s="2935"/>
      <c r="S61" s="2935"/>
      <c r="T61" s="2935"/>
      <c r="U61" s="2935"/>
      <c r="V61" s="1120"/>
      <c r="W61" s="2280"/>
    </row>
    <row r="62" spans="1:23" ht="16.5" customHeight="1">
      <c r="A62" s="2126"/>
      <c r="B62" s="2127"/>
      <c r="C62" s="2153"/>
      <c r="D62" s="2293" t="s">
        <v>144</v>
      </c>
      <c r="E62" s="2292">
        <v>300</v>
      </c>
      <c r="F62" s="2289">
        <v>500</v>
      </c>
      <c r="G62" s="2935">
        <f>+E62*$F$20*$F$21</f>
        <v>310471.2</v>
      </c>
      <c r="H62" s="2935"/>
      <c r="I62" s="2935"/>
      <c r="J62" s="2291" t="s">
        <v>145</v>
      </c>
      <c r="K62" s="2291"/>
      <c r="L62" s="2288">
        <v>132</v>
      </c>
      <c r="M62" s="2288">
        <v>5</v>
      </c>
      <c r="O62" s="2937">
        <f>+M62*$F$20*$M$21</f>
        <v>821491.32</v>
      </c>
      <c r="P62" s="2937"/>
      <c r="Q62" s="2937"/>
      <c r="R62" s="2937"/>
      <c r="S62" s="2937"/>
      <c r="T62" s="2937"/>
      <c r="U62" s="2937"/>
      <c r="W62" s="2280"/>
    </row>
    <row r="63" spans="1:23" ht="16.5" customHeight="1">
      <c r="A63" s="2126"/>
      <c r="B63" s="2127"/>
      <c r="C63" s="2153"/>
      <c r="D63" s="2293" t="s">
        <v>146</v>
      </c>
      <c r="E63" s="2292">
        <v>600</v>
      </c>
      <c r="F63" s="2289">
        <v>500</v>
      </c>
      <c r="G63" s="2937">
        <f>+E63*$F$20*$F$21</f>
        <v>620942.4</v>
      </c>
      <c r="H63" s="2937"/>
      <c r="I63" s="2937"/>
      <c r="M63" s="2288"/>
      <c r="O63" s="2935">
        <f>SUM(O59:P62)</f>
        <v>4025298.912</v>
      </c>
      <c r="P63" s="2935"/>
      <c r="Q63" s="2935"/>
      <c r="R63" s="2935"/>
      <c r="S63" s="2935"/>
      <c r="T63" s="2935"/>
      <c r="U63" s="2935"/>
      <c r="W63" s="2280"/>
    </row>
    <row r="64" spans="1:23" ht="16.5" customHeight="1">
      <c r="A64" s="2126"/>
      <c r="B64" s="2127"/>
      <c r="C64" s="2153"/>
      <c r="D64" s="2293"/>
      <c r="E64" s="2292"/>
      <c r="F64" s="2289"/>
      <c r="G64" s="2935">
        <f>SUM(G59:G63)</f>
        <v>1862827.2000000002</v>
      </c>
      <c r="H64" s="2935"/>
      <c r="I64" s="2935"/>
      <c r="M64" s="2288"/>
      <c r="N64" s="2285"/>
      <c r="O64" s="2285"/>
      <c r="P64" s="2294"/>
      <c r="Q64" s="2294"/>
      <c r="R64" s="2294"/>
      <c r="S64" s="2294"/>
      <c r="W64" s="2280"/>
    </row>
    <row r="65" spans="1:23" ht="16.5" customHeight="1">
      <c r="A65" s="2126"/>
      <c r="B65" s="2127"/>
      <c r="C65" s="2153"/>
      <c r="D65" s="2293"/>
      <c r="E65" s="2292"/>
      <c r="F65" s="2289"/>
      <c r="G65" s="2290"/>
      <c r="H65" s="2290"/>
      <c r="I65" s="2290"/>
      <c r="M65" s="2288"/>
      <c r="N65" s="2285"/>
      <c r="O65" s="2285"/>
      <c r="P65" s="2294"/>
      <c r="Q65" s="2294"/>
      <c r="R65" s="2294"/>
      <c r="S65" s="2294"/>
      <c r="W65" s="2280"/>
    </row>
    <row r="66" spans="1:23" ht="16.5" customHeight="1">
      <c r="A66" s="2126"/>
      <c r="B66" s="2127"/>
      <c r="C66" s="2936" t="s">
        <v>395</v>
      </c>
      <c r="D66" s="2936"/>
      <c r="E66" s="2292" t="s">
        <v>396</v>
      </c>
      <c r="F66" s="2295">
        <v>22879</v>
      </c>
      <c r="G66" s="2290"/>
      <c r="H66" s="2290"/>
      <c r="I66" s="2290"/>
      <c r="M66" s="2288"/>
      <c r="N66" s="2285"/>
      <c r="O66" s="2285"/>
      <c r="P66" s="2294"/>
      <c r="Q66" s="2294"/>
      <c r="R66" s="2294"/>
      <c r="S66" s="2294"/>
      <c r="W66" s="2280"/>
    </row>
    <row r="67" spans="1:23" ht="16.5" customHeight="1" thickBot="1">
      <c r="A67" s="2126"/>
      <c r="B67" s="2127"/>
      <c r="C67" s="2153"/>
      <c r="D67" s="2283"/>
      <c r="E67" s="2296"/>
      <c r="F67" s="2296"/>
      <c r="G67" s="2158"/>
      <c r="I67" s="2297"/>
      <c r="J67" s="2284"/>
      <c r="L67" s="2298"/>
      <c r="M67" s="2297"/>
      <c r="N67" s="2299"/>
      <c r="O67" s="2287"/>
      <c r="P67" s="2287"/>
      <c r="Q67" s="2287"/>
      <c r="R67" s="2287"/>
      <c r="S67" s="2287"/>
      <c r="W67" s="2280"/>
    </row>
    <row r="68" spans="1:23" ht="21" customHeight="1" thickBot="1" thickTop="1">
      <c r="A68" s="2126"/>
      <c r="B68" s="2127"/>
      <c r="C68" s="2153"/>
      <c r="D68" s="2158"/>
      <c r="E68" s="2300"/>
      <c r="F68" s="2300"/>
      <c r="G68" s="2301"/>
      <c r="H68" s="2119"/>
      <c r="I68" s="2154" t="s">
        <v>147</v>
      </c>
      <c r="J68" s="2155">
        <f>+G64+O63+F66</f>
        <v>5911005.112</v>
      </c>
      <c r="L68" s="2302"/>
      <c r="M68" s="2119"/>
      <c r="N68" s="2132"/>
      <c r="O68" s="2294"/>
      <c r="P68" s="2294"/>
      <c r="Q68" s="2294"/>
      <c r="R68" s="2294"/>
      <c r="S68" s="2294"/>
      <c r="U68" s="2154" t="s">
        <v>397</v>
      </c>
      <c r="V68" s="2155">
        <v>2066652.9519999998</v>
      </c>
      <c r="W68" s="2280"/>
    </row>
    <row r="69" spans="1:23" ht="16.5" customHeight="1" thickTop="1">
      <c r="A69" s="2126"/>
      <c r="B69" s="2127"/>
      <c r="C69" s="2153"/>
      <c r="D69" s="2275"/>
      <c r="E69" s="2303"/>
      <c r="F69" s="2158"/>
      <c r="G69" s="2158"/>
      <c r="H69" s="2159"/>
      <c r="J69" s="2158"/>
      <c r="L69" s="2304"/>
      <c r="M69" s="2299"/>
      <c r="N69" s="2299"/>
      <c r="O69" s="2287"/>
      <c r="P69" s="2287"/>
      <c r="Q69" s="2287"/>
      <c r="R69" s="2287"/>
      <c r="S69" s="2287"/>
      <c r="W69" s="2280"/>
    </row>
    <row r="70" spans="2:23" ht="16.5" customHeight="1">
      <c r="B70" s="2127"/>
      <c r="C70" s="2281" t="s">
        <v>115</v>
      </c>
      <c r="D70" s="2305" t="s">
        <v>116</v>
      </c>
      <c r="E70" s="2158"/>
      <c r="F70" s="2306"/>
      <c r="G70" s="2157"/>
      <c r="H70" s="2275"/>
      <c r="I70" s="2275"/>
      <c r="J70" s="2275"/>
      <c r="K70" s="2158"/>
      <c r="L70" s="2158"/>
      <c r="M70" s="2275"/>
      <c r="N70" s="2158"/>
      <c r="O70" s="2275"/>
      <c r="P70" s="2275"/>
      <c r="Q70" s="2275"/>
      <c r="R70" s="2275"/>
      <c r="S70" s="2275"/>
      <c r="T70" s="2275"/>
      <c r="U70" s="2275"/>
      <c r="W70" s="2280"/>
    </row>
    <row r="71" spans="2:23" s="2126" customFormat="1" ht="16.5" customHeight="1">
      <c r="B71" s="2127"/>
      <c r="C71" s="2153"/>
      <c r="D71" s="2283" t="s">
        <v>117</v>
      </c>
      <c r="E71" s="2307">
        <f>10*J54*J25/J68</f>
        <v>11103.327349288242</v>
      </c>
      <c r="G71" s="2157"/>
      <c r="L71" s="2158"/>
      <c r="N71" s="2158"/>
      <c r="O71" s="2159"/>
      <c r="V71" s="1120"/>
      <c r="W71" s="2280"/>
    </row>
    <row r="72" spans="2:23" s="2126" customFormat="1" ht="12.75" customHeight="1">
      <c r="B72" s="2127"/>
      <c r="C72" s="2153"/>
      <c r="E72" s="2308"/>
      <c r="F72" s="2151"/>
      <c r="G72" s="2157"/>
      <c r="J72" s="2157"/>
      <c r="K72" s="2309"/>
      <c r="L72" s="2158"/>
      <c r="M72" s="2158"/>
      <c r="N72" s="2158"/>
      <c r="O72" s="2159"/>
      <c r="P72" s="2158"/>
      <c r="Q72" s="2158"/>
      <c r="R72" s="2310"/>
      <c r="S72" s="2310"/>
      <c r="T72" s="2310"/>
      <c r="U72" s="2311"/>
      <c r="V72" s="1120"/>
      <c r="W72" s="2280"/>
    </row>
    <row r="73" spans="2:23" ht="16.5" customHeight="1">
      <c r="B73" s="2127"/>
      <c r="C73" s="2153"/>
      <c r="D73" s="2312" t="s">
        <v>148</v>
      </c>
      <c r="E73" s="2313"/>
      <c r="F73" s="2151"/>
      <c r="G73" s="2157"/>
      <c r="H73" s="2275"/>
      <c r="I73" s="2275"/>
      <c r="N73" s="2158"/>
      <c r="O73" s="2159"/>
      <c r="P73" s="2158"/>
      <c r="Q73" s="2158"/>
      <c r="R73" s="2297"/>
      <c r="S73" s="2297"/>
      <c r="T73" s="2297"/>
      <c r="U73" s="2299"/>
      <c r="W73" s="2280"/>
    </row>
    <row r="74" spans="2:23" ht="13.5" customHeight="1" thickBot="1">
      <c r="B74" s="2127"/>
      <c r="C74" s="2153"/>
      <c r="D74" s="2312"/>
      <c r="E74" s="2313"/>
      <c r="F74" s="2151"/>
      <c r="G74" s="2157"/>
      <c r="H74" s="2275"/>
      <c r="I74" s="2275"/>
      <c r="N74" s="2158"/>
      <c r="O74" s="2159"/>
      <c r="P74" s="2158"/>
      <c r="Q74" s="2158"/>
      <c r="R74" s="2297"/>
      <c r="S74" s="2297"/>
      <c r="T74" s="2297"/>
      <c r="U74" s="2299"/>
      <c r="W74" s="2280"/>
    </row>
    <row r="75" spans="2:23" s="2314" customFormat="1" ht="21" thickBot="1" thickTop="1">
      <c r="B75" s="2315"/>
      <c r="C75" s="2316"/>
      <c r="D75" s="2317"/>
      <c r="E75" s="2318"/>
      <c r="F75" s="2319"/>
      <c r="G75" s="2320"/>
      <c r="I75" s="2321" t="s">
        <v>119</v>
      </c>
      <c r="J75" s="2322">
        <f>IF(E71&gt;3*J25,J25*3,E71)</f>
        <v>11103.327349288242</v>
      </c>
      <c r="M75" s="2323" t="s">
        <v>398</v>
      </c>
      <c r="N75" s="2323"/>
      <c r="O75" s="2324"/>
      <c r="P75" s="2325"/>
      <c r="Q75" s="2325"/>
      <c r="R75" s="2326"/>
      <c r="S75" s="2326"/>
      <c r="T75" s="2326"/>
      <c r="U75" s="2327"/>
      <c r="V75" s="1120"/>
      <c r="W75" s="2328"/>
    </row>
    <row r="76" spans="2:23" ht="16.5" customHeight="1" thickBot="1" thickTop="1">
      <c r="B76" s="2329"/>
      <c r="C76" s="2330"/>
      <c r="D76" s="2330"/>
      <c r="E76" s="2330"/>
      <c r="F76" s="2330"/>
      <c r="G76" s="2330"/>
      <c r="H76" s="2330"/>
      <c r="I76" s="2330"/>
      <c r="J76" s="2330"/>
      <c r="K76" s="2330"/>
      <c r="L76" s="2330"/>
      <c r="M76" s="2330"/>
      <c r="N76" s="2330"/>
      <c r="O76" s="2330"/>
      <c r="P76" s="2330"/>
      <c r="Q76" s="2330"/>
      <c r="R76" s="2330"/>
      <c r="S76" s="2330"/>
      <c r="T76" s="2330"/>
      <c r="U76" s="2330"/>
      <c r="V76" s="2331"/>
      <c r="W76" s="2332"/>
    </row>
    <row r="77" spans="2:23" ht="16.5" customHeight="1" thickTop="1">
      <c r="B77" s="1188"/>
      <c r="C77" s="2333"/>
      <c r="W77" s="1188"/>
    </row>
  </sheetData>
  <sheetProtection/>
  <mergeCells count="36">
    <mergeCell ref="E41:F41"/>
    <mergeCell ref="N41:O41"/>
    <mergeCell ref="E42:F42"/>
    <mergeCell ref="N42:O42"/>
    <mergeCell ref="E43:F43"/>
    <mergeCell ref="N43:O43"/>
    <mergeCell ref="E44:F44"/>
    <mergeCell ref="N44:O44"/>
    <mergeCell ref="E45:F45"/>
    <mergeCell ref="N45:O45"/>
    <mergeCell ref="E46:F46"/>
    <mergeCell ref="N46:O46"/>
    <mergeCell ref="E47:F47"/>
    <mergeCell ref="N47:O47"/>
    <mergeCell ref="E48:F48"/>
    <mergeCell ref="N48:O48"/>
    <mergeCell ref="E51:F51"/>
    <mergeCell ref="N51:O51"/>
    <mergeCell ref="E49:F49"/>
    <mergeCell ref="E50:F50"/>
    <mergeCell ref="N49:O49"/>
    <mergeCell ref="N50:O50"/>
    <mergeCell ref="E52:F52"/>
    <mergeCell ref="N52:O52"/>
    <mergeCell ref="G59:I59"/>
    <mergeCell ref="O59:U59"/>
    <mergeCell ref="G60:I60"/>
    <mergeCell ref="O60:U60"/>
    <mergeCell ref="G64:I64"/>
    <mergeCell ref="C66:D66"/>
    <mergeCell ref="G61:I61"/>
    <mergeCell ref="O61:U61"/>
    <mergeCell ref="G62:I62"/>
    <mergeCell ref="O62:U62"/>
    <mergeCell ref="G63:I63"/>
    <mergeCell ref="O63:U63"/>
  </mergeCells>
  <printOptions horizontalCentered="1"/>
  <pageMargins left="0.1968503937007874" right="0.15748031496062992" top="0.7874015748031497" bottom="0.7874015748031497" header="0.5118110236220472" footer="0.5118110236220472"/>
  <pageSetup fitToHeight="1" fitToWidth="1" horizontalDpi="600" verticalDpi="600" orientation="portrait" paperSize="9" scale="38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AF45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9.5742187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+'TOT-1215'!B2</f>
        <v>ANEXO I al Memorándum D.T.E.E. N°  231  / 2017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20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18" customFormat="1" ht="20.25">
      <c r="B10" s="95"/>
      <c r="C10" s="23"/>
      <c r="D10" s="23"/>
      <c r="E10" s="23"/>
      <c r="F10" s="97" t="s">
        <v>21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8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9"/>
    </row>
    <row r="12" spans="2:32" s="18" customFormat="1" ht="20.25">
      <c r="B12" s="95"/>
      <c r="C12" s="23"/>
      <c r="D12" s="23"/>
      <c r="E12" s="23"/>
      <c r="F12" s="97" t="s">
        <v>22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7"/>
      <c r="S12" s="9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8"/>
    </row>
    <row r="13" spans="2:32" s="8" customFormat="1" ht="12.75">
      <c r="B13" s="55"/>
      <c r="C13" s="11"/>
      <c r="D13" s="11"/>
      <c r="E13" s="11"/>
      <c r="F13" s="1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34" customFormat="1" ht="19.5">
      <c r="B14" s="35" t="str">
        <f>'TOT-1215'!B14</f>
        <v>Desde el 01 al 31 de diciembre de 2015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1"/>
      <c r="Q14" s="10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2"/>
    </row>
    <row r="15" spans="2:32" s="8" customFormat="1" ht="16.5" customHeight="1" thickBot="1">
      <c r="B15" s="55"/>
      <c r="C15" s="11"/>
      <c r="D15" s="11"/>
      <c r="E15" s="11"/>
      <c r="F15" s="11"/>
      <c r="G15" s="85"/>
      <c r="H15" s="85"/>
      <c r="I15" s="11"/>
      <c r="J15" s="11"/>
      <c r="K15" s="11"/>
      <c r="L15" s="103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9"/>
    </row>
    <row r="16" spans="2:32" s="8" customFormat="1" ht="16.5" customHeight="1" thickBot="1" thickTop="1">
      <c r="B16" s="55"/>
      <c r="C16" s="11"/>
      <c r="D16" s="11"/>
      <c r="E16" s="11"/>
      <c r="F16" s="104" t="s">
        <v>23</v>
      </c>
      <c r="G16" s="105">
        <v>506.119</v>
      </c>
      <c r="H16" s="10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9"/>
    </row>
    <row r="17" spans="2:32" s="8" customFormat="1" ht="16.5" customHeight="1" thickBot="1" thickTop="1">
      <c r="B17" s="55"/>
      <c r="C17" s="11"/>
      <c r="D17" s="11"/>
      <c r="E17" s="11"/>
      <c r="F17" s="104" t="s">
        <v>24</v>
      </c>
      <c r="G17" s="105">
        <v>421.774</v>
      </c>
      <c r="H17" s="106"/>
      <c r="I17" s="11"/>
      <c r="J17" s="11"/>
      <c r="K17" s="11"/>
      <c r="L17" s="107"/>
      <c r="M17" s="10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9"/>
      <c r="Y17" s="109"/>
      <c r="Z17" s="109"/>
      <c r="AA17" s="109"/>
      <c r="AB17" s="109"/>
      <c r="AC17" s="109"/>
      <c r="AD17" s="109"/>
      <c r="AF17" s="99"/>
    </row>
    <row r="18" spans="2:32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110">
        <v>27</v>
      </c>
      <c r="AB18" s="110">
        <v>28</v>
      </c>
      <c r="AC18" s="110">
        <v>29</v>
      </c>
      <c r="AD18" s="110">
        <v>30</v>
      </c>
      <c r="AE18" s="110">
        <v>31</v>
      </c>
      <c r="AF18" s="99"/>
    </row>
    <row r="19" spans="2:32" s="8" customFormat="1" ht="33.75" customHeight="1" thickBot="1" thickTop="1">
      <c r="B19" s="55"/>
      <c r="C19" s="111" t="s">
        <v>25</v>
      </c>
      <c r="D19" s="111" t="s">
        <v>26</v>
      </c>
      <c r="E19" s="111" t="s">
        <v>27</v>
      </c>
      <c r="F19" s="112" t="s">
        <v>5</v>
      </c>
      <c r="G19" s="113" t="s">
        <v>28</v>
      </c>
      <c r="H19" s="114" t="s">
        <v>29</v>
      </c>
      <c r="I19" s="115" t="s">
        <v>30</v>
      </c>
      <c r="J19" s="116" t="s">
        <v>31</v>
      </c>
      <c r="K19" s="117" t="s">
        <v>32</v>
      </c>
      <c r="L19" s="112" t="s">
        <v>33</v>
      </c>
      <c r="M19" s="118" t="s">
        <v>34</v>
      </c>
      <c r="N19" s="119" t="s">
        <v>35</v>
      </c>
      <c r="O19" s="114" t="s">
        <v>36</v>
      </c>
      <c r="P19" s="119" t="s">
        <v>321</v>
      </c>
      <c r="Q19" s="114" t="s">
        <v>37</v>
      </c>
      <c r="R19" s="118" t="s">
        <v>38</v>
      </c>
      <c r="S19" s="112" t="s">
        <v>39</v>
      </c>
      <c r="T19" s="120" t="s">
        <v>40</v>
      </c>
      <c r="U19" s="121" t="s">
        <v>41</v>
      </c>
      <c r="V19" s="122" t="s">
        <v>42</v>
      </c>
      <c r="W19" s="123"/>
      <c r="X19" s="124"/>
      <c r="Y19" s="125" t="s">
        <v>43</v>
      </c>
      <c r="Z19" s="126"/>
      <c r="AA19" s="127"/>
      <c r="AB19" s="128" t="s">
        <v>44</v>
      </c>
      <c r="AC19" s="129" t="s">
        <v>45</v>
      </c>
      <c r="AD19" s="130" t="s">
        <v>46</v>
      </c>
      <c r="AE19" s="130" t="s">
        <v>47</v>
      </c>
      <c r="AF19" s="131"/>
    </row>
    <row r="20" spans="2:32" s="8" customFormat="1" ht="16.5" customHeight="1" thickTop="1">
      <c r="B20" s="55"/>
      <c r="C20" s="132"/>
      <c r="D20" s="132"/>
      <c r="E20" s="132"/>
      <c r="F20" s="133"/>
      <c r="G20" s="133"/>
      <c r="H20" s="134"/>
      <c r="I20" s="135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9"/>
      <c r="U20" s="140"/>
      <c r="V20" s="141"/>
      <c r="W20" s="142"/>
      <c r="X20" s="143"/>
      <c r="Y20" s="144"/>
      <c r="Z20" s="145"/>
      <c r="AA20" s="146"/>
      <c r="AB20" s="147"/>
      <c r="AC20" s="148"/>
      <c r="AD20" s="135"/>
      <c r="AE20" s="149"/>
      <c r="AF20" s="99"/>
    </row>
    <row r="21" spans="2:32" s="8" customFormat="1" ht="16.5" customHeight="1">
      <c r="B21" s="55"/>
      <c r="C21" s="150"/>
      <c r="D21" s="150"/>
      <c r="E21" s="150"/>
      <c r="F21" s="151"/>
      <c r="G21" s="152"/>
      <c r="H21" s="153"/>
      <c r="I21" s="151"/>
      <c r="J21" s="154"/>
      <c r="K21" s="155"/>
      <c r="L21" s="156"/>
      <c r="M21" s="109"/>
      <c r="N21" s="151"/>
      <c r="O21" s="151"/>
      <c r="P21" s="157"/>
      <c r="Q21" s="151"/>
      <c r="R21" s="151"/>
      <c r="S21" s="151"/>
      <c r="T21" s="158"/>
      <c r="U21" s="159"/>
      <c r="V21" s="160"/>
      <c r="W21" s="161"/>
      <c r="X21" s="162"/>
      <c r="Y21" s="163"/>
      <c r="Z21" s="164"/>
      <c r="AA21" s="165"/>
      <c r="AB21" s="166"/>
      <c r="AC21" s="167"/>
      <c r="AD21" s="151"/>
      <c r="AE21" s="168"/>
      <c r="AF21" s="99"/>
    </row>
    <row r="22" spans="2:32" s="8" customFormat="1" ht="16.5" customHeight="1">
      <c r="B22" s="55"/>
      <c r="C22" s="169">
        <v>1</v>
      </c>
      <c r="D22" s="169">
        <v>295425</v>
      </c>
      <c r="E22" s="169">
        <v>4797</v>
      </c>
      <c r="F22" s="169" t="s">
        <v>429</v>
      </c>
      <c r="G22" s="170">
        <v>500</v>
      </c>
      <c r="H22" s="171">
        <v>304</v>
      </c>
      <c r="I22" s="170" t="s">
        <v>334</v>
      </c>
      <c r="J22" s="172">
        <f aca="true" t="shared" si="0" ref="J22:J41">IF(I22="A",200,IF(I22="B",60,20))</f>
        <v>200</v>
      </c>
      <c r="K22" s="173">
        <f aca="true" t="shared" si="1" ref="K22:K41">IF(G22=500,IF(H22&lt;100,100*$G$16/100,H22*$G$16/100),IF(H22&lt;100,100*$G$17/100,H22*$G$17/100))</f>
        <v>1538.60176</v>
      </c>
      <c r="L22" s="174">
        <v>42339.941666666666</v>
      </c>
      <c r="M22" s="175">
        <v>42340.10972222222</v>
      </c>
      <c r="N22" s="176">
        <f aca="true" t="shared" si="2" ref="N22:N41">IF(F22="","",(M22-L22)*24)</f>
        <v>4.03333333338378</v>
      </c>
      <c r="O22" s="177">
        <f aca="true" t="shared" si="3" ref="O22:O41">IF(F22="","",ROUND((M22-L22)*24*60,0))</f>
        <v>242</v>
      </c>
      <c r="P22" s="178" t="s">
        <v>332</v>
      </c>
      <c r="Q22" s="179" t="str">
        <f aca="true" t="shared" si="4" ref="Q22:Q41">IF(F22="","","--")</f>
        <v>--</v>
      </c>
      <c r="R22" s="180" t="str">
        <f aca="true" t="shared" si="5" ref="R22:R41">IF(F22="","","NO")</f>
        <v>NO</v>
      </c>
      <c r="S22" s="180" t="str">
        <f aca="true" t="shared" si="6" ref="S22:S41">IF(F22="","",IF(OR(P22="P",P22="RP"),"--","NO"))</f>
        <v>--</v>
      </c>
      <c r="T22" s="181">
        <f aca="true" t="shared" si="7" ref="T22:T41">IF(P22="P",K22*J22*ROUND(O22/60,2)*0.01,"--")</f>
        <v>12401.130185600003</v>
      </c>
      <c r="U22" s="182" t="str">
        <f aca="true" t="shared" si="8" ref="U22:U41">IF(P22="RP",K22*J22*ROUND(O22/60,2)*0.01*Q22/100,"--")</f>
        <v>--</v>
      </c>
      <c r="V22" s="183" t="str">
        <f aca="true" t="shared" si="9" ref="V22:V41">IF(AND(P22="F",S22="NO"),K22*J22*IF(R22="SI",1.2,1),"--")</f>
        <v>--</v>
      </c>
      <c r="W22" s="184" t="str">
        <f aca="true" t="shared" si="10" ref="W22:W41">IF(AND(P22="F",O22&gt;=10),K22*J22*IF(R22="SI",1.2,1)*IF(O22&lt;=300,ROUND(O22/60,2),5),"--")</f>
        <v>--</v>
      </c>
      <c r="X22" s="185" t="str">
        <f aca="true" t="shared" si="11" ref="X22:X41">IF(AND(P22="F",O22&gt;300),(ROUND(O22/60,2)-5)*K22*J22*0.1*IF(R22="SI",1.2,1),"--")</f>
        <v>--</v>
      </c>
      <c r="Y22" s="186" t="str">
        <f aca="true" t="shared" si="12" ref="Y22:Y41">IF(AND(P22="R",S22="NO"),K22*J22*Q22/100*IF(R22="SI",1.2,1),"--")</f>
        <v>--</v>
      </c>
      <c r="Z22" s="187" t="str">
        <f aca="true" t="shared" si="13" ref="Z22:Z41">IF(AND(P22="R",O22&gt;=10),K22*J22*Q22/100*IF(R22="SI",1.2,1)*IF(O22&lt;=300,ROUND(O22/60,2),5),"--")</f>
        <v>--</v>
      </c>
      <c r="AA22" s="188" t="str">
        <f aca="true" t="shared" si="14" ref="AA22:AA41">IF(AND(P22="R",O22&gt;300),(ROUND(O22/60,2)-5)*K22*J22*0.1*Q22/100*IF(R22="SI",1.2,1),"--")</f>
        <v>--</v>
      </c>
      <c r="AB22" s="189" t="str">
        <f aca="true" t="shared" si="15" ref="AB22:AB41">IF(P22="RF",ROUND(O22/60,2)*K22*J22*0.1*IF(R22="SI",1.2,1),"--")</f>
        <v>--</v>
      </c>
      <c r="AC22" s="190" t="str">
        <f aca="true" t="shared" si="16" ref="AC22:AC41">IF(P22="RR",ROUND(O22/60,2)*K22*J22*0.1*Q22/100*IF(R22="SI",1.2,1),"--")</f>
        <v>--</v>
      </c>
      <c r="AD22" s="191" t="s">
        <v>77</v>
      </c>
      <c r="AE22" s="192">
        <f aca="true" t="shared" si="17" ref="AE22:AE41">IF(F22="","",SUM(T22:AC22)*IF(AD22="SI",1,2))</f>
        <v>12401.130185600003</v>
      </c>
      <c r="AF22" s="193"/>
    </row>
    <row r="23" spans="2:32" s="8" customFormat="1" ht="16.5" customHeight="1">
      <c r="B23" s="55"/>
      <c r="C23" s="150">
        <v>2</v>
      </c>
      <c r="D23" s="150">
        <v>295427</v>
      </c>
      <c r="E23" s="150">
        <v>4733</v>
      </c>
      <c r="F23" s="169" t="s">
        <v>430</v>
      </c>
      <c r="G23" s="170">
        <v>220</v>
      </c>
      <c r="H23" s="171">
        <v>77</v>
      </c>
      <c r="I23" s="170" t="s">
        <v>333</v>
      </c>
      <c r="J23" s="172">
        <f t="shared" si="0"/>
        <v>20</v>
      </c>
      <c r="K23" s="173">
        <f t="shared" si="1"/>
        <v>421.774</v>
      </c>
      <c r="L23" s="174">
        <v>42340.28958333333</v>
      </c>
      <c r="M23" s="175">
        <v>42340.54236111111</v>
      </c>
      <c r="N23" s="176">
        <f t="shared" si="2"/>
        <v>6.066666666709352</v>
      </c>
      <c r="O23" s="177">
        <f t="shared" si="3"/>
        <v>364</v>
      </c>
      <c r="P23" s="178" t="s">
        <v>332</v>
      </c>
      <c r="Q23" s="179" t="str">
        <f t="shared" si="4"/>
        <v>--</v>
      </c>
      <c r="R23" s="180" t="str">
        <f t="shared" si="5"/>
        <v>NO</v>
      </c>
      <c r="S23" s="180" t="str">
        <f t="shared" si="6"/>
        <v>--</v>
      </c>
      <c r="T23" s="181">
        <f t="shared" si="7"/>
        <v>512.033636</v>
      </c>
      <c r="U23" s="182" t="str">
        <f t="shared" si="8"/>
        <v>--</v>
      </c>
      <c r="V23" s="183" t="str">
        <f t="shared" si="9"/>
        <v>--</v>
      </c>
      <c r="W23" s="184" t="str">
        <f t="shared" si="10"/>
        <v>--</v>
      </c>
      <c r="X23" s="185" t="str">
        <f t="shared" si="11"/>
        <v>--</v>
      </c>
      <c r="Y23" s="186" t="str">
        <f t="shared" si="12"/>
        <v>--</v>
      </c>
      <c r="Z23" s="187" t="str">
        <f t="shared" si="13"/>
        <v>--</v>
      </c>
      <c r="AA23" s="188" t="str">
        <f t="shared" si="14"/>
        <v>--</v>
      </c>
      <c r="AB23" s="189" t="str">
        <f t="shared" si="15"/>
        <v>--</v>
      </c>
      <c r="AC23" s="190" t="str">
        <f t="shared" si="16"/>
        <v>--</v>
      </c>
      <c r="AD23" s="191" t="str">
        <f aca="true" t="shared" si="18" ref="AD23:AD41">IF(F23="","","SI")</f>
        <v>SI</v>
      </c>
      <c r="AE23" s="192">
        <f t="shared" si="17"/>
        <v>512.033636</v>
      </c>
      <c r="AF23" s="193"/>
    </row>
    <row r="24" spans="2:32" s="8" customFormat="1" ht="16.5" customHeight="1">
      <c r="B24" s="55"/>
      <c r="C24" s="169">
        <v>3</v>
      </c>
      <c r="D24" s="169">
        <v>295435</v>
      </c>
      <c r="E24" s="169">
        <v>48</v>
      </c>
      <c r="F24" s="194" t="s">
        <v>431</v>
      </c>
      <c r="G24" s="195">
        <v>500</v>
      </c>
      <c r="H24" s="196">
        <v>270</v>
      </c>
      <c r="I24" s="195" t="s">
        <v>333</v>
      </c>
      <c r="J24" s="172">
        <f t="shared" si="0"/>
        <v>20</v>
      </c>
      <c r="K24" s="173">
        <f t="shared" si="1"/>
        <v>1366.5213</v>
      </c>
      <c r="L24" s="197">
        <v>42343.31041666667</v>
      </c>
      <c r="M24" s="198">
        <v>42343.72708333333</v>
      </c>
      <c r="N24" s="176">
        <f t="shared" si="2"/>
        <v>9.999999999941792</v>
      </c>
      <c r="O24" s="177">
        <f t="shared" si="3"/>
        <v>600</v>
      </c>
      <c r="P24" s="178" t="s">
        <v>332</v>
      </c>
      <c r="Q24" s="179" t="str">
        <f t="shared" si="4"/>
        <v>--</v>
      </c>
      <c r="R24" s="180" t="str">
        <f t="shared" si="5"/>
        <v>NO</v>
      </c>
      <c r="S24" s="180" t="str">
        <f t="shared" si="6"/>
        <v>--</v>
      </c>
      <c r="T24" s="181">
        <f t="shared" si="7"/>
        <v>2733.0426</v>
      </c>
      <c r="U24" s="182" t="str">
        <f t="shared" si="8"/>
        <v>--</v>
      </c>
      <c r="V24" s="183" t="str">
        <f t="shared" si="9"/>
        <v>--</v>
      </c>
      <c r="W24" s="184" t="str">
        <f t="shared" si="10"/>
        <v>--</v>
      </c>
      <c r="X24" s="185" t="str">
        <f t="shared" si="11"/>
        <v>--</v>
      </c>
      <c r="Y24" s="186" t="str">
        <f t="shared" si="12"/>
        <v>--</v>
      </c>
      <c r="Z24" s="187" t="str">
        <f t="shared" si="13"/>
        <v>--</v>
      </c>
      <c r="AA24" s="188" t="str">
        <f t="shared" si="14"/>
        <v>--</v>
      </c>
      <c r="AB24" s="189" t="str">
        <f t="shared" si="15"/>
        <v>--</v>
      </c>
      <c r="AC24" s="190" t="str">
        <f t="shared" si="16"/>
        <v>--</v>
      </c>
      <c r="AD24" s="191" t="str">
        <f t="shared" si="18"/>
        <v>SI</v>
      </c>
      <c r="AE24" s="192">
        <f t="shared" si="17"/>
        <v>2733.0426</v>
      </c>
      <c r="AF24" s="193"/>
    </row>
    <row r="25" spans="2:32" s="8" customFormat="1" ht="16.5" customHeight="1">
      <c r="B25" s="55"/>
      <c r="C25" s="150">
        <v>4</v>
      </c>
      <c r="D25" s="150">
        <v>295436</v>
      </c>
      <c r="E25" s="150">
        <v>2</v>
      </c>
      <c r="F25" s="194" t="s">
        <v>432</v>
      </c>
      <c r="G25" s="195">
        <v>500</v>
      </c>
      <c r="H25" s="196">
        <v>58</v>
      </c>
      <c r="I25" s="195" t="s">
        <v>333</v>
      </c>
      <c r="J25" s="172">
        <f t="shared" si="0"/>
        <v>20</v>
      </c>
      <c r="K25" s="173">
        <f t="shared" si="1"/>
        <v>506.119</v>
      </c>
      <c r="L25" s="197">
        <v>42343.64791666667</v>
      </c>
      <c r="M25" s="198">
        <v>42344.06458333333</v>
      </c>
      <c r="N25" s="176">
        <f t="shared" si="2"/>
        <v>9.999999999941792</v>
      </c>
      <c r="O25" s="177">
        <f t="shared" si="3"/>
        <v>600</v>
      </c>
      <c r="P25" s="178" t="s">
        <v>332</v>
      </c>
      <c r="Q25" s="179" t="str">
        <f t="shared" si="4"/>
        <v>--</v>
      </c>
      <c r="R25" s="180" t="str">
        <f t="shared" si="5"/>
        <v>NO</v>
      </c>
      <c r="S25" s="180" t="str">
        <f t="shared" si="6"/>
        <v>--</v>
      </c>
      <c r="T25" s="181">
        <f t="shared" si="7"/>
        <v>1012.2380000000002</v>
      </c>
      <c r="U25" s="182" t="str">
        <f t="shared" si="8"/>
        <v>--</v>
      </c>
      <c r="V25" s="183" t="str">
        <f t="shared" si="9"/>
        <v>--</v>
      </c>
      <c r="W25" s="184" t="str">
        <f t="shared" si="10"/>
        <v>--</v>
      </c>
      <c r="X25" s="185" t="str">
        <f t="shared" si="11"/>
        <v>--</v>
      </c>
      <c r="Y25" s="186" t="str">
        <f t="shared" si="12"/>
        <v>--</v>
      </c>
      <c r="Z25" s="187" t="str">
        <f t="shared" si="13"/>
        <v>--</v>
      </c>
      <c r="AA25" s="188" t="str">
        <f t="shared" si="14"/>
        <v>--</v>
      </c>
      <c r="AB25" s="189" t="str">
        <f t="shared" si="15"/>
        <v>--</v>
      </c>
      <c r="AC25" s="190" t="str">
        <f t="shared" si="16"/>
        <v>--</v>
      </c>
      <c r="AD25" s="191" t="str">
        <f t="shared" si="18"/>
        <v>SI</v>
      </c>
      <c r="AE25" s="192">
        <v>0</v>
      </c>
      <c r="AF25" s="193"/>
    </row>
    <row r="26" spans="2:32" s="8" customFormat="1" ht="16.5" customHeight="1">
      <c r="B26" s="55"/>
      <c r="C26" s="169">
        <v>5</v>
      </c>
      <c r="D26" s="169">
        <v>295441</v>
      </c>
      <c r="E26" s="169">
        <v>48</v>
      </c>
      <c r="F26" s="194" t="s">
        <v>431</v>
      </c>
      <c r="G26" s="195">
        <v>500</v>
      </c>
      <c r="H26" s="196">
        <v>270</v>
      </c>
      <c r="I26" s="195" t="s">
        <v>333</v>
      </c>
      <c r="J26" s="172">
        <f t="shared" si="0"/>
        <v>20</v>
      </c>
      <c r="K26" s="173">
        <f t="shared" si="1"/>
        <v>1366.5213</v>
      </c>
      <c r="L26" s="174">
        <v>42344.37291666667</v>
      </c>
      <c r="M26" s="175">
        <v>42344.72430555556</v>
      </c>
      <c r="N26" s="176">
        <f t="shared" si="2"/>
        <v>8.433333333407063</v>
      </c>
      <c r="O26" s="177">
        <f t="shared" si="3"/>
        <v>506</v>
      </c>
      <c r="P26" s="178" t="s">
        <v>332</v>
      </c>
      <c r="Q26" s="179" t="str">
        <f t="shared" si="4"/>
        <v>--</v>
      </c>
      <c r="R26" s="180" t="str">
        <f t="shared" si="5"/>
        <v>NO</v>
      </c>
      <c r="S26" s="180" t="str">
        <f t="shared" si="6"/>
        <v>--</v>
      </c>
      <c r="T26" s="181">
        <f t="shared" si="7"/>
        <v>2303.9549118</v>
      </c>
      <c r="U26" s="182" t="str">
        <f t="shared" si="8"/>
        <v>--</v>
      </c>
      <c r="V26" s="183" t="str">
        <f t="shared" si="9"/>
        <v>--</v>
      </c>
      <c r="W26" s="184" t="str">
        <f t="shared" si="10"/>
        <v>--</v>
      </c>
      <c r="X26" s="185" t="str">
        <f t="shared" si="11"/>
        <v>--</v>
      </c>
      <c r="Y26" s="186" t="str">
        <f t="shared" si="12"/>
        <v>--</v>
      </c>
      <c r="Z26" s="187" t="str">
        <f t="shared" si="13"/>
        <v>--</v>
      </c>
      <c r="AA26" s="188" t="str">
        <f t="shared" si="14"/>
        <v>--</v>
      </c>
      <c r="AB26" s="189" t="str">
        <f t="shared" si="15"/>
        <v>--</v>
      </c>
      <c r="AC26" s="190" t="str">
        <f t="shared" si="16"/>
        <v>--</v>
      </c>
      <c r="AD26" s="191" t="str">
        <f t="shared" si="18"/>
        <v>SI</v>
      </c>
      <c r="AE26" s="192">
        <f t="shared" si="17"/>
        <v>2303.9549118</v>
      </c>
      <c r="AF26" s="193"/>
    </row>
    <row r="27" spans="2:32" s="8" customFormat="1" ht="16.5" customHeight="1">
      <c r="B27" s="55"/>
      <c r="C27" s="150">
        <v>6</v>
      </c>
      <c r="D27" s="150">
        <v>295609</v>
      </c>
      <c r="E27" s="150">
        <v>48</v>
      </c>
      <c r="F27" s="194" t="s">
        <v>431</v>
      </c>
      <c r="G27" s="195">
        <v>500</v>
      </c>
      <c r="H27" s="196">
        <v>270</v>
      </c>
      <c r="I27" s="195" t="s">
        <v>333</v>
      </c>
      <c r="J27" s="172">
        <f t="shared" si="0"/>
        <v>20</v>
      </c>
      <c r="K27" s="173">
        <f t="shared" si="1"/>
        <v>1366.5213</v>
      </c>
      <c r="L27" s="174">
        <v>42345.32152777778</v>
      </c>
      <c r="M27" s="175">
        <v>42345.73611111111</v>
      </c>
      <c r="N27" s="176">
        <f t="shared" si="2"/>
        <v>9.949999999953434</v>
      </c>
      <c r="O27" s="177">
        <f t="shared" si="3"/>
        <v>597</v>
      </c>
      <c r="P27" s="178" t="s">
        <v>332</v>
      </c>
      <c r="Q27" s="179" t="str">
        <f t="shared" si="4"/>
        <v>--</v>
      </c>
      <c r="R27" s="180" t="str">
        <f t="shared" si="5"/>
        <v>NO</v>
      </c>
      <c r="S27" s="180" t="str">
        <f t="shared" si="6"/>
        <v>--</v>
      </c>
      <c r="T27" s="181">
        <f t="shared" si="7"/>
        <v>2719.377387</v>
      </c>
      <c r="U27" s="182" t="str">
        <f t="shared" si="8"/>
        <v>--</v>
      </c>
      <c r="V27" s="183" t="str">
        <f t="shared" si="9"/>
        <v>--</v>
      </c>
      <c r="W27" s="184" t="str">
        <f t="shared" si="10"/>
        <v>--</v>
      </c>
      <c r="X27" s="185" t="str">
        <f t="shared" si="11"/>
        <v>--</v>
      </c>
      <c r="Y27" s="186" t="str">
        <f t="shared" si="12"/>
        <v>--</v>
      </c>
      <c r="Z27" s="187" t="str">
        <f t="shared" si="13"/>
        <v>--</v>
      </c>
      <c r="AA27" s="188" t="str">
        <f t="shared" si="14"/>
        <v>--</v>
      </c>
      <c r="AB27" s="189" t="str">
        <f t="shared" si="15"/>
        <v>--</v>
      </c>
      <c r="AC27" s="190" t="str">
        <f t="shared" si="16"/>
        <v>--</v>
      </c>
      <c r="AD27" s="191" t="str">
        <f t="shared" si="18"/>
        <v>SI</v>
      </c>
      <c r="AE27" s="192">
        <f t="shared" si="17"/>
        <v>2719.377387</v>
      </c>
      <c r="AF27" s="193"/>
    </row>
    <row r="28" spans="2:32" s="2834" customFormat="1" ht="16.5" customHeight="1">
      <c r="B28" s="2808"/>
      <c r="C28" s="2809"/>
      <c r="D28" s="2809"/>
      <c r="E28" s="2809"/>
      <c r="F28" s="2809"/>
      <c r="G28" s="2810"/>
      <c r="H28" s="2811"/>
      <c r="I28" s="2810"/>
      <c r="J28" s="2812"/>
      <c r="K28" s="2813"/>
      <c r="L28" s="2814"/>
      <c r="M28" s="2815"/>
      <c r="N28" s="2816"/>
      <c r="O28" s="2817"/>
      <c r="P28" s="2818"/>
      <c r="Q28" s="2819"/>
      <c r="R28" s="2820"/>
      <c r="S28" s="2820"/>
      <c r="T28" s="2821"/>
      <c r="U28" s="2822"/>
      <c r="V28" s="2823"/>
      <c r="W28" s="2824"/>
      <c r="X28" s="2825"/>
      <c r="Y28" s="2826"/>
      <c r="Z28" s="2827"/>
      <c r="AA28" s="2828"/>
      <c r="AB28" s="2829"/>
      <c r="AC28" s="2830"/>
      <c r="AD28" s="2831"/>
      <c r="AE28" s="2832"/>
      <c r="AF28" s="2833"/>
    </row>
    <row r="29" spans="2:32" s="8" customFormat="1" ht="16.5" customHeight="1">
      <c r="B29" s="55"/>
      <c r="C29" s="150">
        <v>8</v>
      </c>
      <c r="D29" s="150">
        <v>295624</v>
      </c>
      <c r="E29" s="150">
        <v>47</v>
      </c>
      <c r="F29" s="199" t="s">
        <v>434</v>
      </c>
      <c r="G29" s="200">
        <v>500</v>
      </c>
      <c r="H29" s="201">
        <v>289</v>
      </c>
      <c r="I29" s="200" t="s">
        <v>333</v>
      </c>
      <c r="J29" s="172">
        <f t="shared" si="0"/>
        <v>20</v>
      </c>
      <c r="K29" s="173">
        <f t="shared" si="1"/>
        <v>1462.68391</v>
      </c>
      <c r="L29" s="202">
        <v>42350.29722222222</v>
      </c>
      <c r="M29" s="203">
        <v>42351.87291666667</v>
      </c>
      <c r="N29" s="176">
        <f t="shared" si="2"/>
        <v>37.816666666651145</v>
      </c>
      <c r="O29" s="177">
        <f t="shared" si="3"/>
        <v>2269</v>
      </c>
      <c r="P29" s="178" t="s">
        <v>332</v>
      </c>
      <c r="Q29" s="179" t="str">
        <f t="shared" si="4"/>
        <v>--</v>
      </c>
      <c r="R29" s="180" t="str">
        <f t="shared" si="5"/>
        <v>NO</v>
      </c>
      <c r="S29" s="180" t="str">
        <f t="shared" si="6"/>
        <v>--</v>
      </c>
      <c r="T29" s="181">
        <f t="shared" si="7"/>
        <v>11063.74109524</v>
      </c>
      <c r="U29" s="182" t="str">
        <f t="shared" si="8"/>
        <v>--</v>
      </c>
      <c r="V29" s="183" t="str">
        <f t="shared" si="9"/>
        <v>--</v>
      </c>
      <c r="W29" s="184" t="str">
        <f t="shared" si="10"/>
        <v>--</v>
      </c>
      <c r="X29" s="185" t="str">
        <f t="shared" si="11"/>
        <v>--</v>
      </c>
      <c r="Y29" s="186" t="str">
        <f t="shared" si="12"/>
        <v>--</v>
      </c>
      <c r="Z29" s="187" t="str">
        <f t="shared" si="13"/>
        <v>--</v>
      </c>
      <c r="AA29" s="188" t="str">
        <f t="shared" si="14"/>
        <v>--</v>
      </c>
      <c r="AB29" s="189" t="str">
        <f t="shared" si="15"/>
        <v>--</v>
      </c>
      <c r="AC29" s="190" t="str">
        <f t="shared" si="16"/>
        <v>--</v>
      </c>
      <c r="AD29" s="191" t="str">
        <f t="shared" si="18"/>
        <v>SI</v>
      </c>
      <c r="AE29" s="192">
        <v>0</v>
      </c>
      <c r="AF29" s="193"/>
    </row>
    <row r="30" spans="2:32" s="8" customFormat="1" ht="16.5" customHeight="1">
      <c r="B30" s="55"/>
      <c r="C30" s="169">
        <v>9</v>
      </c>
      <c r="D30" s="169">
        <v>295993</v>
      </c>
      <c r="E30" s="169">
        <v>5730</v>
      </c>
      <c r="F30" s="199" t="s">
        <v>435</v>
      </c>
      <c r="G30" s="200">
        <v>500</v>
      </c>
      <c r="H30" s="201">
        <v>46</v>
      </c>
      <c r="I30" s="200" t="s">
        <v>333</v>
      </c>
      <c r="J30" s="172">
        <f t="shared" si="0"/>
        <v>20</v>
      </c>
      <c r="K30" s="173">
        <f t="shared" si="1"/>
        <v>506.119</v>
      </c>
      <c r="L30" s="202">
        <v>42352.35138888889</v>
      </c>
      <c r="M30" s="203">
        <v>42352.64722222222</v>
      </c>
      <c r="N30" s="176">
        <f t="shared" si="2"/>
        <v>7.099999999918509</v>
      </c>
      <c r="O30" s="177">
        <f t="shared" si="3"/>
        <v>426</v>
      </c>
      <c r="P30" s="178" t="s">
        <v>332</v>
      </c>
      <c r="Q30" s="179" t="str">
        <f t="shared" si="4"/>
        <v>--</v>
      </c>
      <c r="R30" s="180" t="str">
        <f t="shared" si="5"/>
        <v>NO</v>
      </c>
      <c r="S30" s="180" t="str">
        <f t="shared" si="6"/>
        <v>--</v>
      </c>
      <c r="T30" s="181">
        <f t="shared" si="7"/>
        <v>718.68898</v>
      </c>
      <c r="U30" s="182" t="str">
        <f t="shared" si="8"/>
        <v>--</v>
      </c>
      <c r="V30" s="183" t="str">
        <f t="shared" si="9"/>
        <v>--</v>
      </c>
      <c r="W30" s="184" t="str">
        <f t="shared" si="10"/>
        <v>--</v>
      </c>
      <c r="X30" s="185" t="str">
        <f t="shared" si="11"/>
        <v>--</v>
      </c>
      <c r="Y30" s="186" t="str">
        <f t="shared" si="12"/>
        <v>--</v>
      </c>
      <c r="Z30" s="187" t="str">
        <f t="shared" si="13"/>
        <v>--</v>
      </c>
      <c r="AA30" s="188" t="str">
        <f t="shared" si="14"/>
        <v>--</v>
      </c>
      <c r="AB30" s="189" t="str">
        <f t="shared" si="15"/>
        <v>--</v>
      </c>
      <c r="AC30" s="190" t="str">
        <f t="shared" si="16"/>
        <v>--</v>
      </c>
      <c r="AD30" s="191" t="str">
        <f t="shared" si="18"/>
        <v>SI</v>
      </c>
      <c r="AE30" s="192">
        <v>0</v>
      </c>
      <c r="AF30" s="193"/>
    </row>
    <row r="31" spans="2:32" s="8" customFormat="1" ht="16.5" customHeight="1">
      <c r="B31" s="55"/>
      <c r="C31" s="150">
        <v>10</v>
      </c>
      <c r="D31" s="150">
        <v>295994</v>
      </c>
      <c r="E31" s="150">
        <v>5731</v>
      </c>
      <c r="F31" s="199" t="s">
        <v>436</v>
      </c>
      <c r="G31" s="200">
        <v>500</v>
      </c>
      <c r="H31" s="201">
        <v>243</v>
      </c>
      <c r="I31" s="200" t="s">
        <v>333</v>
      </c>
      <c r="J31" s="172">
        <f t="shared" si="0"/>
        <v>20</v>
      </c>
      <c r="K31" s="173">
        <f t="shared" si="1"/>
        <v>1229.86917</v>
      </c>
      <c r="L31" s="202">
        <v>42352.35208333333</v>
      </c>
      <c r="M31" s="203">
        <v>42352.64722222222</v>
      </c>
      <c r="N31" s="176">
        <f t="shared" si="2"/>
        <v>7.083333333372138</v>
      </c>
      <c r="O31" s="177">
        <f t="shared" si="3"/>
        <v>425</v>
      </c>
      <c r="P31" s="178" t="s">
        <v>332</v>
      </c>
      <c r="Q31" s="179" t="str">
        <f t="shared" si="4"/>
        <v>--</v>
      </c>
      <c r="R31" s="180" t="str">
        <f t="shared" si="5"/>
        <v>NO</v>
      </c>
      <c r="S31" s="180" t="str">
        <f t="shared" si="6"/>
        <v>--</v>
      </c>
      <c r="T31" s="181">
        <f t="shared" si="7"/>
        <v>1741.49474472</v>
      </c>
      <c r="U31" s="182" t="str">
        <f t="shared" si="8"/>
        <v>--</v>
      </c>
      <c r="V31" s="183" t="str">
        <f t="shared" si="9"/>
        <v>--</v>
      </c>
      <c r="W31" s="184" t="str">
        <f t="shared" si="10"/>
        <v>--</v>
      </c>
      <c r="X31" s="185" t="str">
        <f t="shared" si="11"/>
        <v>--</v>
      </c>
      <c r="Y31" s="186" t="str">
        <f t="shared" si="12"/>
        <v>--</v>
      </c>
      <c r="Z31" s="187" t="str">
        <f t="shared" si="13"/>
        <v>--</v>
      </c>
      <c r="AA31" s="188" t="str">
        <f t="shared" si="14"/>
        <v>--</v>
      </c>
      <c r="AB31" s="189" t="str">
        <f t="shared" si="15"/>
        <v>--</v>
      </c>
      <c r="AC31" s="190" t="str">
        <f t="shared" si="16"/>
        <v>--</v>
      </c>
      <c r="AD31" s="191" t="str">
        <f t="shared" si="18"/>
        <v>SI</v>
      </c>
      <c r="AE31" s="192">
        <v>0</v>
      </c>
      <c r="AF31" s="193"/>
    </row>
    <row r="32" spans="2:32" s="8" customFormat="1" ht="16.5" customHeight="1">
      <c r="B32" s="55"/>
      <c r="C32" s="169">
        <v>11</v>
      </c>
      <c r="D32" s="169">
        <v>295995</v>
      </c>
      <c r="E32" s="169">
        <v>5731</v>
      </c>
      <c r="F32" s="199" t="s">
        <v>436</v>
      </c>
      <c r="G32" s="200">
        <v>500</v>
      </c>
      <c r="H32" s="201">
        <v>243</v>
      </c>
      <c r="I32" s="200" t="s">
        <v>333</v>
      </c>
      <c r="J32" s="172">
        <f t="shared" si="0"/>
        <v>20</v>
      </c>
      <c r="K32" s="173">
        <f t="shared" si="1"/>
        <v>1229.86917</v>
      </c>
      <c r="L32" s="202">
        <v>42353.354166666664</v>
      </c>
      <c r="M32" s="203">
        <v>42353.717361111114</v>
      </c>
      <c r="N32" s="176">
        <f t="shared" si="2"/>
        <v>8.716666666790843</v>
      </c>
      <c r="O32" s="177">
        <f t="shared" si="3"/>
        <v>523</v>
      </c>
      <c r="P32" s="178" t="s">
        <v>332</v>
      </c>
      <c r="Q32" s="179" t="str">
        <f t="shared" si="4"/>
        <v>--</v>
      </c>
      <c r="R32" s="180" t="str">
        <f t="shared" si="5"/>
        <v>NO</v>
      </c>
      <c r="S32" s="180" t="str">
        <f t="shared" si="6"/>
        <v>--</v>
      </c>
      <c r="T32" s="181">
        <f t="shared" si="7"/>
        <v>2144.89183248</v>
      </c>
      <c r="U32" s="182" t="str">
        <f t="shared" si="8"/>
        <v>--</v>
      </c>
      <c r="V32" s="183" t="str">
        <f t="shared" si="9"/>
        <v>--</v>
      </c>
      <c r="W32" s="184" t="str">
        <f t="shared" si="10"/>
        <v>--</v>
      </c>
      <c r="X32" s="185" t="str">
        <f t="shared" si="11"/>
        <v>--</v>
      </c>
      <c r="Y32" s="186" t="str">
        <f t="shared" si="12"/>
        <v>--</v>
      </c>
      <c r="Z32" s="187" t="str">
        <f t="shared" si="13"/>
        <v>--</v>
      </c>
      <c r="AA32" s="188" t="str">
        <f t="shared" si="14"/>
        <v>--</v>
      </c>
      <c r="AB32" s="189" t="str">
        <f t="shared" si="15"/>
        <v>--</v>
      </c>
      <c r="AC32" s="190" t="str">
        <f t="shared" si="16"/>
        <v>--</v>
      </c>
      <c r="AD32" s="191" t="str">
        <f t="shared" si="18"/>
        <v>SI</v>
      </c>
      <c r="AE32" s="192">
        <v>0</v>
      </c>
      <c r="AF32" s="193"/>
    </row>
    <row r="33" spans="2:32" s="8" customFormat="1" ht="16.5" customHeight="1">
      <c r="B33" s="55"/>
      <c r="C33" s="150">
        <v>12</v>
      </c>
      <c r="D33" s="150">
        <v>295996</v>
      </c>
      <c r="E33" s="169">
        <v>5730</v>
      </c>
      <c r="F33" s="199" t="s">
        <v>435</v>
      </c>
      <c r="G33" s="200">
        <v>500</v>
      </c>
      <c r="H33" s="201">
        <v>46</v>
      </c>
      <c r="I33" s="200" t="s">
        <v>333</v>
      </c>
      <c r="J33" s="172">
        <f t="shared" si="0"/>
        <v>20</v>
      </c>
      <c r="K33" s="173">
        <f t="shared" si="1"/>
        <v>506.119</v>
      </c>
      <c r="L33" s="202">
        <v>42353.35555555556</v>
      </c>
      <c r="M33" s="204">
        <v>42353.717361111114</v>
      </c>
      <c r="N33" s="176">
        <f t="shared" si="2"/>
        <v>8.683333333348855</v>
      </c>
      <c r="O33" s="177">
        <f t="shared" si="3"/>
        <v>521</v>
      </c>
      <c r="P33" s="178" t="s">
        <v>332</v>
      </c>
      <c r="Q33" s="179" t="str">
        <f t="shared" si="4"/>
        <v>--</v>
      </c>
      <c r="R33" s="180" t="str">
        <f t="shared" si="5"/>
        <v>NO</v>
      </c>
      <c r="S33" s="180" t="str">
        <f t="shared" si="6"/>
        <v>--</v>
      </c>
      <c r="T33" s="181">
        <f t="shared" si="7"/>
        <v>878.6225840000001</v>
      </c>
      <c r="U33" s="182" t="str">
        <f t="shared" si="8"/>
        <v>--</v>
      </c>
      <c r="V33" s="183" t="str">
        <f t="shared" si="9"/>
        <v>--</v>
      </c>
      <c r="W33" s="184" t="str">
        <f t="shared" si="10"/>
        <v>--</v>
      </c>
      <c r="X33" s="185" t="str">
        <f t="shared" si="11"/>
        <v>--</v>
      </c>
      <c r="Y33" s="186" t="str">
        <f t="shared" si="12"/>
        <v>--</v>
      </c>
      <c r="Z33" s="187" t="str">
        <f t="shared" si="13"/>
        <v>--</v>
      </c>
      <c r="AA33" s="188" t="str">
        <f t="shared" si="14"/>
        <v>--</v>
      </c>
      <c r="AB33" s="189" t="str">
        <f t="shared" si="15"/>
        <v>--</v>
      </c>
      <c r="AC33" s="190" t="str">
        <f t="shared" si="16"/>
        <v>--</v>
      </c>
      <c r="AD33" s="191" t="str">
        <f t="shared" si="18"/>
        <v>SI</v>
      </c>
      <c r="AE33" s="192">
        <v>0</v>
      </c>
      <c r="AF33" s="193"/>
    </row>
    <row r="34" spans="2:32" s="8" customFormat="1" ht="16.5" customHeight="1">
      <c r="B34" s="55"/>
      <c r="C34" s="169">
        <v>13</v>
      </c>
      <c r="D34" s="169">
        <v>296002</v>
      </c>
      <c r="E34" s="169">
        <v>28</v>
      </c>
      <c r="F34" s="199" t="s">
        <v>437</v>
      </c>
      <c r="G34" s="200">
        <v>500</v>
      </c>
      <c r="H34" s="201">
        <v>3</v>
      </c>
      <c r="I34" s="200" t="s">
        <v>333</v>
      </c>
      <c r="J34" s="172">
        <f t="shared" si="0"/>
        <v>20</v>
      </c>
      <c r="K34" s="173">
        <f t="shared" si="1"/>
        <v>506.119</v>
      </c>
      <c r="L34" s="202">
        <v>42355.208333333336</v>
      </c>
      <c r="M34" s="204">
        <v>42355.350694444445</v>
      </c>
      <c r="N34" s="176">
        <f t="shared" si="2"/>
        <v>3.4166666666278616</v>
      </c>
      <c r="O34" s="177">
        <f t="shared" si="3"/>
        <v>205</v>
      </c>
      <c r="P34" s="178" t="s">
        <v>332</v>
      </c>
      <c r="Q34" s="179" t="str">
        <f t="shared" si="4"/>
        <v>--</v>
      </c>
      <c r="R34" s="180" t="str">
        <f t="shared" si="5"/>
        <v>NO</v>
      </c>
      <c r="S34" s="180" t="str">
        <f t="shared" si="6"/>
        <v>--</v>
      </c>
      <c r="T34" s="181">
        <f t="shared" si="7"/>
        <v>346.185396</v>
      </c>
      <c r="U34" s="182" t="str">
        <f t="shared" si="8"/>
        <v>--</v>
      </c>
      <c r="V34" s="183" t="str">
        <f t="shared" si="9"/>
        <v>--</v>
      </c>
      <c r="W34" s="184" t="str">
        <f t="shared" si="10"/>
        <v>--</v>
      </c>
      <c r="X34" s="185" t="str">
        <f t="shared" si="11"/>
        <v>--</v>
      </c>
      <c r="Y34" s="186" t="str">
        <f t="shared" si="12"/>
        <v>--</v>
      </c>
      <c r="Z34" s="187" t="str">
        <f t="shared" si="13"/>
        <v>--</v>
      </c>
      <c r="AA34" s="188" t="str">
        <f t="shared" si="14"/>
        <v>--</v>
      </c>
      <c r="AB34" s="189" t="str">
        <f t="shared" si="15"/>
        <v>--</v>
      </c>
      <c r="AC34" s="190" t="str">
        <f t="shared" si="16"/>
        <v>--</v>
      </c>
      <c r="AD34" s="191" t="str">
        <f t="shared" si="18"/>
        <v>SI</v>
      </c>
      <c r="AE34" s="192">
        <v>0</v>
      </c>
      <c r="AF34" s="193"/>
    </row>
    <row r="35" spans="2:32" s="8" customFormat="1" ht="16.5" customHeight="1">
      <c r="B35" s="55"/>
      <c r="C35" s="150">
        <v>14</v>
      </c>
      <c r="D35" s="150">
        <v>296007</v>
      </c>
      <c r="E35" s="150">
        <v>2</v>
      </c>
      <c r="F35" s="199" t="s">
        <v>432</v>
      </c>
      <c r="G35" s="195">
        <v>500</v>
      </c>
      <c r="H35" s="196">
        <v>58</v>
      </c>
      <c r="I35" s="195" t="s">
        <v>333</v>
      </c>
      <c r="J35" s="172">
        <f t="shared" si="0"/>
        <v>20</v>
      </c>
      <c r="K35" s="173">
        <f t="shared" si="1"/>
        <v>506.119</v>
      </c>
      <c r="L35" s="202">
        <v>42357.05138888889</v>
      </c>
      <c r="M35" s="204">
        <v>42358.46805555555</v>
      </c>
      <c r="N35" s="176">
        <f t="shared" si="2"/>
        <v>33.99999999994179</v>
      </c>
      <c r="O35" s="177">
        <f t="shared" si="3"/>
        <v>2040</v>
      </c>
      <c r="P35" s="178" t="s">
        <v>332</v>
      </c>
      <c r="Q35" s="179" t="str">
        <f t="shared" si="4"/>
        <v>--</v>
      </c>
      <c r="R35" s="180" t="str">
        <f t="shared" si="5"/>
        <v>NO</v>
      </c>
      <c r="S35" s="180" t="str">
        <f t="shared" si="6"/>
        <v>--</v>
      </c>
      <c r="T35" s="181">
        <f t="shared" si="7"/>
        <v>3441.6092000000003</v>
      </c>
      <c r="U35" s="182" t="str">
        <f t="shared" si="8"/>
        <v>--</v>
      </c>
      <c r="V35" s="183" t="str">
        <f t="shared" si="9"/>
        <v>--</v>
      </c>
      <c r="W35" s="184" t="str">
        <f t="shared" si="10"/>
        <v>--</v>
      </c>
      <c r="X35" s="185" t="str">
        <f t="shared" si="11"/>
        <v>--</v>
      </c>
      <c r="Y35" s="186" t="str">
        <f t="shared" si="12"/>
        <v>--</v>
      </c>
      <c r="Z35" s="187" t="str">
        <f t="shared" si="13"/>
        <v>--</v>
      </c>
      <c r="AA35" s="188" t="str">
        <f t="shared" si="14"/>
        <v>--</v>
      </c>
      <c r="AB35" s="189" t="str">
        <f t="shared" si="15"/>
        <v>--</v>
      </c>
      <c r="AC35" s="190" t="str">
        <f t="shared" si="16"/>
        <v>--</v>
      </c>
      <c r="AD35" s="191" t="str">
        <f t="shared" si="18"/>
        <v>SI</v>
      </c>
      <c r="AE35" s="192">
        <v>0</v>
      </c>
      <c r="AF35" s="193"/>
    </row>
    <row r="36" spans="2:32" s="8" customFormat="1" ht="16.5" customHeight="1">
      <c r="B36" s="55"/>
      <c r="C36" s="169">
        <v>15</v>
      </c>
      <c r="D36" s="169">
        <v>296009</v>
      </c>
      <c r="E36" s="169">
        <v>12</v>
      </c>
      <c r="F36" s="199" t="s">
        <v>438</v>
      </c>
      <c r="G36" s="200">
        <v>500</v>
      </c>
      <c r="H36" s="201">
        <v>105</v>
      </c>
      <c r="I36" s="200" t="s">
        <v>333</v>
      </c>
      <c r="J36" s="172">
        <f t="shared" si="0"/>
        <v>20</v>
      </c>
      <c r="K36" s="173">
        <f t="shared" si="1"/>
        <v>531.4249500000001</v>
      </c>
      <c r="L36" s="202">
        <v>42357.29583333333</v>
      </c>
      <c r="M36" s="204">
        <v>42357.70972222222</v>
      </c>
      <c r="N36" s="176">
        <f t="shared" si="2"/>
        <v>9.933333333407063</v>
      </c>
      <c r="O36" s="177">
        <f t="shared" si="3"/>
        <v>596</v>
      </c>
      <c r="P36" s="178" t="s">
        <v>332</v>
      </c>
      <c r="Q36" s="179" t="str">
        <f t="shared" si="4"/>
        <v>--</v>
      </c>
      <c r="R36" s="180" t="str">
        <f t="shared" si="5"/>
        <v>NO</v>
      </c>
      <c r="S36" s="180" t="str">
        <f t="shared" si="6"/>
        <v>--</v>
      </c>
      <c r="T36" s="181">
        <f t="shared" si="7"/>
        <v>1055.4099507000003</v>
      </c>
      <c r="U36" s="182" t="str">
        <f t="shared" si="8"/>
        <v>--</v>
      </c>
      <c r="V36" s="183" t="str">
        <f t="shared" si="9"/>
        <v>--</v>
      </c>
      <c r="W36" s="184" t="str">
        <f t="shared" si="10"/>
        <v>--</v>
      </c>
      <c r="X36" s="185" t="str">
        <f t="shared" si="11"/>
        <v>--</v>
      </c>
      <c r="Y36" s="186" t="str">
        <f t="shared" si="12"/>
        <v>--</v>
      </c>
      <c r="Z36" s="187" t="str">
        <f t="shared" si="13"/>
        <v>--</v>
      </c>
      <c r="AA36" s="188" t="str">
        <f t="shared" si="14"/>
        <v>--</v>
      </c>
      <c r="AB36" s="189" t="str">
        <f t="shared" si="15"/>
        <v>--</v>
      </c>
      <c r="AC36" s="190" t="str">
        <f t="shared" si="16"/>
        <v>--</v>
      </c>
      <c r="AD36" s="191" t="str">
        <f t="shared" si="18"/>
        <v>SI</v>
      </c>
      <c r="AE36" s="192">
        <f t="shared" si="17"/>
        <v>1055.4099507000003</v>
      </c>
      <c r="AF36" s="193"/>
    </row>
    <row r="37" spans="2:32" s="8" customFormat="1" ht="16.5" customHeight="1">
      <c r="B37" s="55"/>
      <c r="C37" s="150">
        <v>16</v>
      </c>
      <c r="D37" s="150">
        <v>296010</v>
      </c>
      <c r="E37" s="150">
        <v>4820</v>
      </c>
      <c r="F37" s="199" t="s">
        <v>439</v>
      </c>
      <c r="G37" s="200">
        <v>500</v>
      </c>
      <c r="H37" s="201">
        <v>64.99</v>
      </c>
      <c r="I37" s="200" t="s">
        <v>336</v>
      </c>
      <c r="J37" s="172">
        <f t="shared" si="0"/>
        <v>60</v>
      </c>
      <c r="K37" s="173">
        <f t="shared" si="1"/>
        <v>506.119</v>
      </c>
      <c r="L37" s="202">
        <v>42357.33194444444</v>
      </c>
      <c r="M37" s="204">
        <v>42357.754166666666</v>
      </c>
      <c r="N37" s="176">
        <f t="shared" si="2"/>
        <v>10.133333333360497</v>
      </c>
      <c r="O37" s="177">
        <f t="shared" si="3"/>
        <v>608</v>
      </c>
      <c r="P37" s="178" t="s">
        <v>332</v>
      </c>
      <c r="Q37" s="179" t="str">
        <f t="shared" si="4"/>
        <v>--</v>
      </c>
      <c r="R37" s="180" t="str">
        <f t="shared" si="5"/>
        <v>NO</v>
      </c>
      <c r="S37" s="180" t="str">
        <f t="shared" si="6"/>
        <v>--</v>
      </c>
      <c r="T37" s="181">
        <f t="shared" si="7"/>
        <v>3076.1912820000002</v>
      </c>
      <c r="U37" s="182" t="str">
        <f t="shared" si="8"/>
        <v>--</v>
      </c>
      <c r="V37" s="183" t="str">
        <f t="shared" si="9"/>
        <v>--</v>
      </c>
      <c r="W37" s="184" t="str">
        <f t="shared" si="10"/>
        <v>--</v>
      </c>
      <c r="X37" s="185" t="str">
        <f t="shared" si="11"/>
        <v>--</v>
      </c>
      <c r="Y37" s="186" t="str">
        <f t="shared" si="12"/>
        <v>--</v>
      </c>
      <c r="Z37" s="187" t="str">
        <f t="shared" si="13"/>
        <v>--</v>
      </c>
      <c r="AA37" s="188" t="str">
        <f t="shared" si="14"/>
        <v>--</v>
      </c>
      <c r="AB37" s="189" t="str">
        <f t="shared" si="15"/>
        <v>--</v>
      </c>
      <c r="AC37" s="190" t="str">
        <f t="shared" si="16"/>
        <v>--</v>
      </c>
      <c r="AD37" s="191" t="str">
        <f t="shared" si="18"/>
        <v>SI</v>
      </c>
      <c r="AE37" s="192">
        <f t="shared" si="17"/>
        <v>3076.1912820000002</v>
      </c>
      <c r="AF37" s="193"/>
    </row>
    <row r="38" spans="2:32" s="8" customFormat="1" ht="16.5" customHeight="1">
      <c r="B38" s="55"/>
      <c r="C38" s="169">
        <v>17</v>
      </c>
      <c r="D38" s="169">
        <v>296011</v>
      </c>
      <c r="E38" s="169">
        <v>5550</v>
      </c>
      <c r="F38" s="199" t="s">
        <v>440</v>
      </c>
      <c r="G38" s="200">
        <v>500</v>
      </c>
      <c r="H38" s="201">
        <v>51</v>
      </c>
      <c r="I38" s="200" t="s">
        <v>336</v>
      </c>
      <c r="J38" s="172">
        <f t="shared" si="0"/>
        <v>60</v>
      </c>
      <c r="K38" s="173">
        <f t="shared" si="1"/>
        <v>506.119</v>
      </c>
      <c r="L38" s="202">
        <v>42357.34097222222</v>
      </c>
      <c r="M38" s="204">
        <v>42357.75208333333</v>
      </c>
      <c r="N38" s="176">
        <f t="shared" si="2"/>
        <v>9.86666666669771</v>
      </c>
      <c r="O38" s="177">
        <f t="shared" si="3"/>
        <v>592</v>
      </c>
      <c r="P38" s="178" t="s">
        <v>332</v>
      </c>
      <c r="Q38" s="179" t="str">
        <f t="shared" si="4"/>
        <v>--</v>
      </c>
      <c r="R38" s="180" t="str">
        <f t="shared" si="5"/>
        <v>NO</v>
      </c>
      <c r="S38" s="180" t="str">
        <f t="shared" si="6"/>
        <v>--</v>
      </c>
      <c r="T38" s="181">
        <f t="shared" si="7"/>
        <v>2997.236718</v>
      </c>
      <c r="U38" s="182" t="str">
        <f t="shared" si="8"/>
        <v>--</v>
      </c>
      <c r="V38" s="183" t="str">
        <f t="shared" si="9"/>
        <v>--</v>
      </c>
      <c r="W38" s="184" t="str">
        <f t="shared" si="10"/>
        <v>--</v>
      </c>
      <c r="X38" s="185" t="str">
        <f t="shared" si="11"/>
        <v>--</v>
      </c>
      <c r="Y38" s="186" t="str">
        <f t="shared" si="12"/>
        <v>--</v>
      </c>
      <c r="Z38" s="187" t="str">
        <f t="shared" si="13"/>
        <v>--</v>
      </c>
      <c r="AA38" s="188" t="str">
        <f t="shared" si="14"/>
        <v>--</v>
      </c>
      <c r="AB38" s="189" t="str">
        <f t="shared" si="15"/>
        <v>--</v>
      </c>
      <c r="AC38" s="190" t="str">
        <f t="shared" si="16"/>
        <v>--</v>
      </c>
      <c r="AD38" s="191" t="str">
        <f t="shared" si="18"/>
        <v>SI</v>
      </c>
      <c r="AE38" s="192">
        <f t="shared" si="17"/>
        <v>2997.236718</v>
      </c>
      <c r="AF38" s="193"/>
    </row>
    <row r="39" spans="2:32" s="8" customFormat="1" ht="16.5" customHeight="1">
      <c r="B39" s="55"/>
      <c r="C39" s="150">
        <v>18</v>
      </c>
      <c r="D39" s="150">
        <v>296015</v>
      </c>
      <c r="E39" s="150">
        <v>12</v>
      </c>
      <c r="F39" s="199" t="s">
        <v>438</v>
      </c>
      <c r="G39" s="200">
        <v>500</v>
      </c>
      <c r="H39" s="201">
        <v>105</v>
      </c>
      <c r="I39" s="200" t="s">
        <v>333</v>
      </c>
      <c r="J39" s="172">
        <f t="shared" si="0"/>
        <v>20</v>
      </c>
      <c r="K39" s="173">
        <f t="shared" si="1"/>
        <v>531.4249500000001</v>
      </c>
      <c r="L39" s="202">
        <v>42358.30972222222</v>
      </c>
      <c r="M39" s="204">
        <v>42358.73541666667</v>
      </c>
      <c r="N39" s="176">
        <f t="shared" si="2"/>
        <v>10.216666666790843</v>
      </c>
      <c r="O39" s="177">
        <f t="shared" si="3"/>
        <v>613</v>
      </c>
      <c r="P39" s="178" t="s">
        <v>332</v>
      </c>
      <c r="Q39" s="179" t="str">
        <f t="shared" si="4"/>
        <v>--</v>
      </c>
      <c r="R39" s="180" t="str">
        <f t="shared" si="5"/>
        <v>NO</v>
      </c>
      <c r="S39" s="180" t="str">
        <f t="shared" si="6"/>
        <v>--</v>
      </c>
      <c r="T39" s="181">
        <f t="shared" si="7"/>
        <v>1086.2325978000003</v>
      </c>
      <c r="U39" s="182" t="str">
        <f t="shared" si="8"/>
        <v>--</v>
      </c>
      <c r="V39" s="183" t="str">
        <f t="shared" si="9"/>
        <v>--</v>
      </c>
      <c r="W39" s="184" t="str">
        <f t="shared" si="10"/>
        <v>--</v>
      </c>
      <c r="X39" s="185" t="str">
        <f t="shared" si="11"/>
        <v>--</v>
      </c>
      <c r="Y39" s="186" t="str">
        <f t="shared" si="12"/>
        <v>--</v>
      </c>
      <c r="Z39" s="187" t="str">
        <f t="shared" si="13"/>
        <v>--</v>
      </c>
      <c r="AA39" s="188" t="str">
        <f t="shared" si="14"/>
        <v>--</v>
      </c>
      <c r="AB39" s="189" t="str">
        <f t="shared" si="15"/>
        <v>--</v>
      </c>
      <c r="AC39" s="190" t="str">
        <f t="shared" si="16"/>
        <v>--</v>
      </c>
      <c r="AD39" s="191" t="str">
        <f t="shared" si="18"/>
        <v>SI</v>
      </c>
      <c r="AE39" s="192">
        <f t="shared" si="17"/>
        <v>1086.2325978000003</v>
      </c>
      <c r="AF39" s="193"/>
    </row>
    <row r="40" spans="2:32" s="8" customFormat="1" ht="16.5" customHeight="1">
      <c r="B40" s="55"/>
      <c r="C40" s="169">
        <v>19</v>
      </c>
      <c r="D40" s="169">
        <v>296017</v>
      </c>
      <c r="E40" s="169">
        <v>4820</v>
      </c>
      <c r="F40" s="199" t="s">
        <v>441</v>
      </c>
      <c r="G40" s="200">
        <v>500</v>
      </c>
      <c r="H40" s="201">
        <v>64.99</v>
      </c>
      <c r="I40" s="200" t="s">
        <v>336</v>
      </c>
      <c r="J40" s="172">
        <f t="shared" si="0"/>
        <v>60</v>
      </c>
      <c r="K40" s="173">
        <f t="shared" si="1"/>
        <v>506.119</v>
      </c>
      <c r="L40" s="202">
        <v>42358.356944444444</v>
      </c>
      <c r="M40" s="204">
        <v>42358.538194444445</v>
      </c>
      <c r="N40" s="176">
        <f t="shared" si="2"/>
        <v>4.350000000034925</v>
      </c>
      <c r="O40" s="177">
        <f t="shared" si="3"/>
        <v>261</v>
      </c>
      <c r="P40" s="178" t="s">
        <v>332</v>
      </c>
      <c r="Q40" s="179" t="str">
        <f t="shared" si="4"/>
        <v>--</v>
      </c>
      <c r="R40" s="180" t="str">
        <f t="shared" si="5"/>
        <v>NO</v>
      </c>
      <c r="S40" s="180" t="str">
        <f t="shared" si="6"/>
        <v>--</v>
      </c>
      <c r="T40" s="181">
        <f t="shared" si="7"/>
        <v>1320.9705900000001</v>
      </c>
      <c r="U40" s="182" t="str">
        <f t="shared" si="8"/>
        <v>--</v>
      </c>
      <c r="V40" s="183" t="str">
        <f t="shared" si="9"/>
        <v>--</v>
      </c>
      <c r="W40" s="184" t="str">
        <f t="shared" si="10"/>
        <v>--</v>
      </c>
      <c r="X40" s="185" t="str">
        <f t="shared" si="11"/>
        <v>--</v>
      </c>
      <c r="Y40" s="186" t="str">
        <f t="shared" si="12"/>
        <v>--</v>
      </c>
      <c r="Z40" s="187" t="str">
        <f t="shared" si="13"/>
        <v>--</v>
      </c>
      <c r="AA40" s="188" t="str">
        <f t="shared" si="14"/>
        <v>--</v>
      </c>
      <c r="AB40" s="189" t="str">
        <f t="shared" si="15"/>
        <v>--</v>
      </c>
      <c r="AC40" s="190" t="str">
        <f t="shared" si="16"/>
        <v>--</v>
      </c>
      <c r="AD40" s="191" t="str">
        <f t="shared" si="18"/>
        <v>SI</v>
      </c>
      <c r="AE40" s="192">
        <f t="shared" si="17"/>
        <v>1320.9705900000001</v>
      </c>
      <c r="AF40" s="193"/>
    </row>
    <row r="41" spans="2:32" s="8" customFormat="1" ht="16.5" customHeight="1">
      <c r="B41" s="55"/>
      <c r="C41" s="150"/>
      <c r="D41" s="150"/>
      <c r="E41" s="150"/>
      <c r="F41" s="199"/>
      <c r="G41" s="200"/>
      <c r="H41" s="201"/>
      <c r="I41" s="200"/>
      <c r="J41" s="172">
        <f t="shared" si="0"/>
        <v>20</v>
      </c>
      <c r="K41" s="173">
        <f t="shared" si="1"/>
        <v>421.774</v>
      </c>
      <c r="L41" s="202"/>
      <c r="M41" s="204"/>
      <c r="N41" s="176">
        <f t="shared" si="2"/>
      </c>
      <c r="O41" s="177">
        <f t="shared" si="3"/>
      </c>
      <c r="P41" s="178"/>
      <c r="Q41" s="179">
        <f t="shared" si="4"/>
      </c>
      <c r="R41" s="180">
        <f t="shared" si="5"/>
      </c>
      <c r="S41" s="180">
        <f t="shared" si="6"/>
      </c>
      <c r="T41" s="181" t="str">
        <f t="shared" si="7"/>
        <v>--</v>
      </c>
      <c r="U41" s="182" t="str">
        <f t="shared" si="8"/>
        <v>--</v>
      </c>
      <c r="V41" s="183" t="str">
        <f t="shared" si="9"/>
        <v>--</v>
      </c>
      <c r="W41" s="184" t="str">
        <f t="shared" si="10"/>
        <v>--</v>
      </c>
      <c r="X41" s="185" t="str">
        <f t="shared" si="11"/>
        <v>--</v>
      </c>
      <c r="Y41" s="186" t="str">
        <f t="shared" si="12"/>
        <v>--</v>
      </c>
      <c r="Z41" s="187" t="str">
        <f t="shared" si="13"/>
        <v>--</v>
      </c>
      <c r="AA41" s="188" t="str">
        <f t="shared" si="14"/>
        <v>--</v>
      </c>
      <c r="AB41" s="189" t="str">
        <f t="shared" si="15"/>
        <v>--</v>
      </c>
      <c r="AC41" s="190" t="str">
        <f t="shared" si="16"/>
        <v>--</v>
      </c>
      <c r="AD41" s="191">
        <f t="shared" si="18"/>
      </c>
      <c r="AE41" s="192">
        <f t="shared" si="17"/>
      </c>
      <c r="AF41" s="193"/>
    </row>
    <row r="42" spans="2:32" s="8" customFormat="1" ht="16.5" customHeight="1" thickBot="1">
      <c r="B42" s="55"/>
      <c r="C42" s="205"/>
      <c r="D42" s="206"/>
      <c r="E42" s="169"/>
      <c r="F42" s="207"/>
      <c r="G42" s="208"/>
      <c r="H42" s="209"/>
      <c r="I42" s="210"/>
      <c r="J42" s="211"/>
      <c r="K42" s="212"/>
      <c r="L42" s="213"/>
      <c r="M42" s="213"/>
      <c r="N42" s="214"/>
      <c r="O42" s="214"/>
      <c r="P42" s="215"/>
      <c r="Q42" s="216"/>
      <c r="R42" s="215"/>
      <c r="S42" s="215"/>
      <c r="T42" s="217"/>
      <c r="U42" s="218"/>
      <c r="V42" s="219"/>
      <c r="W42" s="220"/>
      <c r="X42" s="221"/>
      <c r="Y42" s="222"/>
      <c r="Z42" s="223"/>
      <c r="AA42" s="224"/>
      <c r="AB42" s="225"/>
      <c r="AC42" s="226"/>
      <c r="AD42" s="227"/>
      <c r="AE42" s="228"/>
      <c r="AF42" s="193"/>
    </row>
    <row r="43" spans="2:32" s="8" customFormat="1" ht="16.5" customHeight="1" thickBot="1" thickTop="1">
      <c r="B43" s="55"/>
      <c r="C43" s="229" t="s">
        <v>322</v>
      </c>
      <c r="D43" s="1338" t="s">
        <v>366</v>
      </c>
      <c r="E43" s="229"/>
      <c r="F43" s="230"/>
      <c r="G43" s="231"/>
      <c r="H43" s="232"/>
      <c r="I43" s="233"/>
      <c r="J43" s="232"/>
      <c r="K43" s="234"/>
      <c r="L43" s="234"/>
      <c r="M43" s="234"/>
      <c r="N43" s="234"/>
      <c r="O43" s="234"/>
      <c r="P43" s="234"/>
      <c r="Q43" s="235"/>
      <c r="R43" s="234"/>
      <c r="S43" s="234"/>
      <c r="T43" s="236">
        <f aca="true" t="shared" si="19" ref="T43:AC43">SUM(T20:T42)</f>
        <v>51553.051691340006</v>
      </c>
      <c r="U43" s="237">
        <f t="shared" si="19"/>
        <v>0</v>
      </c>
      <c r="V43" s="238">
        <f t="shared" si="19"/>
        <v>0</v>
      </c>
      <c r="W43" s="238">
        <f t="shared" si="19"/>
        <v>0</v>
      </c>
      <c r="X43" s="238">
        <f t="shared" si="19"/>
        <v>0</v>
      </c>
      <c r="Y43" s="239">
        <f t="shared" si="19"/>
        <v>0</v>
      </c>
      <c r="Z43" s="239">
        <f t="shared" si="19"/>
        <v>0</v>
      </c>
      <c r="AA43" s="239">
        <f t="shared" si="19"/>
        <v>0</v>
      </c>
      <c r="AB43" s="240">
        <f t="shared" si="19"/>
        <v>0</v>
      </c>
      <c r="AC43" s="241">
        <f t="shared" si="19"/>
        <v>0</v>
      </c>
      <c r="AD43" s="242"/>
      <c r="AE43" s="243">
        <f>ROUND(SUM(AE20:AE42),2)</f>
        <v>30205.58</v>
      </c>
      <c r="AF43" s="193"/>
    </row>
    <row r="44" spans="2:32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6"/>
    </row>
    <row r="45" spans="2:32" ht="16.5" customHeight="1" thickTop="1">
      <c r="B45" s="247"/>
      <c r="C45" s="247"/>
      <c r="D45" s="247"/>
      <c r="AF45" s="247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zoomScale="80" zoomScaleNormal="80" zoomScalePageLayoutView="0" workbookViewId="0" topLeftCell="A1">
      <selection activeCell="F55" sqref="F55:G55"/>
    </sheetView>
  </sheetViews>
  <sheetFormatPr defaultColWidth="11.421875" defaultRowHeight="12.75"/>
  <cols>
    <col min="1" max="1" width="14.57421875" style="1120" customWidth="1"/>
    <col min="2" max="2" width="7.28125" style="1120" customWidth="1"/>
    <col min="3" max="3" width="4.7109375" style="1120" customWidth="1"/>
    <col min="4" max="4" width="36.140625" style="1120" customWidth="1"/>
    <col min="5" max="5" width="20.7109375" style="1120" customWidth="1"/>
    <col min="6" max="6" width="15.00390625" style="1120" customWidth="1"/>
    <col min="7" max="7" width="13.8515625" style="1120" customWidth="1"/>
    <col min="8" max="8" width="7.57421875" style="1120" hidden="1" customWidth="1"/>
    <col min="9" max="9" width="8.28125" style="1120" hidden="1" customWidth="1"/>
    <col min="10" max="11" width="18.7109375" style="1120" customWidth="1"/>
    <col min="12" max="13" width="10.7109375" style="1120" customWidth="1"/>
    <col min="14" max="14" width="9.7109375" style="1120" customWidth="1"/>
    <col min="15" max="15" width="10.57421875" style="1120" customWidth="1"/>
    <col min="16" max="16" width="8.421875" style="1120" customWidth="1"/>
    <col min="17" max="17" width="12.57421875" style="1120" bestFit="1" customWidth="1"/>
    <col min="18" max="18" width="12.28125" style="1120" hidden="1" customWidth="1"/>
    <col min="19" max="19" width="13.140625" style="1120" hidden="1" customWidth="1"/>
    <col min="20" max="22" width="5.28125" style="1120" hidden="1" customWidth="1"/>
    <col min="23" max="23" width="16.57421875" style="1120" hidden="1" customWidth="1"/>
    <col min="24" max="26" width="12.28125" style="1120" hidden="1" customWidth="1"/>
    <col min="27" max="27" width="5.28125" style="1120" hidden="1" customWidth="1"/>
    <col min="28" max="28" width="10.8515625" style="1120" customWidth="1"/>
    <col min="29" max="29" width="22.8515625" style="1120" customWidth="1"/>
    <col min="30" max="30" width="6.7109375" style="1120" customWidth="1"/>
    <col min="31" max="31" width="4.140625" style="1120" customWidth="1"/>
    <col min="32" max="32" width="7.140625" style="1120" customWidth="1"/>
    <col min="33" max="33" width="5.28125" style="1120" customWidth="1"/>
    <col min="34" max="34" width="5.421875" style="1120" customWidth="1"/>
    <col min="35" max="35" width="4.7109375" style="1120" customWidth="1"/>
    <col min="36" max="36" width="5.28125" style="1120" customWidth="1"/>
    <col min="37" max="38" width="13.28125" style="1120" customWidth="1"/>
    <col min="39" max="39" width="6.57421875" style="1120" customWidth="1"/>
    <col min="40" max="40" width="6.421875" style="1120" customWidth="1"/>
    <col min="41" max="44" width="11.421875" style="1120" customWidth="1"/>
    <col min="45" max="45" width="12.7109375" style="1120" customWidth="1"/>
    <col min="46" max="48" width="11.421875" style="1120" customWidth="1"/>
    <col min="49" max="49" width="21.00390625" style="1120" customWidth="1"/>
    <col min="50" max="16384" width="11.421875" style="1120" customWidth="1"/>
  </cols>
  <sheetData>
    <row r="1" spans="1:30" ht="13.5">
      <c r="A1" s="1125"/>
      <c r="B1" s="1126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AD1" s="1122"/>
    </row>
    <row r="2" spans="1:23" ht="27" customHeight="1">
      <c r="A2" s="1125"/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</row>
    <row r="3" spans="1:30" s="2109" customFormat="1" ht="30.75">
      <c r="A3" s="2106"/>
      <c r="B3" s="2107" t="str">
        <f>'TOT-1215'!B2</f>
        <v>ANEXO I al Memorándum D.T.E.E. N°  231  / 2017</v>
      </c>
      <c r="C3" s="2108"/>
      <c r="D3" s="2108"/>
      <c r="E3" s="2108"/>
      <c r="F3" s="2108"/>
      <c r="G3" s="2108"/>
      <c r="H3" s="2108"/>
      <c r="I3" s="2108"/>
      <c r="J3" s="2108"/>
      <c r="K3" s="2108"/>
      <c r="L3" s="2108"/>
      <c r="M3" s="2108"/>
      <c r="N3" s="2108"/>
      <c r="O3" s="2108"/>
      <c r="P3" s="2108"/>
      <c r="Q3" s="2108"/>
      <c r="R3" s="2108"/>
      <c r="S3" s="2108"/>
      <c r="T3" s="2108"/>
      <c r="U3" s="2108"/>
      <c r="V3" s="2108"/>
      <c r="W3" s="2108"/>
      <c r="AB3" s="2108"/>
      <c r="AC3" s="2108"/>
      <c r="AD3" s="2108"/>
    </row>
    <row r="4" spans="1:2" s="1129" customFormat="1" ht="11.25">
      <c r="A4" s="1128" t="s">
        <v>2</v>
      </c>
      <c r="B4" s="1128"/>
    </row>
    <row r="5" spans="1:2" s="1129" customFormat="1" ht="11.25">
      <c r="A5" s="1128" t="s">
        <v>3</v>
      </c>
      <c r="B5" s="1128"/>
    </row>
    <row r="6" s="1129" customFormat="1" ht="12" thickBot="1">
      <c r="A6" s="1128"/>
    </row>
    <row r="7" spans="1:30" ht="16.5" customHeight="1" thickTop="1">
      <c r="A7" s="1126"/>
      <c r="B7" s="1130"/>
      <c r="C7" s="1131"/>
      <c r="D7" s="1131"/>
      <c r="E7" s="1132"/>
      <c r="F7" s="1131"/>
      <c r="G7" s="1131"/>
      <c r="H7" s="1131"/>
      <c r="I7" s="1131"/>
      <c r="J7" s="1131"/>
      <c r="K7" s="1131"/>
      <c r="L7" s="1131"/>
      <c r="M7" s="1131"/>
      <c r="N7" s="1131"/>
      <c r="O7" s="1131"/>
      <c r="P7" s="1131"/>
      <c r="Q7" s="1131"/>
      <c r="R7" s="1131"/>
      <c r="S7" s="1131"/>
      <c r="T7" s="1131"/>
      <c r="U7" s="1131"/>
      <c r="V7" s="1131"/>
      <c r="W7" s="2334"/>
      <c r="X7" s="2334"/>
      <c r="Y7" s="2334"/>
      <c r="Z7" s="2334"/>
      <c r="AA7" s="2334"/>
      <c r="AB7" s="2334"/>
      <c r="AC7" s="2334"/>
      <c r="AD7" s="1133"/>
    </row>
    <row r="8" spans="1:30" ht="20.25">
      <c r="A8" s="1126"/>
      <c r="B8" s="1140"/>
      <c r="C8" s="1141"/>
      <c r="D8" s="1137" t="s">
        <v>78</v>
      </c>
      <c r="E8" s="1141"/>
      <c r="F8" s="1141"/>
      <c r="G8" s="1141"/>
      <c r="H8" s="1141"/>
      <c r="I8" s="1141"/>
      <c r="J8" s="1141"/>
      <c r="K8" s="1141"/>
      <c r="L8" s="1141"/>
      <c r="M8" s="1141"/>
      <c r="N8" s="1141"/>
      <c r="O8" s="1141"/>
      <c r="P8" s="2111"/>
      <c r="Q8" s="2111"/>
      <c r="R8" s="1141"/>
      <c r="S8" s="1141"/>
      <c r="T8" s="1141"/>
      <c r="U8" s="1141"/>
      <c r="V8" s="1141"/>
      <c r="AD8" s="1142"/>
    </row>
    <row r="9" spans="1:30" ht="16.5" customHeight="1">
      <c r="A9" s="1126"/>
      <c r="B9" s="1140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AD9" s="1142"/>
    </row>
    <row r="10" spans="2:30" s="1151" customFormat="1" ht="20.25">
      <c r="B10" s="2112"/>
      <c r="C10" s="2113"/>
      <c r="D10" s="1137" t="s">
        <v>79</v>
      </c>
      <c r="E10" s="2113"/>
      <c r="F10" s="2113"/>
      <c r="G10" s="2113"/>
      <c r="H10" s="2113"/>
      <c r="N10" s="2113"/>
      <c r="O10" s="2113"/>
      <c r="P10" s="2114"/>
      <c r="Q10" s="2114"/>
      <c r="R10" s="2113"/>
      <c r="S10" s="2113"/>
      <c r="T10" s="2113"/>
      <c r="U10" s="2113"/>
      <c r="V10" s="2113"/>
      <c r="W10" s="1120"/>
      <c r="X10" s="2113"/>
      <c r="Y10" s="2113"/>
      <c r="Z10" s="2113"/>
      <c r="AA10" s="2113"/>
      <c r="AB10" s="2113"/>
      <c r="AC10" s="1120"/>
      <c r="AD10" s="2115"/>
    </row>
    <row r="11" spans="1:30" ht="16.5" customHeight="1">
      <c r="A11" s="1126"/>
      <c r="B11" s="1140"/>
      <c r="C11" s="1141"/>
      <c r="D11" s="1141"/>
      <c r="E11" s="1141"/>
      <c r="F11" s="1141"/>
      <c r="G11" s="1141"/>
      <c r="H11" s="1141"/>
      <c r="I11" s="1141"/>
      <c r="J11" s="1141"/>
      <c r="K11" s="1141"/>
      <c r="L11" s="1141"/>
      <c r="M11" s="1141"/>
      <c r="N11" s="1141"/>
      <c r="O11" s="1141"/>
      <c r="P11" s="1141"/>
      <c r="Q11" s="1141"/>
      <c r="R11" s="1141"/>
      <c r="S11" s="1141"/>
      <c r="T11" s="1141"/>
      <c r="U11" s="1141"/>
      <c r="V11" s="1141"/>
      <c r="AD11" s="1142"/>
    </row>
    <row r="12" spans="2:30" s="1151" customFormat="1" ht="20.25">
      <c r="B12" s="2112"/>
      <c r="C12" s="2113"/>
      <c r="D12" s="1137" t="s">
        <v>399</v>
      </c>
      <c r="E12" s="2113"/>
      <c r="F12" s="2113"/>
      <c r="G12" s="2113"/>
      <c r="H12" s="2113"/>
      <c r="N12" s="2113"/>
      <c r="O12" s="2113"/>
      <c r="P12" s="2114"/>
      <c r="Q12" s="2114"/>
      <c r="R12" s="2113"/>
      <c r="S12" s="2113"/>
      <c r="T12" s="2113"/>
      <c r="U12" s="2113"/>
      <c r="V12" s="2113"/>
      <c r="W12" s="1120"/>
      <c r="X12" s="2113"/>
      <c r="Y12" s="2113"/>
      <c r="Z12" s="2113"/>
      <c r="AA12" s="2113"/>
      <c r="AB12" s="2113"/>
      <c r="AC12" s="1120"/>
      <c r="AD12" s="2115"/>
    </row>
    <row r="13" spans="1:30" ht="16.5" customHeight="1">
      <c r="A13" s="1126"/>
      <c r="B13" s="1140"/>
      <c r="C13" s="1141"/>
      <c r="D13" s="1141"/>
      <c r="E13" s="1126"/>
      <c r="F13" s="1126"/>
      <c r="G13" s="1126"/>
      <c r="H13" s="1126"/>
      <c r="I13" s="2116"/>
      <c r="J13" s="2116"/>
      <c r="K13" s="2116"/>
      <c r="L13" s="2116"/>
      <c r="M13" s="2116"/>
      <c r="N13" s="2116"/>
      <c r="O13" s="2116"/>
      <c r="P13" s="2116"/>
      <c r="Q13" s="2116"/>
      <c r="R13" s="1141"/>
      <c r="S13" s="1141"/>
      <c r="T13" s="1141"/>
      <c r="U13" s="1141"/>
      <c r="V13" s="1141"/>
      <c r="AD13" s="1142"/>
    </row>
    <row r="14" spans="2:30" s="1151" customFormat="1" ht="19.5">
      <c r="B14" s="1152" t="str">
        <f>'TOT-1215'!B14</f>
        <v>Desde el 01 al 31 de diciembre de 2015</v>
      </c>
      <c r="C14" s="2117"/>
      <c r="D14" s="1153"/>
      <c r="E14" s="1153"/>
      <c r="F14" s="1153"/>
      <c r="G14" s="1153"/>
      <c r="H14" s="1153"/>
      <c r="I14" s="2118"/>
      <c r="J14" s="2119"/>
      <c r="K14" s="2118"/>
      <c r="L14" s="2118"/>
      <c r="M14" s="2118"/>
      <c r="N14" s="2118"/>
      <c r="O14" s="2118"/>
      <c r="P14" s="2118"/>
      <c r="Q14" s="2118"/>
      <c r="R14" s="2118"/>
      <c r="S14" s="2118"/>
      <c r="T14" s="2118"/>
      <c r="U14" s="2120"/>
      <c r="V14" s="2120"/>
      <c r="W14" s="1120"/>
      <c r="X14" s="2335"/>
      <c r="Y14" s="2335"/>
      <c r="Z14" s="2335"/>
      <c r="AA14" s="2335"/>
      <c r="AB14" s="2120"/>
      <c r="AC14" s="2119"/>
      <c r="AD14" s="2121"/>
    </row>
    <row r="15" spans="1:30" ht="16.5" customHeight="1">
      <c r="A15" s="1126"/>
      <c r="B15" s="1140"/>
      <c r="C15" s="1141"/>
      <c r="D15" s="1141"/>
      <c r="E15" s="1154"/>
      <c r="F15" s="1154"/>
      <c r="G15" s="1141"/>
      <c r="H15" s="1141"/>
      <c r="I15" s="1141"/>
      <c r="J15" s="2122"/>
      <c r="K15" s="1141"/>
      <c r="L15" s="1141"/>
      <c r="M15" s="1141"/>
      <c r="N15" s="1126"/>
      <c r="O15" s="1126"/>
      <c r="P15" s="1141"/>
      <c r="Q15" s="1141"/>
      <c r="R15" s="1141"/>
      <c r="S15" s="1141"/>
      <c r="T15" s="1141"/>
      <c r="U15" s="1141"/>
      <c r="V15" s="1141"/>
      <c r="AD15" s="1142"/>
    </row>
    <row r="16" spans="1:30" ht="16.5" customHeight="1">
      <c r="A16" s="1126"/>
      <c r="B16" s="1140"/>
      <c r="C16" s="1141"/>
      <c r="D16" s="1141"/>
      <c r="E16" s="1154"/>
      <c r="F16" s="1154"/>
      <c r="G16" s="1141"/>
      <c r="H16" s="1141"/>
      <c r="I16" s="2123"/>
      <c r="J16" s="1141"/>
      <c r="K16" s="1188"/>
      <c r="M16" s="1141"/>
      <c r="N16" s="1126"/>
      <c r="O16" s="1126"/>
      <c r="P16" s="1141"/>
      <c r="Q16" s="1141"/>
      <c r="R16" s="1141"/>
      <c r="S16" s="1141"/>
      <c r="T16" s="1141"/>
      <c r="U16" s="1141"/>
      <c r="V16" s="1141"/>
      <c r="AD16" s="1142"/>
    </row>
    <row r="17" spans="1:30" ht="16.5" customHeight="1">
      <c r="A17" s="1126"/>
      <c r="B17" s="1140"/>
      <c r="C17" s="1141"/>
      <c r="D17" s="1141"/>
      <c r="E17" s="1154"/>
      <c r="F17" s="1154"/>
      <c r="G17" s="1141"/>
      <c r="H17" s="1141"/>
      <c r="I17" s="2123"/>
      <c r="J17" s="1141"/>
      <c r="K17" s="1188"/>
      <c r="M17" s="1141"/>
      <c r="N17" s="1126"/>
      <c r="O17" s="1126"/>
      <c r="P17" s="1141"/>
      <c r="Q17" s="1141"/>
      <c r="R17" s="1141"/>
      <c r="S17" s="1141"/>
      <c r="T17" s="1141"/>
      <c r="U17" s="1141"/>
      <c r="V17" s="1141"/>
      <c r="AD17" s="1142"/>
    </row>
    <row r="18" spans="1:30" ht="16.5" customHeight="1">
      <c r="A18" s="1126"/>
      <c r="B18" s="1140"/>
      <c r="C18" s="2124" t="s">
        <v>80</v>
      </c>
      <c r="D18" s="2125" t="s">
        <v>81</v>
      </c>
      <c r="E18" s="1154"/>
      <c r="F18" s="1154"/>
      <c r="G18" s="1141"/>
      <c r="H18" s="1141"/>
      <c r="I18" s="1141"/>
      <c r="J18" s="2122"/>
      <c r="K18" s="1141"/>
      <c r="L18" s="1141"/>
      <c r="M18" s="1141"/>
      <c r="N18" s="1126"/>
      <c r="O18" s="1126"/>
      <c r="P18" s="1141"/>
      <c r="Q18" s="1141"/>
      <c r="R18" s="1141"/>
      <c r="S18" s="1141"/>
      <c r="T18" s="1141"/>
      <c r="U18" s="1141"/>
      <c r="V18" s="1141"/>
      <c r="AD18" s="1142"/>
    </row>
    <row r="19" spans="2:30" s="2126" customFormat="1" ht="16.5" customHeight="1">
      <c r="B19" s="2127"/>
      <c r="C19" s="2128"/>
      <c r="D19" s="2129"/>
      <c r="E19" s="2336"/>
      <c r="F19" s="2153"/>
      <c r="G19" s="2128"/>
      <c r="H19" s="2128"/>
      <c r="I19" s="2128"/>
      <c r="J19" s="2133"/>
      <c r="K19" s="2128"/>
      <c r="L19" s="2128"/>
      <c r="M19" s="2128"/>
      <c r="P19" s="2128"/>
      <c r="Q19" s="2128"/>
      <c r="R19" s="2128"/>
      <c r="S19" s="2128"/>
      <c r="T19" s="2128"/>
      <c r="U19" s="2128"/>
      <c r="V19" s="2128"/>
      <c r="W19" s="1120"/>
      <c r="AD19" s="2135"/>
    </row>
    <row r="20" spans="2:30" s="2126" customFormat="1" ht="16.5" customHeight="1">
      <c r="B20" s="2127"/>
      <c r="C20" s="2128"/>
      <c r="D20" s="2337" t="s">
        <v>400</v>
      </c>
      <c r="F20" s="2138">
        <v>506.119</v>
      </c>
      <c r="G20" s="2337" t="s">
        <v>83</v>
      </c>
      <c r="H20" s="2128"/>
      <c r="I20" s="2128"/>
      <c r="J20" s="2303"/>
      <c r="K20" s="2130" t="s">
        <v>84</v>
      </c>
      <c r="L20" s="2137">
        <v>0.025</v>
      </c>
      <c r="Q20" s="2138"/>
      <c r="R20" s="2128"/>
      <c r="S20" s="2128"/>
      <c r="T20" s="2128"/>
      <c r="U20" s="2128"/>
      <c r="V20" s="2128"/>
      <c r="W20" s="1120"/>
      <c r="AD20" s="2135"/>
    </row>
    <row r="21" spans="2:30" s="2126" customFormat="1" ht="16.5" customHeight="1">
      <c r="B21" s="2127"/>
      <c r="C21" s="2128"/>
      <c r="D21" s="2337" t="s">
        <v>401</v>
      </c>
      <c r="F21" s="2138">
        <v>276.033</v>
      </c>
      <c r="G21" s="2338" t="s">
        <v>86</v>
      </c>
      <c r="H21" s="2128"/>
      <c r="I21" s="2128"/>
      <c r="J21" s="2128"/>
      <c r="K21" s="2129" t="s">
        <v>87</v>
      </c>
      <c r="L21" s="2128">
        <f>MID(B14,16,2)*24</f>
        <v>744</v>
      </c>
      <c r="M21" s="2128" t="s">
        <v>88</v>
      </c>
      <c r="Q21" s="2138"/>
      <c r="R21" s="2128"/>
      <c r="S21" s="2128"/>
      <c r="T21" s="2128"/>
      <c r="U21" s="2128"/>
      <c r="V21" s="2128"/>
      <c r="W21" s="1120"/>
      <c r="AD21" s="2135"/>
    </row>
    <row r="22" spans="2:30" s="2126" customFormat="1" ht="16.5" customHeight="1">
      <c r="B22" s="2127"/>
      <c r="C22" s="2128"/>
      <c r="D22" s="2337" t="s">
        <v>402</v>
      </c>
      <c r="E22" s="2339"/>
      <c r="F22" s="2340">
        <v>1.391</v>
      </c>
      <c r="G22" s="2338" t="s">
        <v>86</v>
      </c>
      <c r="H22" s="2128"/>
      <c r="I22" s="2128"/>
      <c r="J22" s="2128"/>
      <c r="K22" s="2129"/>
      <c r="L22" s="2128"/>
      <c r="M22" s="2128"/>
      <c r="N22" s="2128"/>
      <c r="O22" s="1155"/>
      <c r="P22" s="1156"/>
      <c r="Q22" s="2340"/>
      <c r="R22" s="2128"/>
      <c r="S22" s="2128"/>
      <c r="T22" s="2128"/>
      <c r="U22" s="2128"/>
      <c r="V22" s="2128"/>
      <c r="W22" s="1120"/>
      <c r="AD22" s="2135"/>
    </row>
    <row r="23" spans="2:30" s="2126" customFormat="1" ht="16.5" customHeight="1">
      <c r="B23" s="2127"/>
      <c r="C23" s="2128"/>
      <c r="D23" s="2337" t="s">
        <v>403</v>
      </c>
      <c r="E23" s="2339"/>
      <c r="F23" s="2341">
        <v>20</v>
      </c>
      <c r="G23" s="2338"/>
      <c r="H23" s="2128"/>
      <c r="I23" s="2128"/>
      <c r="J23" s="2128"/>
      <c r="K23" s="2129"/>
      <c r="L23" s="2128"/>
      <c r="M23" s="2128"/>
      <c r="N23" s="2128"/>
      <c r="O23" s="1155"/>
      <c r="P23" s="1156"/>
      <c r="Q23" s="1141"/>
      <c r="R23" s="2128"/>
      <c r="S23" s="2128"/>
      <c r="T23" s="2128"/>
      <c r="U23" s="2128"/>
      <c r="V23" s="2128"/>
      <c r="W23" s="1120"/>
      <c r="AD23" s="2135"/>
    </row>
    <row r="24" spans="2:30" s="2126" customFormat="1" ht="16.5" customHeight="1">
      <c r="B24" s="2127"/>
      <c r="C24" s="2128"/>
      <c r="D24" s="2337"/>
      <c r="E24" s="2339"/>
      <c r="F24" s="2341"/>
      <c r="G24" s="2338"/>
      <c r="H24" s="2128"/>
      <c r="I24" s="2128"/>
      <c r="J24" s="2128"/>
      <c r="K24" s="2129"/>
      <c r="L24" s="2128"/>
      <c r="M24" s="2128"/>
      <c r="N24" s="2128"/>
      <c r="O24" s="1155"/>
      <c r="P24" s="1156"/>
      <c r="Q24" s="1141"/>
      <c r="R24" s="2128"/>
      <c r="S24" s="2128"/>
      <c r="T24" s="2128"/>
      <c r="U24" s="2128"/>
      <c r="V24" s="2128"/>
      <c r="W24" s="1120"/>
      <c r="AD24" s="2135"/>
    </row>
    <row r="25" spans="2:30" s="2126" customFormat="1" ht="16.5" customHeight="1">
      <c r="B25" s="2127"/>
      <c r="C25" s="2128"/>
      <c r="D25" s="2128"/>
      <c r="E25" s="2151"/>
      <c r="F25" s="2128"/>
      <c r="G25" s="2128"/>
      <c r="H25" s="2128"/>
      <c r="I25" s="2128"/>
      <c r="J25" s="2128"/>
      <c r="K25" s="2128"/>
      <c r="L25" s="2128"/>
      <c r="M25" s="2128"/>
      <c r="N25" s="2128"/>
      <c r="O25" s="2128"/>
      <c r="P25" s="2128"/>
      <c r="Q25" s="2128"/>
      <c r="R25" s="2128"/>
      <c r="S25" s="2128"/>
      <c r="T25" s="2128"/>
      <c r="U25" s="2128"/>
      <c r="V25" s="2128"/>
      <c r="W25" s="1120"/>
      <c r="AD25" s="2135"/>
    </row>
    <row r="26" spans="1:30" ht="16.5" customHeight="1">
      <c r="A26" s="1126"/>
      <c r="B26" s="1140"/>
      <c r="C26" s="2124" t="s">
        <v>89</v>
      </c>
      <c r="D26" s="2152" t="s">
        <v>361</v>
      </c>
      <c r="I26" s="1141"/>
      <c r="J26" s="2126"/>
      <c r="O26" s="1141"/>
      <c r="P26" s="1141"/>
      <c r="Q26" s="1141"/>
      <c r="R26" s="1141"/>
      <c r="S26" s="1141"/>
      <c r="T26" s="1141"/>
      <c r="V26" s="1141"/>
      <c r="X26" s="1141"/>
      <c r="Y26" s="1141"/>
      <c r="Z26" s="1141"/>
      <c r="AA26" s="1141"/>
      <c r="AB26" s="1141"/>
      <c r="AC26" s="1141"/>
      <c r="AD26" s="1142"/>
    </row>
    <row r="27" spans="1:30" ht="10.5" customHeight="1" thickBot="1">
      <c r="A27" s="1126"/>
      <c r="B27" s="1140"/>
      <c r="C27" s="1154"/>
      <c r="D27" s="2152"/>
      <c r="I27" s="1141"/>
      <c r="J27" s="2126"/>
      <c r="O27" s="1141"/>
      <c r="P27" s="1141"/>
      <c r="Q27" s="1141"/>
      <c r="R27" s="1141"/>
      <c r="S27" s="1141"/>
      <c r="T27" s="1141"/>
      <c r="V27" s="1141"/>
      <c r="X27" s="1141"/>
      <c r="Y27" s="1141"/>
      <c r="Z27" s="1141"/>
      <c r="AA27" s="1141"/>
      <c r="AB27" s="1141"/>
      <c r="AC27" s="1141"/>
      <c r="AD27" s="1142"/>
    </row>
    <row r="28" spans="2:30" s="2126" customFormat="1" ht="21" customHeight="1" thickBot="1" thickTop="1">
      <c r="B28" s="2127"/>
      <c r="C28" s="2153"/>
      <c r="D28" s="1120"/>
      <c r="E28" s="1120"/>
      <c r="F28" s="1120"/>
      <c r="G28" s="1120"/>
      <c r="H28" s="1120"/>
      <c r="I28" s="1120"/>
      <c r="J28" s="2154" t="s">
        <v>90</v>
      </c>
      <c r="K28" s="2155">
        <f>AC75*L20</f>
        <v>59274.80467320001</v>
      </c>
      <c r="L28" s="1120"/>
      <c r="S28" s="1120"/>
      <c r="T28" s="1120"/>
      <c r="U28" s="1120"/>
      <c r="W28" s="1120"/>
      <c r="AD28" s="2135"/>
    </row>
    <row r="29" spans="2:30" s="2126" customFormat="1" ht="11.25" customHeight="1" thickTop="1">
      <c r="B29" s="2127"/>
      <c r="C29" s="2153"/>
      <c r="D29" s="2128"/>
      <c r="E29" s="2151"/>
      <c r="F29" s="2128"/>
      <c r="G29" s="2128"/>
      <c r="H29" s="2128"/>
      <c r="I29" s="2128"/>
      <c r="J29" s="2128"/>
      <c r="K29" s="2128"/>
      <c r="L29" s="2128"/>
      <c r="M29" s="2128"/>
      <c r="N29" s="2128"/>
      <c r="O29" s="2128"/>
      <c r="P29" s="2128"/>
      <c r="Q29" s="2128"/>
      <c r="R29" s="2128"/>
      <c r="S29" s="2128"/>
      <c r="T29" s="2128"/>
      <c r="U29" s="1120"/>
      <c r="W29" s="1120"/>
      <c r="AD29" s="2135"/>
    </row>
    <row r="30" spans="1:30" ht="16.5" customHeight="1">
      <c r="A30" s="1126"/>
      <c r="B30" s="1140"/>
      <c r="C30" s="2124" t="s">
        <v>91</v>
      </c>
      <c r="D30" s="2152" t="s">
        <v>323</v>
      </c>
      <c r="E30" s="1186"/>
      <c r="F30" s="1141"/>
      <c r="G30" s="1141"/>
      <c r="H30" s="1141"/>
      <c r="I30" s="1141"/>
      <c r="J30" s="1141"/>
      <c r="K30" s="1141"/>
      <c r="L30" s="1141"/>
      <c r="M30" s="1141"/>
      <c r="N30" s="1141"/>
      <c r="O30" s="1141"/>
      <c r="P30" s="1141"/>
      <c r="Q30" s="1141"/>
      <c r="R30" s="1141"/>
      <c r="S30" s="1141"/>
      <c r="T30" s="1141"/>
      <c r="U30" s="1141"/>
      <c r="V30" s="1141"/>
      <c r="AD30" s="1142"/>
    </row>
    <row r="31" spans="1:30" ht="21.75" customHeight="1" thickBot="1">
      <c r="A31" s="1126"/>
      <c r="B31" s="1140"/>
      <c r="C31" s="1141"/>
      <c r="D31" s="1141"/>
      <c r="E31" s="1186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  <c r="P31" s="1141"/>
      <c r="Q31" s="1141"/>
      <c r="R31" s="1141"/>
      <c r="S31" s="1141"/>
      <c r="T31" s="1141"/>
      <c r="U31" s="1141"/>
      <c r="V31" s="1141"/>
      <c r="AD31" s="1142"/>
    </row>
    <row r="32" spans="2:31" s="1126" customFormat="1" ht="33.75" customHeight="1" thickBot="1" thickTop="1">
      <c r="B32" s="1140"/>
      <c r="C32" s="1157" t="s">
        <v>25</v>
      </c>
      <c r="D32" s="2342" t="s">
        <v>5</v>
      </c>
      <c r="E32" s="2343" t="s">
        <v>28</v>
      </c>
      <c r="F32" s="2344" t="s">
        <v>29</v>
      </c>
      <c r="G32" s="1160" t="s">
        <v>30</v>
      </c>
      <c r="H32" s="2345" t="s">
        <v>31</v>
      </c>
      <c r="I32" s="2233" t="s">
        <v>32</v>
      </c>
      <c r="J32" s="1158" t="s">
        <v>33</v>
      </c>
      <c r="K32" s="1161" t="s">
        <v>34</v>
      </c>
      <c r="L32" s="1162" t="s">
        <v>35</v>
      </c>
      <c r="M32" s="1159" t="s">
        <v>36</v>
      </c>
      <c r="N32" s="1162" t="s">
        <v>92</v>
      </c>
      <c r="O32" s="1162" t="s">
        <v>37</v>
      </c>
      <c r="P32" s="1161" t="s">
        <v>38</v>
      </c>
      <c r="Q32" s="1158" t="s">
        <v>39</v>
      </c>
      <c r="R32" s="2346" t="s">
        <v>40</v>
      </c>
      <c r="S32" s="2347" t="s">
        <v>41</v>
      </c>
      <c r="T32" s="2348" t="s">
        <v>48</v>
      </c>
      <c r="U32" s="2349"/>
      <c r="V32" s="2350"/>
      <c r="W32" s="2351" t="s">
        <v>93</v>
      </c>
      <c r="X32" s="2352"/>
      <c r="Y32" s="2353"/>
      <c r="Z32" s="2354" t="s">
        <v>44</v>
      </c>
      <c r="AA32" s="2355" t="s">
        <v>94</v>
      </c>
      <c r="AB32" s="2356" t="s">
        <v>46</v>
      </c>
      <c r="AC32" s="1231" t="s">
        <v>47</v>
      </c>
      <c r="AD32" s="1166"/>
      <c r="AE32" s="1120"/>
    </row>
    <row r="33" spans="1:30" ht="16.5" customHeight="1" thickTop="1">
      <c r="A33" s="1126"/>
      <c r="B33" s="1140"/>
      <c r="C33" s="2239"/>
      <c r="D33" s="2357"/>
      <c r="E33" s="2358"/>
      <c r="F33" s="2359"/>
      <c r="G33" s="2360"/>
      <c r="H33" s="2361"/>
      <c r="I33" s="2362"/>
      <c r="J33" s="2363"/>
      <c r="K33" s="2364"/>
      <c r="L33" s="2239"/>
      <c r="M33" s="2239"/>
      <c r="N33" s="2365"/>
      <c r="O33" s="2365"/>
      <c r="P33" s="2239"/>
      <c r="Q33" s="2366"/>
      <c r="R33" s="2367"/>
      <c r="S33" s="2368"/>
      <c r="T33" s="2369"/>
      <c r="U33" s="2370"/>
      <c r="V33" s="2371"/>
      <c r="W33" s="2372"/>
      <c r="X33" s="2373"/>
      <c r="Y33" s="2374"/>
      <c r="Z33" s="2375"/>
      <c r="AA33" s="2376"/>
      <c r="AB33" s="2377"/>
      <c r="AC33" s="2378"/>
      <c r="AD33" s="1142"/>
    </row>
    <row r="34" spans="1:30" ht="16.5" customHeight="1">
      <c r="A34" s="1126"/>
      <c r="B34" s="1140"/>
      <c r="C34" s="895" t="s">
        <v>95</v>
      </c>
      <c r="D34" s="152" t="s">
        <v>337</v>
      </c>
      <c r="E34" s="559">
        <v>500</v>
      </c>
      <c r="F34" s="560">
        <v>40</v>
      </c>
      <c r="G34" s="561" t="s">
        <v>333</v>
      </c>
      <c r="H34" s="2379">
        <f aca="true" t="shared" si="0" ref="H34:H39">IF(G34="A",200,IF(G34="B",60,20))</f>
        <v>20</v>
      </c>
      <c r="I34" s="2380">
        <f aca="true" t="shared" si="1" ref="I34:I39">IF(F34&gt;100,F34,100)*$F$20/100</f>
        <v>506.119</v>
      </c>
      <c r="J34" s="562">
        <v>42319.01388888889</v>
      </c>
      <c r="K34" s="563">
        <v>42319.03125</v>
      </c>
      <c r="L34" s="2381">
        <f aca="true" t="shared" si="2" ref="L34:L39">IF(D34="","",(K34-J34)*24)</f>
        <v>0.41666666662786156</v>
      </c>
      <c r="M34" s="2251">
        <f aca="true" t="shared" si="3" ref="M34:M39">IF(D34="","",ROUND((K34-J34)*24*60,0))</f>
        <v>25</v>
      </c>
      <c r="N34" s="564" t="s">
        <v>335</v>
      </c>
      <c r="O34" s="1283" t="str">
        <f aca="true" t="shared" si="4" ref="O34:O39">IF(D34="","","--")</f>
        <v>--</v>
      </c>
      <c r="P34" s="1174" t="str">
        <f aca="true" t="shared" si="5" ref="P34:P39">IF(D34="","","NO")</f>
        <v>NO</v>
      </c>
      <c r="Q34" s="1174" t="str">
        <f aca="true" t="shared" si="6" ref="Q34:Q39">IF(D34="","",IF(OR(N34="P",N34="RP"),"--","NO"))</f>
        <v>NO</v>
      </c>
      <c r="R34" s="2382" t="str">
        <f aca="true" t="shared" si="7" ref="R34:R39">IF(N34="P",+I34*H34*ROUND(M34/60,2)/100,"--")</f>
        <v>--</v>
      </c>
      <c r="S34" s="2383" t="str">
        <f aca="true" t="shared" si="8" ref="S34:S39">IF(N34="RP",I34*H34*ROUND(M34/60,2)*0.01*O34/100,"--")</f>
        <v>--</v>
      </c>
      <c r="T34" s="2384">
        <f aca="true" t="shared" si="9" ref="T34:T39">IF(AND(N34="F",Q34="NO"),IF(P34="SI",1.2,1)*I34*H34,"--")</f>
        <v>10122.380000000001</v>
      </c>
      <c r="U34" s="2385">
        <f aca="true" t="shared" si="10" ref="U34:U39">IF(AND(M34&gt;10,N34="F"),IF(M34&lt;=300,ROUND(M34/60,2),5)*I34*H34*IF(P34="SI",1.2,1),"--")</f>
        <v>4251.399600000001</v>
      </c>
      <c r="V34" s="2386" t="str">
        <f aca="true" t="shared" si="11" ref="V34:V39">IF(AND(N34="F",M34&gt;300),IF(P34="SI",1.2,1)*(ROUND(M34/60,2)-5)*I34*H34*0.1,"--")</f>
        <v>--</v>
      </c>
      <c r="W34" s="2387" t="str">
        <f aca="true" t="shared" si="12" ref="W34:W39">IF(AND(N34="R",Q34="NO"),IF(P34="SI",1.2,1)*I34*H34*O34/100,"--")</f>
        <v>--</v>
      </c>
      <c r="X34" s="2388" t="str">
        <f aca="true" t="shared" si="13" ref="X34:X39">IF(AND(M34&gt;10,N34="R"),IF(M34&lt;=300,ROUND(M34/60,2),5)*I34*H34*O34/100*IF(P34="SI",1.2,1),"--")</f>
        <v>--</v>
      </c>
      <c r="Y34" s="2389" t="str">
        <f aca="true" t="shared" si="14" ref="Y34:Y39">IF(AND(N34="R",M34&gt;300),IF(P34="SI",1.2,1)*(ROUND(M34/60,2)-5)*I34*H34*O34/100*0.1,"--")</f>
        <v>--</v>
      </c>
      <c r="Z34" s="2390" t="str">
        <f aca="true" t="shared" si="15" ref="Z34:Z39">IF(N34="RF",IF(P34="SI",1.2,1)*ROUND(M34/60,2)*I34*H34*0.1,"--")</f>
        <v>--</v>
      </c>
      <c r="AA34" s="2391" t="str">
        <f aca="true" t="shared" si="16" ref="AA34:AA39">IF(N34="RR",IF(P34="SI",1.2,1)*ROUND(M34/60,2)*I34*H34*O34/100*0.1,"--")</f>
        <v>--</v>
      </c>
      <c r="AB34" s="2392" t="str">
        <f aca="true" t="shared" si="17" ref="AB34:AB39">IF(D34="","","SI")</f>
        <v>SI</v>
      </c>
      <c r="AC34" s="1175">
        <f aca="true" t="shared" si="18" ref="AC34:AC39">IF(D34="","",SUM(R34:AA34)*IF(AB34="SI",1,2))</f>
        <v>14373.779600000002</v>
      </c>
      <c r="AD34" s="1142"/>
    </row>
    <row r="35" spans="1:30" ht="16.5" customHeight="1">
      <c r="A35" s="1126"/>
      <c r="B35" s="1140"/>
      <c r="C35" s="895" t="s">
        <v>96</v>
      </c>
      <c r="D35" s="152" t="s">
        <v>337</v>
      </c>
      <c r="E35" s="559">
        <v>500</v>
      </c>
      <c r="F35" s="560">
        <v>40</v>
      </c>
      <c r="G35" s="561" t="s">
        <v>333</v>
      </c>
      <c r="H35" s="2379">
        <f t="shared" si="0"/>
        <v>20</v>
      </c>
      <c r="I35" s="2380">
        <f t="shared" si="1"/>
        <v>506.119</v>
      </c>
      <c r="J35" s="562">
        <v>42322.05347222222</v>
      </c>
      <c r="K35" s="563">
        <v>42322.13263888889</v>
      </c>
      <c r="L35" s="2381">
        <f t="shared" si="2"/>
        <v>1.9000000000814907</v>
      </c>
      <c r="M35" s="2251">
        <f t="shared" si="3"/>
        <v>114</v>
      </c>
      <c r="N35" s="564" t="s">
        <v>332</v>
      </c>
      <c r="O35" s="1283" t="str">
        <f t="shared" si="4"/>
        <v>--</v>
      </c>
      <c r="P35" s="1174" t="str">
        <f t="shared" si="5"/>
        <v>NO</v>
      </c>
      <c r="Q35" s="1174" t="str">
        <f t="shared" si="6"/>
        <v>--</v>
      </c>
      <c r="R35" s="2382">
        <f t="shared" si="7"/>
        <v>192.32522</v>
      </c>
      <c r="S35" s="2383" t="str">
        <f t="shared" si="8"/>
        <v>--</v>
      </c>
      <c r="T35" s="2384" t="str">
        <f t="shared" si="9"/>
        <v>--</v>
      </c>
      <c r="U35" s="2385" t="str">
        <f t="shared" si="10"/>
        <v>--</v>
      </c>
      <c r="V35" s="2386" t="str">
        <f t="shared" si="11"/>
        <v>--</v>
      </c>
      <c r="W35" s="2387" t="str">
        <f t="shared" si="12"/>
        <v>--</v>
      </c>
      <c r="X35" s="2388" t="str">
        <f t="shared" si="13"/>
        <v>--</v>
      </c>
      <c r="Y35" s="2389" t="str">
        <f t="shared" si="14"/>
        <v>--</v>
      </c>
      <c r="Z35" s="2390" t="str">
        <f t="shared" si="15"/>
        <v>--</v>
      </c>
      <c r="AA35" s="2391" t="str">
        <f t="shared" si="16"/>
        <v>--</v>
      </c>
      <c r="AB35" s="2392" t="str">
        <f t="shared" si="17"/>
        <v>SI</v>
      </c>
      <c r="AC35" s="1175">
        <f t="shared" si="18"/>
        <v>192.32522</v>
      </c>
      <c r="AD35" s="1142"/>
    </row>
    <row r="36" spans="1:30" ht="16.5" customHeight="1">
      <c r="A36" s="1126"/>
      <c r="B36" s="1140"/>
      <c r="C36" s="967" t="s">
        <v>97</v>
      </c>
      <c r="D36" s="1452"/>
      <c r="E36" s="1453"/>
      <c r="F36" s="1454"/>
      <c r="G36" s="1455"/>
      <c r="H36" s="2379">
        <f t="shared" si="0"/>
        <v>20</v>
      </c>
      <c r="I36" s="2380">
        <f t="shared" si="1"/>
        <v>506.119</v>
      </c>
      <c r="J36" s="1458"/>
      <c r="K36" s="1459"/>
      <c r="L36" s="2381">
        <f t="shared" si="2"/>
      </c>
      <c r="M36" s="2251">
        <f t="shared" si="3"/>
      </c>
      <c r="N36" s="1462"/>
      <c r="O36" s="1283">
        <f t="shared" si="4"/>
      </c>
      <c r="P36" s="1174">
        <f t="shared" si="5"/>
      </c>
      <c r="Q36" s="1174">
        <f t="shared" si="6"/>
      </c>
      <c r="R36" s="2382" t="str">
        <f t="shared" si="7"/>
        <v>--</v>
      </c>
      <c r="S36" s="2383" t="str">
        <f t="shared" si="8"/>
        <v>--</v>
      </c>
      <c r="T36" s="2384" t="str">
        <f t="shared" si="9"/>
        <v>--</v>
      </c>
      <c r="U36" s="2385" t="str">
        <f t="shared" si="10"/>
        <v>--</v>
      </c>
      <c r="V36" s="2386" t="str">
        <f t="shared" si="11"/>
        <v>--</v>
      </c>
      <c r="W36" s="2387" t="str">
        <f t="shared" si="12"/>
        <v>--</v>
      </c>
      <c r="X36" s="2388" t="str">
        <f t="shared" si="13"/>
        <v>--</v>
      </c>
      <c r="Y36" s="2389" t="str">
        <f t="shared" si="14"/>
        <v>--</v>
      </c>
      <c r="Z36" s="2390" t="str">
        <f t="shared" si="15"/>
        <v>--</v>
      </c>
      <c r="AA36" s="2391" t="str">
        <f t="shared" si="16"/>
        <v>--</v>
      </c>
      <c r="AB36" s="2392">
        <f t="shared" si="17"/>
      </c>
      <c r="AC36" s="1175">
        <f t="shared" si="18"/>
      </c>
      <c r="AD36" s="1142"/>
    </row>
    <row r="37" spans="1:30" ht="16.5" customHeight="1">
      <c r="A37" s="1126"/>
      <c r="B37" s="1140"/>
      <c r="C37" s="967" t="s">
        <v>98</v>
      </c>
      <c r="D37" s="1452"/>
      <c r="E37" s="1453"/>
      <c r="F37" s="1454"/>
      <c r="G37" s="1455"/>
      <c r="H37" s="2379">
        <f t="shared" si="0"/>
        <v>20</v>
      </c>
      <c r="I37" s="2380">
        <f t="shared" si="1"/>
        <v>506.119</v>
      </c>
      <c r="J37" s="1458"/>
      <c r="K37" s="1459"/>
      <c r="L37" s="2381">
        <f t="shared" si="2"/>
      </c>
      <c r="M37" s="2251">
        <f t="shared" si="3"/>
      </c>
      <c r="N37" s="1462"/>
      <c r="O37" s="1283">
        <f t="shared" si="4"/>
      </c>
      <c r="P37" s="1174">
        <f t="shared" si="5"/>
      </c>
      <c r="Q37" s="1174">
        <f t="shared" si="6"/>
      </c>
      <c r="R37" s="2382" t="str">
        <f t="shared" si="7"/>
        <v>--</v>
      </c>
      <c r="S37" s="2383" t="str">
        <f t="shared" si="8"/>
        <v>--</v>
      </c>
      <c r="T37" s="2384" t="str">
        <f t="shared" si="9"/>
        <v>--</v>
      </c>
      <c r="U37" s="2385" t="str">
        <f t="shared" si="10"/>
        <v>--</v>
      </c>
      <c r="V37" s="2386" t="str">
        <f t="shared" si="11"/>
        <v>--</v>
      </c>
      <c r="W37" s="2387" t="str">
        <f t="shared" si="12"/>
        <v>--</v>
      </c>
      <c r="X37" s="2388" t="str">
        <f t="shared" si="13"/>
        <v>--</v>
      </c>
      <c r="Y37" s="2389" t="str">
        <f t="shared" si="14"/>
        <v>--</v>
      </c>
      <c r="Z37" s="2390" t="str">
        <f t="shared" si="15"/>
        <v>--</v>
      </c>
      <c r="AA37" s="2391" t="str">
        <f t="shared" si="16"/>
        <v>--</v>
      </c>
      <c r="AB37" s="2392">
        <f t="shared" si="17"/>
      </c>
      <c r="AC37" s="1175">
        <f t="shared" si="18"/>
      </c>
      <c r="AD37" s="1142"/>
    </row>
    <row r="38" spans="1:30" ht="16.5" customHeight="1">
      <c r="A38" s="2126"/>
      <c r="B38" s="1140"/>
      <c r="C38" s="2393" t="s">
        <v>99</v>
      </c>
      <c r="D38" s="1452"/>
      <c r="E38" s="1453"/>
      <c r="F38" s="1454"/>
      <c r="G38" s="1455"/>
      <c r="H38" s="2379">
        <f t="shared" si="0"/>
        <v>20</v>
      </c>
      <c r="I38" s="2380">
        <f t="shared" si="1"/>
        <v>506.119</v>
      </c>
      <c r="J38" s="1458"/>
      <c r="K38" s="1459"/>
      <c r="L38" s="2381">
        <f t="shared" si="2"/>
      </c>
      <c r="M38" s="2251">
        <f t="shared" si="3"/>
      </c>
      <c r="N38" s="1339"/>
      <c r="O38" s="1283">
        <f t="shared" si="4"/>
      </c>
      <c r="P38" s="1174">
        <f t="shared" si="5"/>
      </c>
      <c r="Q38" s="1174">
        <f t="shared" si="6"/>
      </c>
      <c r="R38" s="2382" t="str">
        <f t="shared" si="7"/>
        <v>--</v>
      </c>
      <c r="S38" s="2383" t="str">
        <f t="shared" si="8"/>
        <v>--</v>
      </c>
      <c r="T38" s="2384" t="str">
        <f t="shared" si="9"/>
        <v>--</v>
      </c>
      <c r="U38" s="2385" t="str">
        <f t="shared" si="10"/>
        <v>--</v>
      </c>
      <c r="V38" s="2386" t="str">
        <f t="shared" si="11"/>
        <v>--</v>
      </c>
      <c r="W38" s="2387" t="str">
        <f t="shared" si="12"/>
        <v>--</v>
      </c>
      <c r="X38" s="2388" t="str">
        <f t="shared" si="13"/>
        <v>--</v>
      </c>
      <c r="Y38" s="2389" t="str">
        <f t="shared" si="14"/>
        <v>--</v>
      </c>
      <c r="Z38" s="2390" t="str">
        <f t="shared" si="15"/>
        <v>--</v>
      </c>
      <c r="AA38" s="2391" t="str">
        <f t="shared" si="16"/>
        <v>--</v>
      </c>
      <c r="AB38" s="2392">
        <f t="shared" si="17"/>
      </c>
      <c r="AC38" s="1175">
        <f t="shared" si="18"/>
      </c>
      <c r="AD38" s="2163"/>
    </row>
    <row r="39" spans="1:30" ht="16.5" thickBot="1">
      <c r="A39" s="2126"/>
      <c r="B39" s="1140"/>
      <c r="C39" s="2394" t="s">
        <v>100</v>
      </c>
      <c r="D39" s="2395"/>
      <c r="E39" s="2396"/>
      <c r="F39" s="2397"/>
      <c r="G39" s="2396"/>
      <c r="H39" s="2398">
        <f t="shared" si="0"/>
        <v>20</v>
      </c>
      <c r="I39" s="2380">
        <f t="shared" si="1"/>
        <v>506.119</v>
      </c>
      <c r="J39" s="2399"/>
      <c r="K39" s="2399"/>
      <c r="L39" s="2400">
        <f t="shared" si="2"/>
      </c>
      <c r="M39" s="2262">
        <f t="shared" si="3"/>
      </c>
      <c r="N39" s="1118"/>
      <c r="O39" s="2401">
        <f t="shared" si="4"/>
      </c>
      <c r="P39" s="2402">
        <f t="shared" si="5"/>
      </c>
      <c r="Q39" s="2402">
        <f t="shared" si="6"/>
      </c>
      <c r="R39" s="2403" t="str">
        <f t="shared" si="7"/>
        <v>--</v>
      </c>
      <c r="S39" s="2404" t="str">
        <f t="shared" si="8"/>
        <v>--</v>
      </c>
      <c r="T39" s="2405" t="str">
        <f t="shared" si="9"/>
        <v>--</v>
      </c>
      <c r="U39" s="2406" t="str">
        <f t="shared" si="10"/>
        <v>--</v>
      </c>
      <c r="V39" s="2407" t="str">
        <f t="shared" si="11"/>
        <v>--</v>
      </c>
      <c r="W39" s="2408" t="str">
        <f t="shared" si="12"/>
        <v>--</v>
      </c>
      <c r="X39" s="2409" t="str">
        <f t="shared" si="13"/>
        <v>--</v>
      </c>
      <c r="Y39" s="2410" t="str">
        <f t="shared" si="14"/>
        <v>--</v>
      </c>
      <c r="Z39" s="2411" t="str">
        <f t="shared" si="15"/>
        <v>--</v>
      </c>
      <c r="AA39" s="2412" t="str">
        <f t="shared" si="16"/>
        <v>--</v>
      </c>
      <c r="AB39" s="2413">
        <f t="shared" si="17"/>
      </c>
      <c r="AC39" s="2414">
        <f t="shared" si="18"/>
      </c>
      <c r="AD39" s="2163"/>
    </row>
    <row r="40" spans="1:30" ht="17.25" thickBot="1" thickTop="1">
      <c r="A40" s="2126"/>
      <c r="B40" s="1140"/>
      <c r="C40" s="2153"/>
      <c r="D40" s="1115"/>
      <c r="E40" s="2415"/>
      <c r="F40" s="1119"/>
      <c r="G40" s="2415"/>
      <c r="H40" s="2416" t="s">
        <v>32</v>
      </c>
      <c r="I40" s="2417"/>
      <c r="J40" s="2158"/>
      <c r="K40" s="2158"/>
      <c r="L40" s="2158"/>
      <c r="M40" s="2158"/>
      <c r="N40" s="2158"/>
      <c r="O40" s="2159"/>
      <c r="P40" s="2158"/>
      <c r="Q40" s="2158"/>
      <c r="R40" s="2418">
        <f aca="true" t="shared" si="19" ref="R40:AA40">SUM(R33:R39)</f>
        <v>192.32522</v>
      </c>
      <c r="S40" s="2419">
        <f t="shared" si="19"/>
        <v>0</v>
      </c>
      <c r="T40" s="2420">
        <f t="shared" si="19"/>
        <v>10122.380000000001</v>
      </c>
      <c r="U40" s="2420">
        <f t="shared" si="19"/>
        <v>4251.399600000001</v>
      </c>
      <c r="V40" s="2420">
        <f t="shared" si="19"/>
        <v>0</v>
      </c>
      <c r="W40" s="2421">
        <f t="shared" si="19"/>
        <v>0</v>
      </c>
      <c r="X40" s="2421">
        <f t="shared" si="19"/>
        <v>0</v>
      </c>
      <c r="Y40" s="2421">
        <f t="shared" si="19"/>
        <v>0</v>
      </c>
      <c r="Z40" s="2422">
        <f t="shared" si="19"/>
        <v>0</v>
      </c>
      <c r="AA40" s="2423">
        <f t="shared" si="19"/>
        <v>0</v>
      </c>
      <c r="AB40" s="2424"/>
      <c r="AC40" s="2425">
        <f>SUM(AC33:AC39)</f>
        <v>14566.104820000002</v>
      </c>
      <c r="AD40" s="2163"/>
    </row>
    <row r="41" spans="1:33" s="1126" customFormat="1" ht="17.25" thickBot="1" thickTop="1">
      <c r="A41" s="1125"/>
      <c r="B41" s="1197"/>
      <c r="C41" s="2426"/>
      <c r="D41" s="2292"/>
      <c r="E41" s="1120"/>
      <c r="F41" s="1120"/>
      <c r="G41" s="2427"/>
      <c r="H41" s="2428"/>
      <c r="I41" s="2428"/>
      <c r="J41" s="2429"/>
      <c r="K41" s="1120"/>
      <c r="L41" s="2158"/>
      <c r="M41" s="2158"/>
      <c r="N41" s="2158"/>
      <c r="O41" s="2159"/>
      <c r="P41" s="2158"/>
      <c r="Q41" s="2158"/>
      <c r="R41" s="2430"/>
      <c r="S41" s="2431"/>
      <c r="T41" s="2432"/>
      <c r="U41" s="2432"/>
      <c r="V41" s="2432"/>
      <c r="W41" s="2430"/>
      <c r="X41" s="2430"/>
      <c r="Y41" s="2430"/>
      <c r="Z41" s="2430"/>
      <c r="AA41" s="2430"/>
      <c r="AB41" s="2310"/>
      <c r="AC41" s="2309"/>
      <c r="AD41" s="1142"/>
      <c r="AF41" s="1120"/>
      <c r="AG41" s="1120"/>
    </row>
    <row r="42" spans="1:30" ht="33.75" customHeight="1" thickBot="1" thickTop="1">
      <c r="A42" s="1126"/>
      <c r="B42" s="1140"/>
      <c r="C42" s="1227" t="s">
        <v>25</v>
      </c>
      <c r="D42" s="1228" t="s">
        <v>54</v>
      </c>
      <c r="E42" s="1229" t="s">
        <v>55</v>
      </c>
      <c r="F42" s="2960" t="s">
        <v>56</v>
      </c>
      <c r="G42" s="2959"/>
      <c r="H42" s="2179">
        <f>F44*$F$23</f>
        <v>0</v>
      </c>
      <c r="I42" s="2433"/>
      <c r="J42" s="1229" t="s">
        <v>33</v>
      </c>
      <c r="K42" s="1229" t="s">
        <v>34</v>
      </c>
      <c r="L42" s="1228" t="s">
        <v>57</v>
      </c>
      <c r="M42" s="1228" t="s">
        <v>36</v>
      </c>
      <c r="N42" s="1162" t="s">
        <v>104</v>
      </c>
      <c r="O42" s="1229" t="s">
        <v>39</v>
      </c>
      <c r="P42" s="2961" t="s">
        <v>105</v>
      </c>
      <c r="Q42" s="2962"/>
      <c r="R42" s="1232" t="s">
        <v>106</v>
      </c>
      <c r="S42" s="2165" t="s">
        <v>40</v>
      </c>
      <c r="T42" s="2166" t="s">
        <v>107</v>
      </c>
      <c r="U42" s="2167"/>
      <c r="V42" s="2168" t="s">
        <v>44</v>
      </c>
      <c r="W42" s="2434" t="s">
        <v>108</v>
      </c>
      <c r="X42" s="2435"/>
      <c r="Y42" s="2435"/>
      <c r="Z42" s="2435"/>
      <c r="AA42" s="2436"/>
      <c r="AB42" s="1165" t="s">
        <v>46</v>
      </c>
      <c r="AC42" s="1231" t="s">
        <v>47</v>
      </c>
      <c r="AD42" s="1142"/>
    </row>
    <row r="43" spans="1:30" ht="15.75" thickTop="1">
      <c r="A43" s="1126"/>
      <c r="B43" s="1140"/>
      <c r="C43" s="1167"/>
      <c r="D43" s="1167"/>
      <c r="E43" s="1167"/>
      <c r="F43" s="2437"/>
      <c r="G43" s="2438"/>
      <c r="H43" s="2179">
        <f>F45*$F$23</f>
        <v>0</v>
      </c>
      <c r="I43" s="2433"/>
      <c r="J43" s="1167"/>
      <c r="K43" s="1167"/>
      <c r="L43" s="1167"/>
      <c r="M43" s="1167"/>
      <c r="N43" s="1167"/>
      <c r="O43" s="2171"/>
      <c r="P43" s="2963"/>
      <c r="Q43" s="2964"/>
      <c r="R43" s="2439"/>
      <c r="S43" s="2439"/>
      <c r="T43" s="2439"/>
      <c r="U43" s="2439"/>
      <c r="V43" s="2439"/>
      <c r="W43" s="2439"/>
      <c r="X43" s="2439"/>
      <c r="Y43" s="2439"/>
      <c r="Z43" s="2439"/>
      <c r="AA43" s="2440"/>
      <c r="AB43" s="2171"/>
      <c r="AC43" s="2178"/>
      <c r="AD43" s="2163"/>
    </row>
    <row r="44" spans="1:30" ht="15">
      <c r="A44" s="1126"/>
      <c r="B44" s="1140"/>
      <c r="C44" s="895" t="s">
        <v>95</v>
      </c>
      <c r="D44" s="2441"/>
      <c r="E44" s="2442"/>
      <c r="F44" s="2443"/>
      <c r="G44" s="2444"/>
      <c r="H44" s="2179">
        <f>F46*$F$23</f>
        <v>0</v>
      </c>
      <c r="I44" s="2433"/>
      <c r="J44" s="2445"/>
      <c r="K44" s="1181"/>
      <c r="L44" s="2181">
        <f>IF(D44="","",(K44-J44)*24)</f>
      </c>
      <c r="M44" s="2182">
        <f>IF(D44="","",(K44-J44)*24*60)</f>
      </c>
      <c r="N44" s="2446"/>
      <c r="O44" s="2184">
        <f>IF(D44="","",IF(N44="P","--","NO"))</f>
      </c>
      <c r="P44" s="2956">
        <f>IF(D44="","","--")</f>
      </c>
      <c r="Q44" s="2957"/>
      <c r="R44" s="2447">
        <f>IF(OR(N44="P",N44="RP"),20/10,20)</f>
        <v>20</v>
      </c>
      <c r="S44" s="2187" t="str">
        <f>IF(N44="P",H42*R44*ROUND(M44/60,2),"--")</f>
        <v>--</v>
      </c>
      <c r="T44" s="2188" t="str">
        <f>IF(AND(N44="F",O44="NO"),H42*R44,"--")</f>
        <v>--</v>
      </c>
      <c r="U44" s="2189" t="str">
        <f>IF(N44="F",H42*R44*ROUND(M44/60,2),"--")</f>
        <v>--</v>
      </c>
      <c r="V44" s="2190" t="str">
        <f>IF(N44="RF",H42*R44*ROUND(M44/60,2),"--")</f>
        <v>--</v>
      </c>
      <c r="W44" s="2448" t="str">
        <f>IF(N44="RP",H42*R44*P44/100*ROUND(M44/60,2),"--")</f>
        <v>--</v>
      </c>
      <c r="X44" s="2449"/>
      <c r="Y44" s="2449"/>
      <c r="Z44" s="2449"/>
      <c r="AA44" s="2450"/>
      <c r="AB44" s="2191">
        <f>IF(D44="","","SI")</f>
      </c>
      <c r="AC44" s="2192">
        <f>IF(D44="","",SUM(S44:W44)*IF(AB44="SI",1,2)*IF(AND(P44&lt;&gt;"--",N44="RF"),P44/100,1))</f>
      </c>
      <c r="AD44" s="2163"/>
    </row>
    <row r="45" spans="1:30" ht="15">
      <c r="A45" s="1126"/>
      <c r="B45" s="1140"/>
      <c r="C45" s="895" t="s">
        <v>96</v>
      </c>
      <c r="D45" s="2441"/>
      <c r="E45" s="2442"/>
      <c r="F45" s="2443"/>
      <c r="G45" s="2444"/>
      <c r="H45" s="2179">
        <f>F47*$F$23</f>
        <v>0</v>
      </c>
      <c r="I45" s="2433"/>
      <c r="J45" s="2451"/>
      <c r="K45" s="2196"/>
      <c r="L45" s="2181">
        <f>IF(D45="","",(K45-J45)*24)</f>
      </c>
      <c r="M45" s="2182">
        <f>IF(D45="","",(K45-J45)*24*60)</f>
      </c>
      <c r="N45" s="2446"/>
      <c r="O45" s="2184">
        <f>IF(D45="","",IF(N45="P","--","NO"))</f>
      </c>
      <c r="P45" s="2956">
        <f>IF(D45="","","--")</f>
      </c>
      <c r="Q45" s="2957"/>
      <c r="R45" s="2447">
        <f>IF(OR(N45="P",N45="RP"),20/10,20)</f>
        <v>20</v>
      </c>
      <c r="S45" s="2187" t="str">
        <f>IF(N45="P",H43*R45*ROUND(M45/60,2),"--")</f>
        <v>--</v>
      </c>
      <c r="T45" s="2188" t="str">
        <f>IF(AND(N45="F",O45="NO"),H43*R45,"--")</f>
        <v>--</v>
      </c>
      <c r="U45" s="2189" t="str">
        <f>IF(N45="F",H43*R45*ROUND(M45/60,2),"--")</f>
        <v>--</v>
      </c>
      <c r="V45" s="2190" t="str">
        <f>IF(N45="RF",H43*R45*ROUND(M45/60,2),"--")</f>
        <v>--</v>
      </c>
      <c r="W45" s="2448" t="str">
        <f>IF(N45="RP",H43*R45*P45/100*ROUND(M45/60,2),"--")</f>
        <v>--</v>
      </c>
      <c r="X45" s="2449"/>
      <c r="Y45" s="2449"/>
      <c r="Z45" s="2449"/>
      <c r="AA45" s="2450"/>
      <c r="AB45" s="2191">
        <f>IF(D45="","","SI")</f>
      </c>
      <c r="AC45" s="2192">
        <f>IF(D45="","",SUM(S45:W45)*IF(AB45="SI",1,2)*IF(AND(P45&lt;&gt;"--",N45="RF"),P45/100,1))</f>
      </c>
      <c r="AD45" s="2163"/>
    </row>
    <row r="46" spans="1:30" ht="15.75" thickBot="1">
      <c r="A46" s="1126"/>
      <c r="B46" s="1140"/>
      <c r="C46" s="895" t="s">
        <v>97</v>
      </c>
      <c r="D46" s="2441"/>
      <c r="E46" s="2442"/>
      <c r="F46" s="2443"/>
      <c r="G46" s="2444"/>
      <c r="H46" s="2452"/>
      <c r="I46" s="2452"/>
      <c r="J46" s="2451"/>
      <c r="K46" s="2196"/>
      <c r="L46" s="2181">
        <f>IF(D46="","",(K46-J46)*24)</f>
      </c>
      <c r="M46" s="2182">
        <f>IF(D46="","",(K46-J46)*24*60)</f>
      </c>
      <c r="N46" s="2446"/>
      <c r="O46" s="2184">
        <f>IF(D46="","",IF(N46="P","--","NO"))</f>
      </c>
      <c r="P46" s="2956">
        <f>IF(D46="","","--")</f>
      </c>
      <c r="Q46" s="2957"/>
      <c r="R46" s="2447">
        <f>IF(OR(N46="P",N46="RP"),20/10,20)</f>
        <v>20</v>
      </c>
      <c r="S46" s="2187" t="str">
        <f>IF(N46="P",H44*R46*ROUND(M46/60,2),"--")</f>
        <v>--</v>
      </c>
      <c r="T46" s="2188" t="str">
        <f>IF(AND(N46="F",O46="NO"),H44*R46,"--")</f>
        <v>--</v>
      </c>
      <c r="U46" s="2189" t="str">
        <f>IF(N46="F",H44*R46*ROUND(M46/60,2),"--")</f>
        <v>--</v>
      </c>
      <c r="V46" s="2190" t="str">
        <f>IF(N46="RF",H44*R46*ROUND(M46/60,2),"--")</f>
        <v>--</v>
      </c>
      <c r="W46" s="2448" t="str">
        <f>IF(N46="RP",H44*R46*P46/100*ROUND(M46/60,2),"--")</f>
        <v>--</v>
      </c>
      <c r="X46" s="2449"/>
      <c r="Y46" s="2449"/>
      <c r="Z46" s="2449"/>
      <c r="AA46" s="2450"/>
      <c r="AB46" s="2191">
        <f>IF(D46="","","SI")</f>
      </c>
      <c r="AC46" s="2192">
        <f>IF(D46="","",SUM(S46:W46)*IF(AB46="SI",1,2)*IF(AND(P46&lt;&gt;"--",N46="RF"),P46/100,1))</f>
      </c>
      <c r="AD46" s="2163"/>
    </row>
    <row r="47" spans="1:30" ht="16.5" thickTop="1">
      <c r="A47" s="2126"/>
      <c r="B47" s="1140"/>
      <c r="C47" s="895" t="s">
        <v>98</v>
      </c>
      <c r="D47" s="2441"/>
      <c r="E47" s="2442"/>
      <c r="F47" s="2443"/>
      <c r="G47" s="2444"/>
      <c r="H47" s="2218"/>
      <c r="I47" s="2219"/>
      <c r="J47" s="2451"/>
      <c r="K47" s="2196"/>
      <c r="L47" s="2181">
        <f>IF(D47="","",(K47-J47)*24)</f>
      </c>
      <c r="M47" s="2182">
        <f>IF(D47="","",(K47-J47)*24*60)</f>
      </c>
      <c r="N47" s="2446"/>
      <c r="O47" s="2184">
        <f>IF(D47="","",IF(N47="P","--","NO"))</f>
      </c>
      <c r="P47" s="2956">
        <f>IF(D47="","","--")</f>
      </c>
      <c r="Q47" s="2957"/>
      <c r="R47" s="2447">
        <f>IF(OR(N47="P",N47="RP"),20/10,20)</f>
        <v>20</v>
      </c>
      <c r="S47" s="2187" t="str">
        <f>IF(N47="P",H45*R47*ROUND(M47/60,2),"--")</f>
        <v>--</v>
      </c>
      <c r="T47" s="2188" t="str">
        <f>IF(AND(N47="F",O47="NO"),H45*R47,"--")</f>
        <v>--</v>
      </c>
      <c r="U47" s="2189" t="str">
        <f>IF(N47="F",H45*R47*ROUND(M47/60,2),"--")</f>
        <v>--</v>
      </c>
      <c r="V47" s="2190" t="str">
        <f>IF(N47="RF",H45*R47*ROUND(M47/60,2),"--")</f>
        <v>--</v>
      </c>
      <c r="W47" s="2448" t="str">
        <f>IF(N47="RP",H45*R47*P47/100*ROUND(M47/60,2),"--")</f>
        <v>--</v>
      </c>
      <c r="X47" s="2449"/>
      <c r="Y47" s="2449"/>
      <c r="Z47" s="2449"/>
      <c r="AA47" s="2450"/>
      <c r="AB47" s="2191">
        <f>IF(D47="","","SI")</f>
      </c>
      <c r="AC47" s="2192">
        <f>IF(D47="","",SUM(S47:W47)*IF(AB47="SI",1,2)*IF(AND(P47&lt;&gt;"--",N47="RF"),P47/100,1))</f>
      </c>
      <c r="AD47" s="2163"/>
    </row>
    <row r="48" spans="1:30" ht="16.5" thickBot="1">
      <c r="A48" s="2126"/>
      <c r="B48" s="1140"/>
      <c r="C48" s="2198"/>
      <c r="D48" s="2199"/>
      <c r="E48" s="2453"/>
      <c r="F48" s="2454"/>
      <c r="G48" s="2455"/>
      <c r="H48" s="1141"/>
      <c r="I48" s="1211"/>
      <c r="J48" s="2203"/>
      <c r="K48" s="2204"/>
      <c r="L48" s="2205"/>
      <c r="M48" s="2206"/>
      <c r="N48" s="2207"/>
      <c r="O48" s="1182"/>
      <c r="P48" s="2940"/>
      <c r="Q48" s="2941"/>
      <c r="R48" s="2456"/>
      <c r="S48" s="2456"/>
      <c r="T48" s="2456"/>
      <c r="U48" s="2456"/>
      <c r="V48" s="2456"/>
      <c r="W48" s="2456"/>
      <c r="X48" s="2456"/>
      <c r="Y48" s="2456"/>
      <c r="Z48" s="2456"/>
      <c r="AA48" s="2457"/>
      <c r="AB48" s="2214"/>
      <c r="AC48" s="2215"/>
      <c r="AD48" s="2163"/>
    </row>
    <row r="49" spans="1:30" ht="17.25" thickBot="1" thickTop="1">
      <c r="A49" s="2126"/>
      <c r="B49" s="1140"/>
      <c r="C49" s="1211"/>
      <c r="D49" s="1186"/>
      <c r="E49" s="1186"/>
      <c r="F49" s="2216"/>
      <c r="G49" s="2217"/>
      <c r="H49" s="1232" t="s">
        <v>32</v>
      </c>
      <c r="I49" s="2458"/>
      <c r="J49" s="2220"/>
      <c r="K49" s="2221"/>
      <c r="L49" s="2222"/>
      <c r="M49" s="2218"/>
      <c r="N49" s="2223"/>
      <c r="O49" s="1187"/>
      <c r="P49" s="2224"/>
      <c r="Q49" s="2459"/>
      <c r="R49" s="2460"/>
      <c r="S49" s="2460"/>
      <c r="T49" s="2460"/>
      <c r="U49" s="2461"/>
      <c r="V49" s="2461"/>
      <c r="W49" s="2461"/>
      <c r="X49" s="2461"/>
      <c r="Y49" s="2461"/>
      <c r="Z49" s="2461"/>
      <c r="AA49" s="2461"/>
      <c r="AB49" s="2461"/>
      <c r="AC49" s="2228">
        <f>SUM(AC43:AC48)</f>
        <v>0</v>
      </c>
      <c r="AD49" s="2163"/>
    </row>
    <row r="50" spans="1:33" s="1126" customFormat="1" ht="31.5" customHeight="1" thickBot="1" thickTop="1">
      <c r="A50" s="1125"/>
      <c r="B50" s="1197"/>
      <c r="C50" s="1211"/>
      <c r="D50" s="1141"/>
      <c r="E50" s="1211"/>
      <c r="F50" s="1141"/>
      <c r="G50" s="1211"/>
      <c r="H50" s="2428"/>
      <c r="I50" s="2428"/>
      <c r="J50" s="1141"/>
      <c r="K50" s="1211"/>
      <c r="L50" s="1141"/>
      <c r="M50" s="1211"/>
      <c r="N50" s="1141"/>
      <c r="O50" s="1211"/>
      <c r="P50" s="1141"/>
      <c r="Q50" s="1211"/>
      <c r="R50" s="1141"/>
      <c r="S50" s="1211"/>
      <c r="T50" s="1141"/>
      <c r="U50" s="1211"/>
      <c r="V50" s="1141"/>
      <c r="W50" s="1211"/>
      <c r="X50" s="1141"/>
      <c r="Y50" s="1211"/>
      <c r="Z50" s="1141"/>
      <c r="AA50" s="1211"/>
      <c r="AB50" s="1141"/>
      <c r="AC50" s="1211"/>
      <c r="AD50" s="1142"/>
      <c r="AF50" s="1120"/>
      <c r="AG50" s="1120"/>
    </row>
    <row r="51" spans="1:30" ht="33.75" customHeight="1" thickBot="1" thickTop="1">
      <c r="A51" s="1126"/>
      <c r="B51" s="1140"/>
      <c r="C51" s="1227" t="s">
        <v>25</v>
      </c>
      <c r="D51" s="1228" t="s">
        <v>54</v>
      </c>
      <c r="E51" s="1158" t="s">
        <v>55</v>
      </c>
      <c r="F51" s="2958" t="s">
        <v>74</v>
      </c>
      <c r="G51" s="2959"/>
      <c r="H51" s="2462">
        <f aca="true" t="shared" si="20" ref="H51:H56">F53*$F$22</f>
        <v>111.28</v>
      </c>
      <c r="I51" s="2458"/>
      <c r="J51" s="1158" t="s">
        <v>33</v>
      </c>
      <c r="K51" s="1158" t="s">
        <v>34</v>
      </c>
      <c r="L51" s="1159" t="s">
        <v>35</v>
      </c>
      <c r="M51" s="1159" t="s">
        <v>36</v>
      </c>
      <c r="N51" s="1162" t="s">
        <v>321</v>
      </c>
      <c r="O51" s="1162" t="s">
        <v>37</v>
      </c>
      <c r="P51" s="2947" t="s">
        <v>39</v>
      </c>
      <c r="Q51" s="2949"/>
      <c r="R51" s="2463" t="s">
        <v>31</v>
      </c>
      <c r="S51" s="2464" t="s">
        <v>68</v>
      </c>
      <c r="T51" s="2465" t="s">
        <v>75</v>
      </c>
      <c r="U51" s="2466"/>
      <c r="V51" s="1237" t="s">
        <v>76</v>
      </c>
      <c r="W51" s="1238"/>
      <c r="X51" s="2467" t="s">
        <v>44</v>
      </c>
      <c r="Y51" s="1236" t="s">
        <v>41</v>
      </c>
      <c r="Z51" s="2458"/>
      <c r="AA51" s="2458"/>
      <c r="AB51" s="1165" t="s">
        <v>46</v>
      </c>
      <c r="AC51" s="2468" t="s">
        <v>47</v>
      </c>
      <c r="AD51" s="1142"/>
    </row>
    <row r="52" spans="1:30" ht="15.75" thickTop="1">
      <c r="A52" s="1126"/>
      <c r="B52" s="1140"/>
      <c r="C52" s="1167"/>
      <c r="D52" s="1167"/>
      <c r="E52" s="1167"/>
      <c r="F52" s="2437"/>
      <c r="G52" s="2438"/>
      <c r="H52" s="2462">
        <f t="shared" si="20"/>
        <v>0</v>
      </c>
      <c r="I52" s="2458"/>
      <c r="J52" s="1167"/>
      <c r="K52" s="1167"/>
      <c r="L52" s="1167"/>
      <c r="M52" s="1167"/>
      <c r="N52" s="2469"/>
      <c r="O52" s="1283">
        <f aca="true" t="shared" si="21" ref="O52:O57">IF(D52="","","--")</f>
      </c>
      <c r="P52" s="2470"/>
      <c r="Q52" s="2471"/>
      <c r="R52" s="2439"/>
      <c r="S52" s="2439"/>
      <c r="T52" s="2439"/>
      <c r="U52" s="2439"/>
      <c r="V52" s="2439"/>
      <c r="W52" s="2439"/>
      <c r="X52" s="2439"/>
      <c r="Y52" s="2439"/>
      <c r="Z52" s="2439"/>
      <c r="AA52" s="2440"/>
      <c r="AB52" s="2191">
        <f aca="true" t="shared" si="22" ref="AB52:AB57">IF(D52="","","SI")</f>
      </c>
      <c r="AC52" s="2178"/>
      <c r="AD52" s="2163"/>
    </row>
    <row r="53" spans="2:30" s="2126" customFormat="1" ht="16.5" customHeight="1">
      <c r="B53" s="2127"/>
      <c r="C53" s="895" t="s">
        <v>95</v>
      </c>
      <c r="D53" s="1341" t="s">
        <v>353</v>
      </c>
      <c r="E53" s="2247" t="s">
        <v>370</v>
      </c>
      <c r="F53" s="2954">
        <v>80</v>
      </c>
      <c r="G53" s="2854"/>
      <c r="H53" s="2462">
        <f t="shared" si="20"/>
        <v>0</v>
      </c>
      <c r="I53" s="2458"/>
      <c r="J53" s="467">
        <v>42339</v>
      </c>
      <c r="K53" s="204">
        <v>42369.99998842592</v>
      </c>
      <c r="L53" s="2250">
        <f aca="true" t="shared" si="23" ref="L53:L58">IF(D53="","",(K53-J53)*24)</f>
        <v>743.9997222221573</v>
      </c>
      <c r="M53" s="2251">
        <f aca="true" t="shared" si="24" ref="M53:M58">IF(D53="","",ROUND((K53-J53)*24*60,0))</f>
        <v>44640</v>
      </c>
      <c r="N53" s="1173" t="s">
        <v>332</v>
      </c>
      <c r="O53" s="1283" t="str">
        <f t="shared" si="21"/>
        <v>--</v>
      </c>
      <c r="P53" s="2943" t="str">
        <f aca="true" t="shared" si="25" ref="P53:P58">IF(D53="","",IF(OR(N53="P",N53="RP"),"--","NO"))</f>
        <v>--</v>
      </c>
      <c r="Q53" s="2944"/>
      <c r="R53" s="2472">
        <f aca="true" t="shared" si="26" ref="R53:R58">IF(OR(N53="P",N53="RP"),$F$23/10,$F$23)</f>
        <v>2</v>
      </c>
      <c r="S53" s="2473">
        <f aca="true" t="shared" si="27" ref="S53:S58">IF(N53="P",H51*R53*ROUND(M53/60,2),"--")</f>
        <v>165584.64</v>
      </c>
      <c r="T53" s="2474" t="str">
        <f aca="true" t="shared" si="28" ref="T53:T58">IF(AND(N53="F",P53="NO"),H51*R53,"--")</f>
        <v>--</v>
      </c>
      <c r="U53" s="2475" t="str">
        <f aca="true" t="shared" si="29" ref="U53:U58">IF(N53="F",H51*R53*ROUND(M53/60,2),"--")</f>
        <v>--</v>
      </c>
      <c r="V53" s="1290" t="str">
        <f aca="true" t="shared" si="30" ref="V53:V58">IF(AND(N53="R",P53="NO"),H51*R53*O53/100,"--")</f>
        <v>--</v>
      </c>
      <c r="W53" s="1291" t="str">
        <f aca="true" t="shared" si="31" ref="W53:W58">IF(N53="R",H51*R53*O53/100*ROUND(M53/60,2),"--")</f>
        <v>--</v>
      </c>
      <c r="X53" s="2476" t="str">
        <f aca="true" t="shared" si="32" ref="X53:X58">IF(N53="RF",H51*R53*ROUND(M53/60,2),"--")</f>
        <v>--</v>
      </c>
      <c r="Y53" s="1287" t="str">
        <f aca="true" t="shared" si="33" ref="Y53:Y58">IF(N53="RP",H51*R53*O53/100*ROUND(M53/60,2),"--")</f>
        <v>--</v>
      </c>
      <c r="Z53" s="2458"/>
      <c r="AA53" s="2458"/>
      <c r="AB53" s="1174" t="str">
        <f t="shared" si="22"/>
        <v>SI</v>
      </c>
      <c r="AC53" s="2255">
        <f aca="true" t="shared" si="34" ref="AC53:AC58">IF(D53="","",SUM(S53:Y53)*IF(AB53="SI",1,2)*IF(AND(O53&lt;&gt;"--",N53="RF"),O53/100,1))</f>
        <v>165584.64</v>
      </c>
      <c r="AD53" s="2280"/>
    </row>
    <row r="54" spans="1:30" ht="15">
      <c r="A54" s="1126"/>
      <c r="B54" s="1140"/>
      <c r="C54" s="895" t="s">
        <v>96</v>
      </c>
      <c r="D54" s="1341"/>
      <c r="E54" s="2247"/>
      <c r="F54" s="2954"/>
      <c r="G54" s="2854"/>
      <c r="H54" s="2462">
        <f t="shared" si="20"/>
        <v>0</v>
      </c>
      <c r="I54" s="2458"/>
      <c r="J54" s="2249"/>
      <c r="K54" s="2477"/>
      <c r="L54" s="2250">
        <f t="shared" si="23"/>
      </c>
      <c r="M54" s="2251">
        <f t="shared" si="24"/>
      </c>
      <c r="N54" s="1173"/>
      <c r="O54" s="1283">
        <f t="shared" si="21"/>
      </c>
      <c r="P54" s="2943">
        <f t="shared" si="25"/>
      </c>
      <c r="Q54" s="2944"/>
      <c r="R54" s="2472">
        <f t="shared" si="26"/>
        <v>20</v>
      </c>
      <c r="S54" s="2473" t="str">
        <f t="shared" si="27"/>
        <v>--</v>
      </c>
      <c r="T54" s="2474" t="str">
        <f t="shared" si="28"/>
        <v>--</v>
      </c>
      <c r="U54" s="2475" t="str">
        <f t="shared" si="29"/>
        <v>--</v>
      </c>
      <c r="V54" s="1290" t="str">
        <f t="shared" si="30"/>
        <v>--</v>
      </c>
      <c r="W54" s="1291" t="str">
        <f t="shared" si="31"/>
        <v>--</v>
      </c>
      <c r="X54" s="2476" t="str">
        <f t="shared" si="32"/>
        <v>--</v>
      </c>
      <c r="Y54" s="1287" t="str">
        <f t="shared" si="33"/>
        <v>--</v>
      </c>
      <c r="Z54" s="2458"/>
      <c r="AA54" s="2458"/>
      <c r="AB54" s="1174">
        <f t="shared" si="22"/>
      </c>
      <c r="AC54" s="2255">
        <f t="shared" si="34"/>
      </c>
      <c r="AD54" s="2163"/>
    </row>
    <row r="55" spans="1:30" ht="15">
      <c r="A55" s="1126"/>
      <c r="B55" s="1140"/>
      <c r="C55" s="895" t="s">
        <v>97</v>
      </c>
      <c r="D55" s="1341"/>
      <c r="E55" s="1342"/>
      <c r="F55" s="2954"/>
      <c r="G55" s="2854"/>
      <c r="H55" s="2462">
        <f t="shared" si="20"/>
        <v>0</v>
      </c>
      <c r="I55" s="2458"/>
      <c r="J55" s="1340"/>
      <c r="K55" s="1117"/>
      <c r="L55" s="2250">
        <f t="shared" si="23"/>
      </c>
      <c r="M55" s="2251">
        <f t="shared" si="24"/>
      </c>
      <c r="N55" s="1173"/>
      <c r="O55" s="1283">
        <f t="shared" si="21"/>
      </c>
      <c r="P55" s="2943">
        <f t="shared" si="25"/>
      </c>
      <c r="Q55" s="2944"/>
      <c r="R55" s="2472">
        <f t="shared" si="26"/>
        <v>20</v>
      </c>
      <c r="S55" s="2473" t="str">
        <f t="shared" si="27"/>
        <v>--</v>
      </c>
      <c r="T55" s="2474" t="str">
        <f t="shared" si="28"/>
        <v>--</v>
      </c>
      <c r="U55" s="2475" t="str">
        <f t="shared" si="29"/>
        <v>--</v>
      </c>
      <c r="V55" s="1290" t="str">
        <f t="shared" si="30"/>
        <v>--</v>
      </c>
      <c r="W55" s="1291" t="str">
        <f t="shared" si="31"/>
        <v>--</v>
      </c>
      <c r="X55" s="2476" t="str">
        <f t="shared" si="32"/>
        <v>--</v>
      </c>
      <c r="Y55" s="1287" t="str">
        <f t="shared" si="33"/>
        <v>--</v>
      </c>
      <c r="Z55" s="2458"/>
      <c r="AA55" s="2458"/>
      <c r="AB55" s="1174">
        <f t="shared" si="22"/>
      </c>
      <c r="AC55" s="2255">
        <f t="shared" si="34"/>
      </c>
      <c r="AD55" s="2163"/>
    </row>
    <row r="56" spans="1:30" ht="15">
      <c r="A56" s="1126"/>
      <c r="B56" s="1140"/>
      <c r="C56" s="895" t="s">
        <v>98</v>
      </c>
      <c r="D56" s="1341"/>
      <c r="E56" s="1342"/>
      <c r="F56" s="2954"/>
      <c r="G56" s="2854"/>
      <c r="H56" s="2462">
        <f t="shared" si="20"/>
        <v>0</v>
      </c>
      <c r="I56" s="2458"/>
      <c r="J56" s="1340"/>
      <c r="K56" s="1117"/>
      <c r="L56" s="2250">
        <f t="shared" si="23"/>
      </c>
      <c r="M56" s="2251">
        <f t="shared" si="24"/>
      </c>
      <c r="N56" s="1173"/>
      <c r="O56" s="1283">
        <f t="shared" si="21"/>
      </c>
      <c r="P56" s="2943">
        <f t="shared" si="25"/>
      </c>
      <c r="Q56" s="2944"/>
      <c r="R56" s="2472">
        <f t="shared" si="26"/>
        <v>20</v>
      </c>
      <c r="S56" s="2473" t="str">
        <f t="shared" si="27"/>
        <v>--</v>
      </c>
      <c r="T56" s="2474" t="str">
        <f t="shared" si="28"/>
        <v>--</v>
      </c>
      <c r="U56" s="2475" t="str">
        <f t="shared" si="29"/>
        <v>--</v>
      </c>
      <c r="V56" s="1290" t="str">
        <f t="shared" si="30"/>
        <v>--</v>
      </c>
      <c r="W56" s="1291" t="str">
        <f t="shared" si="31"/>
        <v>--</v>
      </c>
      <c r="X56" s="2476" t="str">
        <f t="shared" si="32"/>
        <v>--</v>
      </c>
      <c r="Y56" s="1287" t="str">
        <f t="shared" si="33"/>
        <v>--</v>
      </c>
      <c r="Z56" s="2458"/>
      <c r="AA56" s="2458"/>
      <c r="AB56" s="1174">
        <f t="shared" si="22"/>
      </c>
      <c r="AC56" s="2255">
        <f t="shared" si="34"/>
      </c>
      <c r="AD56" s="2163"/>
    </row>
    <row r="57" spans="1:30" ht="15.75" thickBot="1">
      <c r="A57" s="1126"/>
      <c r="B57" s="1140"/>
      <c r="C57" s="895" t="s">
        <v>99</v>
      </c>
      <c r="D57" s="2478"/>
      <c r="E57" s="2479"/>
      <c r="F57" s="2954"/>
      <c r="G57" s="2854"/>
      <c r="H57" s="2452"/>
      <c r="I57" s="2452"/>
      <c r="J57" s="1340"/>
      <c r="K57" s="1117"/>
      <c r="L57" s="2250">
        <f t="shared" si="23"/>
      </c>
      <c r="M57" s="2251">
        <f t="shared" si="24"/>
      </c>
      <c r="N57" s="1173"/>
      <c r="O57" s="1283">
        <f t="shared" si="21"/>
      </c>
      <c r="P57" s="2943">
        <f t="shared" si="25"/>
      </c>
      <c r="Q57" s="2944"/>
      <c r="R57" s="2472">
        <f t="shared" si="26"/>
        <v>20</v>
      </c>
      <c r="S57" s="2473" t="str">
        <f t="shared" si="27"/>
        <v>--</v>
      </c>
      <c r="T57" s="2474" t="str">
        <f t="shared" si="28"/>
        <v>--</v>
      </c>
      <c r="U57" s="2475" t="str">
        <f t="shared" si="29"/>
        <v>--</v>
      </c>
      <c r="V57" s="1290" t="str">
        <f t="shared" si="30"/>
        <v>--</v>
      </c>
      <c r="W57" s="1291" t="str">
        <f t="shared" si="31"/>
        <v>--</v>
      </c>
      <c r="X57" s="2476" t="str">
        <f t="shared" si="32"/>
        <v>--</v>
      </c>
      <c r="Y57" s="1287" t="str">
        <f t="shared" si="33"/>
        <v>--</v>
      </c>
      <c r="Z57" s="2458"/>
      <c r="AA57" s="2458"/>
      <c r="AB57" s="1174">
        <f t="shared" si="22"/>
      </c>
      <c r="AC57" s="2255">
        <f t="shared" si="34"/>
      </c>
      <c r="AD57" s="2163"/>
    </row>
    <row r="58" spans="1:30" ht="16.5" thickTop="1">
      <c r="A58" s="2126"/>
      <c r="B58" s="1140"/>
      <c r="C58" s="967" t="s">
        <v>100</v>
      </c>
      <c r="D58" s="2478"/>
      <c r="E58" s="2479"/>
      <c r="F58" s="2954"/>
      <c r="G58" s="2854"/>
      <c r="H58" s="2218"/>
      <c r="I58" s="2219"/>
      <c r="J58" s="1340"/>
      <c r="K58" s="1117"/>
      <c r="L58" s="2250">
        <f t="shared" si="23"/>
      </c>
      <c r="M58" s="2251">
        <f t="shared" si="24"/>
      </c>
      <c r="N58" s="1173"/>
      <c r="O58" s="1283">
        <f>IF(D58="","","--")</f>
      </c>
      <c r="P58" s="2943">
        <f t="shared" si="25"/>
      </c>
      <c r="Q58" s="2944"/>
      <c r="R58" s="2472">
        <f t="shared" si="26"/>
        <v>20</v>
      </c>
      <c r="S58" s="2473" t="str">
        <f t="shared" si="27"/>
        <v>--</v>
      </c>
      <c r="T58" s="2474" t="str">
        <f t="shared" si="28"/>
        <v>--</v>
      </c>
      <c r="U58" s="2475" t="str">
        <f t="shared" si="29"/>
        <v>--</v>
      </c>
      <c r="V58" s="1290" t="str">
        <f t="shared" si="30"/>
        <v>--</v>
      </c>
      <c r="W58" s="1291" t="str">
        <f t="shared" si="31"/>
        <v>--</v>
      </c>
      <c r="X58" s="2476" t="str">
        <f t="shared" si="32"/>
        <v>--</v>
      </c>
      <c r="Y58" s="1287" t="str">
        <f t="shared" si="33"/>
        <v>--</v>
      </c>
      <c r="Z58" s="2458"/>
      <c r="AA58" s="2458"/>
      <c r="AB58" s="1174">
        <f>IF(D58="","","SI")</f>
      </c>
      <c r="AC58" s="2255">
        <f t="shared" si="34"/>
      </c>
      <c r="AD58" s="2163"/>
    </row>
    <row r="59" spans="1:30" ht="16.5" thickBot="1">
      <c r="A59" s="2126"/>
      <c r="B59" s="1140"/>
      <c r="C59" s="2198"/>
      <c r="D59" s="2199"/>
      <c r="E59" s="2453"/>
      <c r="F59" s="2454"/>
      <c r="G59" s="2455"/>
      <c r="H59" s="2218"/>
      <c r="I59" s="2219"/>
      <c r="J59" s="2203"/>
      <c r="K59" s="2204"/>
      <c r="L59" s="2205"/>
      <c r="M59" s="2206"/>
      <c r="N59" s="2480"/>
      <c r="O59" s="2480"/>
      <c r="P59" s="2481"/>
      <c r="Q59" s="2482"/>
      <c r="R59" s="2456"/>
      <c r="S59" s="2456"/>
      <c r="T59" s="2456"/>
      <c r="U59" s="2456"/>
      <c r="V59" s="2456"/>
      <c r="W59" s="2456"/>
      <c r="X59" s="2456"/>
      <c r="Y59" s="2456"/>
      <c r="Z59" s="2456"/>
      <c r="AA59" s="2457"/>
      <c r="AB59" s="2214"/>
      <c r="AC59" s="2215"/>
      <c r="AD59" s="2163"/>
    </row>
    <row r="60" spans="1:30" ht="17.25" thickBot="1" thickTop="1">
      <c r="A60" s="2126"/>
      <c r="B60" s="1140"/>
      <c r="C60" s="1211"/>
      <c r="D60" s="1186"/>
      <c r="E60" s="1186"/>
      <c r="F60" s="2216"/>
      <c r="G60" s="2217"/>
      <c r="H60" s="2274"/>
      <c r="I60" s="2272"/>
      <c r="J60" s="2220"/>
      <c r="K60" s="2221"/>
      <c r="L60" s="2222"/>
      <c r="M60" s="2218"/>
      <c r="N60" s="2223"/>
      <c r="O60" s="1187"/>
      <c r="P60" s="2224"/>
      <c r="Q60" s="2225"/>
      <c r="R60" s="2460"/>
      <c r="S60" s="2460"/>
      <c r="T60" s="2460"/>
      <c r="U60" s="2461"/>
      <c r="V60" s="2461"/>
      <c r="W60" s="2461"/>
      <c r="X60" s="2461"/>
      <c r="Y60" s="2461"/>
      <c r="Z60" s="2461"/>
      <c r="AA60" s="2461"/>
      <c r="AB60" s="2227"/>
      <c r="AC60" s="2228">
        <f>SUM(AC52:AC59)</f>
        <v>165584.64</v>
      </c>
      <c r="AD60" s="2163"/>
    </row>
    <row r="61" spans="1:30" ht="21" customHeight="1" thickBot="1" thickTop="1">
      <c r="A61" s="2126"/>
      <c r="B61" s="2127"/>
      <c r="C61" s="1211"/>
      <c r="D61" s="1186"/>
      <c r="E61" s="1186"/>
      <c r="F61" s="2216"/>
      <c r="G61" s="2217"/>
      <c r="H61" s="2274"/>
      <c r="I61" s="2272"/>
      <c r="J61" s="2154" t="s">
        <v>109</v>
      </c>
      <c r="K61" s="2155">
        <f>AC40+AC49+AC60</f>
        <v>180150.74482000002</v>
      </c>
      <c r="L61" s="2222"/>
      <c r="M61" s="2218"/>
      <c r="N61" s="2229"/>
      <c r="O61" s="2230"/>
      <c r="P61" s="2224"/>
      <c r="Q61" s="2225"/>
      <c r="R61" s="2226"/>
      <c r="S61" s="2226"/>
      <c r="T61" s="2226"/>
      <c r="U61" s="2227"/>
      <c r="V61" s="2227"/>
      <c r="W61" s="2227"/>
      <c r="X61" s="2227"/>
      <c r="Y61" s="2227"/>
      <c r="Z61" s="2227"/>
      <c r="AA61" s="2227"/>
      <c r="AB61" s="2227"/>
      <c r="AC61" s="2483"/>
      <c r="AD61" s="2280"/>
    </row>
    <row r="62" spans="1:30" ht="16.5" customHeight="1" thickTop="1">
      <c r="A62" s="2126"/>
      <c r="B62" s="2127"/>
      <c r="C62" s="2153"/>
      <c r="D62" s="2271"/>
      <c r="E62" s="2272"/>
      <c r="F62" s="2273"/>
      <c r="G62" s="2274"/>
      <c r="H62" s="2274"/>
      <c r="I62" s="2272"/>
      <c r="J62" s="2275"/>
      <c r="K62" s="2275"/>
      <c r="L62" s="2272"/>
      <c r="M62" s="2272"/>
      <c r="N62" s="2272"/>
      <c r="O62" s="2276"/>
      <c r="P62" s="2272"/>
      <c r="Q62" s="2272"/>
      <c r="R62" s="2277"/>
      <c r="S62" s="2278"/>
      <c r="T62" s="2278"/>
      <c r="U62" s="2279"/>
      <c r="AC62" s="2279"/>
      <c r="AD62" s="2280"/>
    </row>
    <row r="63" spans="1:30" ht="16.5" customHeight="1">
      <c r="A63" s="2126"/>
      <c r="B63" s="2127"/>
      <c r="C63" s="2281" t="s">
        <v>110</v>
      </c>
      <c r="D63" s="2282" t="s">
        <v>324</v>
      </c>
      <c r="E63" s="2272"/>
      <c r="F63" s="2273"/>
      <c r="G63" s="2274"/>
      <c r="H63" s="2159"/>
      <c r="I63" s="2158"/>
      <c r="J63" s="2275"/>
      <c r="K63" s="2275"/>
      <c r="L63" s="2272"/>
      <c r="M63" s="2272"/>
      <c r="N63" s="2272"/>
      <c r="O63" s="2276"/>
      <c r="P63" s="2272"/>
      <c r="Q63" s="2272"/>
      <c r="R63" s="2277"/>
      <c r="S63" s="2278"/>
      <c r="T63" s="2278"/>
      <c r="U63" s="2279"/>
      <c r="AC63" s="2279"/>
      <c r="AD63" s="2280"/>
    </row>
    <row r="64" spans="2:30" s="2126" customFormat="1" ht="16.5" customHeight="1">
      <c r="B64" s="2127"/>
      <c r="C64" s="2281"/>
      <c r="D64" s="2271"/>
      <c r="E64" s="2272"/>
      <c r="F64" s="2273"/>
      <c r="G64" s="2274"/>
      <c r="H64" s="2131"/>
      <c r="I64" s="2131"/>
      <c r="J64" s="2275"/>
      <c r="K64" s="2275"/>
      <c r="L64" s="2272"/>
      <c r="M64" s="2272"/>
      <c r="N64" s="2272"/>
      <c r="O64" s="2276"/>
      <c r="P64" s="2272"/>
      <c r="Q64" s="2272"/>
      <c r="R64" s="2272"/>
      <c r="S64" s="2277"/>
      <c r="T64" s="2278"/>
      <c r="U64" s="1120"/>
      <c r="V64" s="1120"/>
      <c r="W64" s="1120"/>
      <c r="X64" s="1120"/>
      <c r="Y64" s="1120"/>
      <c r="Z64" s="1120"/>
      <c r="AA64" s="1120"/>
      <c r="AB64" s="1120"/>
      <c r="AC64" s="1120"/>
      <c r="AD64" s="2280"/>
    </row>
    <row r="65" spans="2:30" s="2126" customFormat="1" ht="16.5" customHeight="1">
      <c r="B65" s="2127"/>
      <c r="C65" s="2153"/>
      <c r="D65" s="2283" t="s">
        <v>5</v>
      </c>
      <c r="E65" s="2158" t="s">
        <v>111</v>
      </c>
      <c r="F65" s="2158" t="s">
        <v>112</v>
      </c>
      <c r="G65" s="2284" t="s">
        <v>325</v>
      </c>
      <c r="H65" s="2286"/>
      <c r="I65" s="2296"/>
      <c r="J65" s="1120"/>
      <c r="K65" s="2298" t="s">
        <v>326</v>
      </c>
      <c r="L65" s="1120"/>
      <c r="M65" s="1120"/>
      <c r="O65" s="2298" t="s">
        <v>327</v>
      </c>
      <c r="P65" s="2297"/>
      <c r="Q65" s="2299"/>
      <c r="R65" s="2287"/>
      <c r="S65" s="2128"/>
      <c r="T65" s="1120"/>
      <c r="U65" s="1120"/>
      <c r="V65" s="1120"/>
      <c r="W65" s="1120"/>
      <c r="X65" s="2128"/>
      <c r="Y65" s="2128"/>
      <c r="Z65" s="2128"/>
      <c r="AA65" s="2128"/>
      <c r="AB65" s="2128"/>
      <c r="AC65" s="2484" t="s">
        <v>328</v>
      </c>
      <c r="AD65" s="2280"/>
    </row>
    <row r="66" spans="2:30" s="2126" customFormat="1" ht="16.5" customHeight="1">
      <c r="B66" s="2127"/>
      <c r="C66" s="2153"/>
      <c r="D66" s="2158" t="s">
        <v>113</v>
      </c>
      <c r="E66" s="2485">
        <v>267</v>
      </c>
      <c r="F66" s="2301">
        <v>500</v>
      </c>
      <c r="G66" s="2131">
        <f>E66*$F$20*$L$21/100</f>
        <v>1005395.2711200002</v>
      </c>
      <c r="H66" s="1120"/>
      <c r="I66" s="2158"/>
      <c r="J66" s="2119"/>
      <c r="K66" s="2302">
        <v>1844100</v>
      </c>
      <c r="L66" s="2119"/>
      <c r="M66" s="1082" t="str">
        <f>"(DTE "&amp;DATO!$G$14&amp;DATO!$H$14&amp;")"</f>
        <v>(DTE 1215)</v>
      </c>
      <c r="Q66" s="1082" t="str">
        <f>"(DTE "&amp;DATO!$G$14&amp;DATO!$H$14&amp;")"</f>
        <v>(DTE 1215)</v>
      </c>
      <c r="R66" s="2287"/>
      <c r="S66" s="2128"/>
      <c r="T66" s="1120"/>
      <c r="U66" s="1120"/>
      <c r="V66" s="1120"/>
      <c r="W66" s="1120"/>
      <c r="X66" s="2128"/>
      <c r="Y66" s="2128"/>
      <c r="Z66" s="2128"/>
      <c r="AA66" s="2128"/>
      <c r="AB66" s="2486"/>
      <c r="AC66" s="2338">
        <f>K66+G66</f>
        <v>2849495.27112</v>
      </c>
      <c r="AD66" s="2280"/>
    </row>
    <row r="67" spans="2:30" s="2126" customFormat="1" ht="16.5" customHeight="1">
      <c r="B67" s="2127"/>
      <c r="C67" s="2153"/>
      <c r="D67" s="2158" t="s">
        <v>114</v>
      </c>
      <c r="E67" s="2485">
        <f>3*3.6</f>
        <v>10.8</v>
      </c>
      <c r="F67" s="2301">
        <v>500</v>
      </c>
      <c r="G67" s="2131">
        <f>E67*$F$20*$L$21/100</f>
        <v>40667.673888000005</v>
      </c>
      <c r="H67" s="1120"/>
      <c r="I67" s="2158"/>
      <c r="J67" s="2119"/>
      <c r="K67" s="2131">
        <v>46980</v>
      </c>
      <c r="L67" s="2119"/>
      <c r="M67" s="1082" t="str">
        <f>"(DTE "&amp;DATO!$G$14&amp;DATO!$H$14&amp;")"</f>
        <v>(DTE 1215)</v>
      </c>
      <c r="O67" s="2487"/>
      <c r="P67" s="1120"/>
      <c r="Q67" s="1082" t="str">
        <f>"(DTE "&amp;DATO!$G$14&amp;DATO!$H$14&amp;")"</f>
        <v>(DTE 1215)</v>
      </c>
      <c r="R67" s="2287"/>
      <c r="S67" s="2128"/>
      <c r="T67" s="1120"/>
      <c r="U67" s="1120"/>
      <c r="V67" s="1120"/>
      <c r="W67" s="1120"/>
      <c r="X67" s="2128"/>
      <c r="Y67" s="2128"/>
      <c r="Z67" s="2128"/>
      <c r="AA67" s="2128"/>
      <c r="AB67" s="2128"/>
      <c r="AC67" s="2338">
        <f>K67+G67</f>
        <v>87647.673888</v>
      </c>
      <c r="AD67" s="2280"/>
    </row>
    <row r="68" spans="2:30" s="2126" customFormat="1" ht="16.5" customHeight="1">
      <c r="B68" s="2127"/>
      <c r="C68" s="2153"/>
      <c r="E68" s="2303"/>
      <c r="F68" s="2158"/>
      <c r="G68" s="2159"/>
      <c r="H68" s="2159"/>
      <c r="I68" s="1120"/>
      <c r="J68" s="2158"/>
      <c r="K68" s="1120"/>
      <c r="L68" s="2338"/>
      <c r="M68" s="2299"/>
      <c r="N68" s="2299"/>
      <c r="O68" s="2302"/>
      <c r="P68" s="2119"/>
      <c r="Q68" s="1082"/>
      <c r="R68" s="2287"/>
      <c r="S68" s="2128"/>
      <c r="T68" s="1120"/>
      <c r="U68" s="1120"/>
      <c r="V68" s="1120"/>
      <c r="W68" s="1120"/>
      <c r="X68" s="2128"/>
      <c r="Y68" s="2128"/>
      <c r="Z68" s="2128"/>
      <c r="AA68" s="2128"/>
      <c r="AB68" s="2128"/>
      <c r="AC68" s="2338"/>
      <c r="AD68" s="2280"/>
    </row>
    <row r="69" spans="2:30" s="2126" customFormat="1" ht="16.5" customHeight="1">
      <c r="B69" s="2127"/>
      <c r="C69" s="2153"/>
      <c r="D69" s="2283" t="s">
        <v>129</v>
      </c>
      <c r="E69" s="2158" t="s">
        <v>112</v>
      </c>
      <c r="F69" s="1120" t="s">
        <v>138</v>
      </c>
      <c r="G69" s="2284" t="s">
        <v>331</v>
      </c>
      <c r="I69" s="2284" t="s">
        <v>331</v>
      </c>
      <c r="K69" s="1120"/>
      <c r="L69" s="2287"/>
      <c r="M69" s="2287"/>
      <c r="N69" s="2128"/>
      <c r="O69" s="1120"/>
      <c r="P69" s="1120"/>
      <c r="Q69" s="1082"/>
      <c r="R69" s="2287"/>
      <c r="S69" s="2128"/>
      <c r="T69" s="1120"/>
      <c r="U69" s="1120"/>
      <c r="V69" s="1120"/>
      <c r="W69" s="1120"/>
      <c r="X69" s="2128"/>
      <c r="Y69" s="2128"/>
      <c r="Z69" s="2128"/>
      <c r="AA69" s="2128"/>
      <c r="AB69" s="2128"/>
      <c r="AC69" s="2338"/>
      <c r="AD69" s="2280"/>
    </row>
    <row r="70" spans="2:30" s="2126" customFormat="1" ht="16.5" customHeight="1">
      <c r="B70" s="2127"/>
      <c r="C70" s="2153"/>
      <c r="D70" s="2288" t="s">
        <v>404</v>
      </c>
      <c r="E70" s="2288">
        <v>500</v>
      </c>
      <c r="F70" s="2288">
        <v>2</v>
      </c>
      <c r="G70" s="2935">
        <f>+F70*$F$21*$L$21</f>
        <v>410737.10400000005</v>
      </c>
      <c r="H70" s="2955"/>
      <c r="I70" s="2955"/>
      <c r="J70" s="2955"/>
      <c r="K70" s="2290"/>
      <c r="L70" s="2290"/>
      <c r="M70" s="2290"/>
      <c r="N70" s="2290"/>
      <c r="O70" s="2290"/>
      <c r="P70" s="2290"/>
      <c r="Q70" s="1082"/>
      <c r="R70" s="2287"/>
      <c r="S70" s="2128"/>
      <c r="T70" s="1120"/>
      <c r="U70" s="1120"/>
      <c r="V70" s="1120"/>
      <c r="W70" s="1120"/>
      <c r="X70" s="2128"/>
      <c r="Y70" s="2128"/>
      <c r="Z70" s="2128"/>
      <c r="AA70" s="2128"/>
      <c r="AB70" s="2128"/>
      <c r="AC70" s="2338">
        <f>G70</f>
        <v>410737.10400000005</v>
      </c>
      <c r="AD70" s="2280"/>
    </row>
    <row r="71" spans="1:30" ht="16.5" customHeight="1">
      <c r="A71" s="2126"/>
      <c r="B71" s="2127"/>
      <c r="C71" s="2153"/>
      <c r="D71" s="2288" t="s">
        <v>405</v>
      </c>
      <c r="E71" s="2288">
        <v>500</v>
      </c>
      <c r="F71" s="2288">
        <v>3</v>
      </c>
      <c r="G71" s="2935">
        <f>+F71*$F$21*$L$21</f>
        <v>616105.6560000001</v>
      </c>
      <c r="H71" s="2955"/>
      <c r="I71" s="2955"/>
      <c r="J71" s="2955"/>
      <c r="K71" s="2290"/>
      <c r="L71" s="2290"/>
      <c r="M71" s="2290"/>
      <c r="N71" s="2290"/>
      <c r="O71" s="2290"/>
      <c r="P71" s="2290"/>
      <c r="Q71" s="2132"/>
      <c r="R71" s="2287"/>
      <c r="S71" s="2128"/>
      <c r="X71" s="2128"/>
      <c r="Y71" s="2128"/>
      <c r="Z71" s="2128"/>
      <c r="AA71" s="2128"/>
      <c r="AB71" s="2488"/>
      <c r="AC71" s="2489">
        <f>G71</f>
        <v>616105.6560000001</v>
      </c>
      <c r="AD71" s="2280"/>
    </row>
    <row r="72" spans="1:30" ht="11.25" customHeight="1" thickBot="1">
      <c r="A72" s="2126"/>
      <c r="B72" s="2127"/>
      <c r="C72" s="2153"/>
      <c r="D72" s="2288"/>
      <c r="E72" s="2288"/>
      <c r="F72" s="2288"/>
      <c r="H72" s="2126"/>
      <c r="I72" s="2290"/>
      <c r="J72" s="2290"/>
      <c r="K72" s="2290"/>
      <c r="L72" s="2290"/>
      <c r="M72" s="2290"/>
      <c r="N72" s="2290"/>
      <c r="O72" s="2290"/>
      <c r="P72" s="2290"/>
      <c r="Q72" s="2132"/>
      <c r="R72" s="2287"/>
      <c r="S72" s="2128"/>
      <c r="X72" s="2128"/>
      <c r="Y72" s="2128"/>
      <c r="Z72" s="2128"/>
      <c r="AA72" s="2128"/>
      <c r="AB72" s="2128"/>
      <c r="AC72" s="2338"/>
      <c r="AD72" s="2280"/>
    </row>
    <row r="73" spans="1:30" ht="16.5" customHeight="1" thickBot="1" thickTop="1">
      <c r="A73" s="2126"/>
      <c r="B73" s="2127"/>
      <c r="C73" s="2153"/>
      <c r="D73" s="2275"/>
      <c r="E73" s="2303"/>
      <c r="F73" s="2158"/>
      <c r="G73" s="2158"/>
      <c r="H73" s="2159"/>
      <c r="J73" s="2158"/>
      <c r="L73" s="2304"/>
      <c r="M73" s="2299"/>
      <c r="N73" s="2299"/>
      <c r="O73" s="2287"/>
      <c r="P73" s="2287"/>
      <c r="Q73" s="2287"/>
      <c r="R73" s="2287"/>
      <c r="S73" s="2287"/>
      <c r="AB73" s="2490" t="s">
        <v>147</v>
      </c>
      <c r="AC73" s="2491">
        <f>SUM(AC66:AC71)</f>
        <v>3963985.7050080006</v>
      </c>
      <c r="AD73" s="2280"/>
    </row>
    <row r="74" spans="1:30" ht="21" customHeight="1" thickBot="1" thickTop="1">
      <c r="A74" s="2126"/>
      <c r="B74" s="2127"/>
      <c r="C74" s="2153"/>
      <c r="D74" s="2275"/>
      <c r="E74" s="2303"/>
      <c r="F74" s="2158"/>
      <c r="G74" s="2158"/>
      <c r="H74" s="2275"/>
      <c r="I74" s="2275"/>
      <c r="J74" s="2158"/>
      <c r="L74" s="2304"/>
      <c r="M74" s="2299"/>
      <c r="N74" s="2299"/>
      <c r="O74" s="2287"/>
      <c r="P74" s="2287"/>
      <c r="Q74" s="2287"/>
      <c r="R74" s="2287"/>
      <c r="S74" s="2287"/>
      <c r="AC74" s="2336"/>
      <c r="AD74" s="2280"/>
    </row>
    <row r="75" spans="2:30" ht="16.5" customHeight="1" thickBot="1" thickTop="1">
      <c r="B75" s="2127"/>
      <c r="C75" s="2153"/>
      <c r="D75" s="2275"/>
      <c r="E75" s="2303"/>
      <c r="F75" s="2158"/>
      <c r="G75" s="2158"/>
      <c r="H75" s="2126"/>
      <c r="I75" s="2126"/>
      <c r="J75" s="2158"/>
      <c r="L75" s="2304"/>
      <c r="M75" s="2299"/>
      <c r="N75" s="2299"/>
      <c r="O75" s="2287"/>
      <c r="P75" s="2287"/>
      <c r="Q75" s="2287"/>
      <c r="R75" s="2287"/>
      <c r="S75" s="2287"/>
      <c r="AB75" s="2490" t="s">
        <v>392</v>
      </c>
      <c r="AC75" s="2491">
        <v>2370992.1869280003</v>
      </c>
      <c r="AD75" s="2280"/>
    </row>
    <row r="76" spans="2:30" s="2126" customFormat="1" ht="16.5" customHeight="1" thickTop="1">
      <c r="B76" s="2127"/>
      <c r="C76" s="2281" t="s">
        <v>115</v>
      </c>
      <c r="D76" s="2305" t="s">
        <v>116</v>
      </c>
      <c r="E76" s="2158"/>
      <c r="F76" s="2306"/>
      <c r="G76" s="2157"/>
      <c r="J76" s="2275"/>
      <c r="K76" s="2158"/>
      <c r="L76" s="2158"/>
      <c r="M76" s="2275"/>
      <c r="N76" s="2158"/>
      <c r="O76" s="2275"/>
      <c r="P76" s="2275"/>
      <c r="Q76" s="2275"/>
      <c r="R76" s="2275"/>
      <c r="S76" s="2275"/>
      <c r="T76" s="2275"/>
      <c r="U76" s="2275"/>
      <c r="V76" s="1120"/>
      <c r="W76" s="1120"/>
      <c r="X76" s="1120"/>
      <c r="Y76" s="1120"/>
      <c r="Z76" s="1120"/>
      <c r="AA76" s="1120"/>
      <c r="AB76" s="1120"/>
      <c r="AC76" s="2275"/>
      <c r="AD76" s="2280"/>
    </row>
    <row r="77" spans="2:30" s="2126" customFormat="1" ht="16.5" customHeight="1">
      <c r="B77" s="2127"/>
      <c r="C77" s="2153"/>
      <c r="D77" s="2283" t="s">
        <v>117</v>
      </c>
      <c r="E77" s="2307">
        <f>10*K61*K28/AC73</f>
        <v>26938.543692138384</v>
      </c>
      <c r="G77" s="2157"/>
      <c r="H77" s="2275"/>
      <c r="I77" s="2275"/>
      <c r="L77" s="2158"/>
      <c r="N77" s="2158"/>
      <c r="O77" s="2159"/>
      <c r="V77" s="1120"/>
      <c r="W77" s="1120"/>
      <c r="AD77" s="2280"/>
    </row>
    <row r="78" spans="2:30" ht="16.5" customHeight="1">
      <c r="B78" s="2127"/>
      <c r="C78" s="2153"/>
      <c r="D78" s="2126"/>
      <c r="E78" s="2308"/>
      <c r="F78" s="2151"/>
      <c r="G78" s="2157"/>
      <c r="H78" s="2275"/>
      <c r="I78" s="2275"/>
      <c r="J78" s="2157"/>
      <c r="K78" s="2309"/>
      <c r="L78" s="2158"/>
      <c r="M78" s="2158"/>
      <c r="N78" s="2158"/>
      <c r="O78" s="2159"/>
      <c r="P78" s="2158"/>
      <c r="Q78" s="2158"/>
      <c r="R78" s="2310"/>
      <c r="S78" s="2310"/>
      <c r="T78" s="2310"/>
      <c r="U78" s="2311"/>
      <c r="X78" s="2126"/>
      <c r="Y78" s="2126"/>
      <c r="Z78" s="2126"/>
      <c r="AA78" s="2126"/>
      <c r="AB78" s="2126"/>
      <c r="AC78" s="2311"/>
      <c r="AD78" s="2280"/>
    </row>
    <row r="79" spans="2:30" ht="16.5" customHeight="1">
      <c r="B79" s="2127"/>
      <c r="C79" s="2153"/>
      <c r="D79" s="2312" t="s">
        <v>118</v>
      </c>
      <c r="E79" s="2313"/>
      <c r="F79" s="2151"/>
      <c r="G79" s="2157"/>
      <c r="H79" s="2314"/>
      <c r="N79" s="2158"/>
      <c r="O79" s="2159"/>
      <c r="P79" s="2158"/>
      <c r="Q79" s="2158"/>
      <c r="R79" s="2297"/>
      <c r="S79" s="2297"/>
      <c r="T79" s="2297"/>
      <c r="U79" s="2299"/>
      <c r="AC79" s="2299"/>
      <c r="AD79" s="2280"/>
    </row>
    <row r="80" spans="2:30" s="2314" customFormat="1" ht="20.25" thickBot="1">
      <c r="B80" s="2315"/>
      <c r="C80" s="2153"/>
      <c r="D80" s="2312"/>
      <c r="E80" s="2313"/>
      <c r="F80" s="2151"/>
      <c r="G80" s="2157"/>
      <c r="H80" s="2330"/>
      <c r="I80" s="2330"/>
      <c r="J80" s="1120"/>
      <c r="K80" s="1120"/>
      <c r="L80" s="1120"/>
      <c r="M80" s="1120"/>
      <c r="N80" s="2158"/>
      <c r="O80" s="2159"/>
      <c r="P80" s="2158"/>
      <c r="Q80" s="2158"/>
      <c r="R80" s="2297"/>
      <c r="S80" s="2297"/>
      <c r="T80" s="2297"/>
      <c r="U80" s="2299"/>
      <c r="V80" s="1120"/>
      <c r="W80" s="1120"/>
      <c r="X80" s="1120"/>
      <c r="Y80" s="1120"/>
      <c r="Z80" s="1120"/>
      <c r="AA80" s="1120"/>
      <c r="AB80" s="1120"/>
      <c r="AC80" s="2299"/>
      <c r="AD80" s="2280"/>
    </row>
    <row r="81" spans="2:30" ht="16.5" customHeight="1" thickBot="1" thickTop="1">
      <c r="B81" s="2315"/>
      <c r="C81" s="2316"/>
      <c r="D81" s="2317"/>
      <c r="E81" s="2318"/>
      <c r="F81" s="2319"/>
      <c r="G81" s="2320"/>
      <c r="J81" s="2321" t="s">
        <v>119</v>
      </c>
      <c r="K81" s="2322">
        <f>IF(E77&gt;3*K28,K28*3,E77)</f>
        <v>26938.543692138384</v>
      </c>
      <c r="L81" s="2314"/>
      <c r="M81" s="2325"/>
      <c r="N81" s="2323" t="s">
        <v>406</v>
      </c>
      <c r="O81" s="2324"/>
      <c r="P81" s="2325"/>
      <c r="Q81" s="2325"/>
      <c r="R81" s="2326"/>
      <c r="S81" s="2326"/>
      <c r="T81" s="2326"/>
      <c r="U81" s="2327"/>
      <c r="X81" s="2314"/>
      <c r="Y81" s="2314"/>
      <c r="Z81" s="2314"/>
      <c r="AA81" s="2314"/>
      <c r="AB81" s="2314"/>
      <c r="AC81" s="2327"/>
      <c r="AD81" s="2328"/>
    </row>
    <row r="82" spans="2:30" ht="16.5" customHeight="1" thickBot="1" thickTop="1">
      <c r="B82" s="2329"/>
      <c r="C82" s="2330"/>
      <c r="D82" s="2330"/>
      <c r="E82" s="2330"/>
      <c r="F82" s="2330"/>
      <c r="G82" s="2330"/>
      <c r="J82" s="2330"/>
      <c r="K82" s="2330"/>
      <c r="L82" s="2330"/>
      <c r="M82" s="2330"/>
      <c r="N82" s="2330"/>
      <c r="O82" s="2330"/>
      <c r="P82" s="2330"/>
      <c r="Q82" s="2330"/>
      <c r="R82" s="2330"/>
      <c r="S82" s="2330"/>
      <c r="T82" s="2330"/>
      <c r="U82" s="2330"/>
      <c r="V82" s="2331"/>
      <c r="W82" s="2331"/>
      <c r="X82" s="2331"/>
      <c r="Y82" s="2331"/>
      <c r="Z82" s="2331"/>
      <c r="AA82" s="2331"/>
      <c r="AB82" s="2331"/>
      <c r="AC82" s="2330"/>
      <c r="AD82" s="2332"/>
    </row>
    <row r="83" spans="2:23" ht="13.5" thickTop="1">
      <c r="B83" s="1188"/>
      <c r="C83" s="2333"/>
      <c r="W83" s="1188"/>
    </row>
  </sheetData>
  <sheetProtection/>
  <mergeCells count="24">
    <mergeCell ref="F42:G42"/>
    <mergeCell ref="P42:Q42"/>
    <mergeCell ref="P43:Q43"/>
    <mergeCell ref="P44:Q44"/>
    <mergeCell ref="P45:Q45"/>
    <mergeCell ref="P46:Q46"/>
    <mergeCell ref="P47:Q47"/>
    <mergeCell ref="P48:Q48"/>
    <mergeCell ref="F51:G51"/>
    <mergeCell ref="P51:Q51"/>
    <mergeCell ref="F53:G53"/>
    <mergeCell ref="P53:Q53"/>
    <mergeCell ref="F54:G54"/>
    <mergeCell ref="P54:Q54"/>
    <mergeCell ref="F55:G55"/>
    <mergeCell ref="P55:Q55"/>
    <mergeCell ref="F56:G56"/>
    <mergeCell ref="P56:Q56"/>
    <mergeCell ref="F57:G57"/>
    <mergeCell ref="P57:Q57"/>
    <mergeCell ref="F58:G58"/>
    <mergeCell ref="P58:Q58"/>
    <mergeCell ref="G70:J70"/>
    <mergeCell ref="G71:J71"/>
  </mergeCells>
  <printOptions horizontalCentered="1"/>
  <pageMargins left="0.1968503937007874" right="0.15748031496062992" top="0.7874015748031497" bottom="0.7874015748031497" header="0.5118110236220472" footer="0.5118110236220472"/>
  <pageSetup fitToHeight="1" fitToWidth="1" horizontalDpi="600" verticalDpi="600" orientation="portrait" paperSize="9" scale="40" r:id="rId2"/>
  <headerFooter alignWithMargins="0">
    <oddFooter>&amp;L&amp;"Times New Roman,Normal"&amp;8&amp;Z&amp;F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7" sqref="F7"/>
    </sheetView>
  </sheetViews>
  <sheetFormatPr defaultColWidth="11.421875" defaultRowHeight="12.75"/>
  <cols>
    <col min="1" max="1" width="23.00390625" style="572" bestFit="1" customWidth="1"/>
    <col min="2" max="2" width="9.28125" style="572" customWidth="1"/>
    <col min="3" max="3" width="11.8515625" style="572" bestFit="1" customWidth="1"/>
    <col min="4" max="4" width="9.57421875" style="572" bestFit="1" customWidth="1"/>
    <col min="5" max="5" width="17.140625" style="572" bestFit="1" customWidth="1"/>
    <col min="6" max="6" width="71.8515625" style="572" bestFit="1" customWidth="1"/>
    <col min="7" max="9" width="5.8515625" style="572" customWidth="1"/>
    <col min="10" max="22" width="5.8515625" style="572" bestFit="1" customWidth="1"/>
    <col min="23" max="24" width="11.00390625" style="572" customWidth="1"/>
    <col min="25" max="29" width="11.421875" style="572" customWidth="1"/>
    <col min="30" max="16384" width="11.421875" style="573" customWidth="1"/>
  </cols>
  <sheetData>
    <row r="1" spans="1:4" ht="10.5">
      <c r="A1" s="571" t="s">
        <v>150</v>
      </c>
      <c r="B1" s="571" t="s">
        <v>150</v>
      </c>
      <c r="C1" s="571" t="s">
        <v>151</v>
      </c>
      <c r="D1" s="571" t="s">
        <v>152</v>
      </c>
    </row>
    <row r="2" spans="1:4" ht="10.5">
      <c r="A2" s="574" t="s">
        <v>153</v>
      </c>
      <c r="B2" s="575" t="s">
        <v>154</v>
      </c>
      <c r="C2" s="574">
        <v>31</v>
      </c>
      <c r="D2" s="574">
        <v>2006</v>
      </c>
    </row>
    <row r="3" spans="1:4" ht="10.5">
      <c r="A3" s="574" t="s">
        <v>155</v>
      </c>
      <c r="B3" s="575" t="s">
        <v>156</v>
      </c>
      <c r="C3" s="574">
        <f>IF(MOD(E14,4)=0,29,28)</f>
        <v>28</v>
      </c>
      <c r="D3" s="574">
        <f>+D2+1</f>
        <v>2007</v>
      </c>
    </row>
    <row r="4" spans="1:4" ht="10.5">
      <c r="A4" s="574" t="s">
        <v>157</v>
      </c>
      <c r="B4" s="575" t="s">
        <v>158</v>
      </c>
      <c r="C4" s="574">
        <v>31</v>
      </c>
      <c r="D4" s="574">
        <v>2008</v>
      </c>
    </row>
    <row r="5" spans="1:4" ht="10.5">
      <c r="A5" s="574" t="s">
        <v>159</v>
      </c>
      <c r="B5" s="575" t="s">
        <v>160</v>
      </c>
      <c r="C5" s="574">
        <v>30</v>
      </c>
      <c r="D5" s="574">
        <v>2009</v>
      </c>
    </row>
    <row r="6" spans="1:4" ht="10.5">
      <c r="A6" s="574" t="s">
        <v>161</v>
      </c>
      <c r="B6" s="575" t="s">
        <v>162</v>
      </c>
      <c r="C6" s="574">
        <v>31</v>
      </c>
      <c r="D6" s="574">
        <v>2010</v>
      </c>
    </row>
    <row r="7" spans="1:4" ht="10.5">
      <c r="A7" s="574" t="s">
        <v>163</v>
      </c>
      <c r="B7" s="575" t="s">
        <v>164</v>
      </c>
      <c r="C7" s="574">
        <v>30</v>
      </c>
      <c r="D7" s="574">
        <v>2011</v>
      </c>
    </row>
    <row r="8" spans="1:4" ht="10.5">
      <c r="A8" s="574" t="s">
        <v>165</v>
      </c>
      <c r="B8" s="575" t="s">
        <v>166</v>
      </c>
      <c r="C8" s="574">
        <v>31</v>
      </c>
      <c r="D8" s="574">
        <v>2012</v>
      </c>
    </row>
    <row r="9" spans="1:4" ht="10.5">
      <c r="A9" s="574" t="s">
        <v>167</v>
      </c>
      <c r="B9" s="575" t="s">
        <v>168</v>
      </c>
      <c r="C9" s="574">
        <v>31</v>
      </c>
      <c r="D9" s="574">
        <v>2013</v>
      </c>
    </row>
    <row r="10" spans="1:4" ht="10.5">
      <c r="A10" s="574" t="s">
        <v>169</v>
      </c>
      <c r="B10" s="575" t="s">
        <v>170</v>
      </c>
      <c r="C10" s="574">
        <v>30</v>
      </c>
      <c r="D10" s="574">
        <v>2014</v>
      </c>
    </row>
    <row r="11" spans="1:4" ht="10.5">
      <c r="A11" s="574" t="s">
        <v>171</v>
      </c>
      <c r="B11" s="575" t="s">
        <v>172</v>
      </c>
      <c r="C11" s="574">
        <v>31</v>
      </c>
      <c r="D11" s="574">
        <v>2015</v>
      </c>
    </row>
    <row r="12" spans="1:4" ht="10.5">
      <c r="A12" s="574" t="s">
        <v>173</v>
      </c>
      <c r="B12" s="575" t="s">
        <v>174</v>
      </c>
      <c r="C12" s="574">
        <v>30</v>
      </c>
      <c r="D12" s="574"/>
    </row>
    <row r="13" spans="1:9" ht="10.5">
      <c r="A13" s="574" t="s">
        <v>175</v>
      </c>
      <c r="B13" s="575" t="s">
        <v>176</v>
      </c>
      <c r="C13" s="574">
        <v>31</v>
      </c>
      <c r="D13" s="574"/>
      <c r="E13" s="576"/>
      <c r="I13" s="577" t="s">
        <v>177</v>
      </c>
    </row>
    <row r="14" spans="1:9" ht="10.5">
      <c r="A14" s="578">
        <v>10</v>
      </c>
      <c r="B14" s="579">
        <v>12</v>
      </c>
      <c r="C14" s="578" t="str">
        <f ca="1">CELL("CONTENIDO",OFFSET(A1,B14,0))</f>
        <v>diciembre</v>
      </c>
      <c r="D14" s="578">
        <f ca="1">CELL("CONTENIDO",OFFSET(C1,B14,0))</f>
        <v>31</v>
      </c>
      <c r="E14" s="578">
        <f ca="1">CELL("CONTENIDO",OFFSET(D1,A14,0))</f>
        <v>2015</v>
      </c>
      <c r="F14" s="578" t="str">
        <f>"Desde el 01 al "&amp;D14&amp;" de "&amp;C14&amp;" de "&amp;E14</f>
        <v>Desde el 01 al 31 de diciembre de 2015</v>
      </c>
      <c r="G14" s="578" t="str">
        <f ca="1">CELL("CONTENIDO",OFFSET(B1,B14,0))</f>
        <v>12</v>
      </c>
      <c r="H14" s="578" t="str">
        <f>RIGHT(E14,2)</f>
        <v>15</v>
      </c>
      <c r="I14" s="580" t="s">
        <v>178</v>
      </c>
    </row>
    <row r="15" spans="1:8" ht="10.5">
      <c r="A15" s="578"/>
      <c r="B15" s="581" t="str">
        <f>"\\rugor\files\Transporte\Transporte\AA PROCESO AUT ARCHIVOS J\TRANSENER\"&amp;E14</f>
        <v>\\rugor\files\Transporte\Transporte\AA PROCESO AUT ARCHIVOS J\TRANSENER\2015</v>
      </c>
      <c r="C15" s="578"/>
      <c r="D15" s="578"/>
      <c r="E15" s="578"/>
      <c r="F15" s="578"/>
      <c r="G15" s="578" t="str">
        <f>"J"&amp;G14&amp;H14&amp;"NER"</f>
        <v>J1215NER</v>
      </c>
      <c r="H15" s="578"/>
    </row>
    <row r="16" spans="1:8" ht="10.5">
      <c r="A16" s="578"/>
      <c r="B16" s="581" t="str">
        <f>"\\rugor\files\Transporte\transporte\AA PROCESO AUT\INTERCAMBIO\"&amp;H14&amp;G14</f>
        <v>\\rugor\files\Transporte\transporte\AA PROCESO AUT\INTERCAMBIO\1512</v>
      </c>
      <c r="C16" s="578"/>
      <c r="D16" s="578"/>
      <c r="E16" s="578"/>
      <c r="F16" s="578"/>
      <c r="G16" s="578"/>
      <c r="H16" s="578"/>
    </row>
    <row r="17" spans="1:29" ht="10.5">
      <c r="A17" s="571" t="s">
        <v>179</v>
      </c>
      <c r="B17" s="571" t="s">
        <v>180</v>
      </c>
      <c r="C17" s="571" t="s">
        <v>181</v>
      </c>
      <c r="D17" s="571" t="s">
        <v>182</v>
      </c>
      <c r="E17" s="571" t="s">
        <v>183</v>
      </c>
      <c r="F17" s="571" t="s">
        <v>184</v>
      </c>
      <c r="G17" s="571" t="s">
        <v>185</v>
      </c>
      <c r="H17" s="571" t="s">
        <v>186</v>
      </c>
      <c r="I17" s="571" t="s">
        <v>187</v>
      </c>
      <c r="J17" s="571" t="s">
        <v>188</v>
      </c>
      <c r="K17" s="571" t="s">
        <v>189</v>
      </c>
      <c r="L17" s="571" t="s">
        <v>190</v>
      </c>
      <c r="M17" s="571" t="s">
        <v>191</v>
      </c>
      <c r="N17" s="571" t="s">
        <v>192</v>
      </c>
      <c r="O17" s="571" t="s">
        <v>193</v>
      </c>
      <c r="P17" s="571" t="s">
        <v>194</v>
      </c>
      <c r="Q17" s="571" t="s">
        <v>195</v>
      </c>
      <c r="R17" s="571" t="s">
        <v>196</v>
      </c>
      <c r="S17" s="571" t="s">
        <v>197</v>
      </c>
      <c r="T17" s="571" t="s">
        <v>198</v>
      </c>
      <c r="U17" s="571" t="s">
        <v>199</v>
      </c>
      <c r="V17" s="571" t="s">
        <v>200</v>
      </c>
      <c r="W17" s="571" t="s">
        <v>201</v>
      </c>
      <c r="X17" s="571" t="s">
        <v>202</v>
      </c>
      <c r="Y17" s="571" t="s">
        <v>203</v>
      </c>
      <c r="Z17" s="571" t="s">
        <v>204</v>
      </c>
      <c r="AA17" s="571" t="s">
        <v>205</v>
      </c>
      <c r="AB17" s="571" t="s">
        <v>206</v>
      </c>
      <c r="AC17" s="571" t="s">
        <v>207</v>
      </c>
    </row>
    <row r="18" spans="1:29" ht="10.5">
      <c r="A18" s="582" t="s">
        <v>208</v>
      </c>
      <c r="B18" s="582">
        <v>22</v>
      </c>
      <c r="C18" s="582">
        <v>20</v>
      </c>
      <c r="D18" s="582">
        <v>13</v>
      </c>
      <c r="E18" s="582" t="str">
        <f>"LI-"&amp;$G$14</f>
        <v>LI-12</v>
      </c>
      <c r="F18" s="582" t="s">
        <v>209</v>
      </c>
      <c r="G18" s="582">
        <v>3</v>
      </c>
      <c r="H18" s="583">
        <v>5</v>
      </c>
      <c r="I18" s="583">
        <v>4</v>
      </c>
      <c r="J18" s="582">
        <v>6</v>
      </c>
      <c r="K18" s="582">
        <v>7</v>
      </c>
      <c r="L18" s="582">
        <v>8</v>
      </c>
      <c r="M18" s="582">
        <v>9</v>
      </c>
      <c r="N18" s="582">
        <v>12</v>
      </c>
      <c r="O18" s="582">
        <v>13</v>
      </c>
      <c r="P18" s="582">
        <v>16</v>
      </c>
      <c r="Q18" s="582">
        <v>19</v>
      </c>
      <c r="R18" s="582">
        <v>30</v>
      </c>
      <c r="S18" s="582">
        <v>0</v>
      </c>
      <c r="T18" s="582">
        <v>0</v>
      </c>
      <c r="U18" s="582">
        <v>0</v>
      </c>
      <c r="V18" s="582">
        <v>0</v>
      </c>
      <c r="W18" s="582">
        <v>17</v>
      </c>
      <c r="X18" s="582">
        <v>9</v>
      </c>
      <c r="Y18" s="582">
        <v>43</v>
      </c>
      <c r="Z18" s="583">
        <v>31</v>
      </c>
      <c r="AA18" s="582">
        <v>20</v>
      </c>
      <c r="AB18" s="583">
        <v>31</v>
      </c>
      <c r="AC18" s="582">
        <v>16</v>
      </c>
    </row>
    <row r="19" spans="1:29" ht="10.5">
      <c r="A19" s="582" t="s">
        <v>210</v>
      </c>
      <c r="B19" s="583">
        <v>20</v>
      </c>
      <c r="C19" s="583">
        <v>20</v>
      </c>
      <c r="D19" s="583">
        <v>13</v>
      </c>
      <c r="E19" s="582" t="str">
        <f>"LI-YACY-"&amp;$G$14</f>
        <v>LI-YACY-12</v>
      </c>
      <c r="F19" s="582" t="s">
        <v>211</v>
      </c>
      <c r="G19" s="583">
        <v>3</v>
      </c>
      <c r="H19" s="583">
        <v>5</v>
      </c>
      <c r="I19" s="583">
        <v>4</v>
      </c>
      <c r="J19" s="583">
        <v>6</v>
      </c>
      <c r="K19" s="583">
        <v>7</v>
      </c>
      <c r="L19" s="583">
        <v>8</v>
      </c>
      <c r="M19" s="583">
        <v>9</v>
      </c>
      <c r="N19" s="583">
        <v>12</v>
      </c>
      <c r="O19" s="583">
        <v>13</v>
      </c>
      <c r="P19" s="583">
        <v>16</v>
      </c>
      <c r="Q19" s="583">
        <v>19</v>
      </c>
      <c r="R19" s="583">
        <v>30</v>
      </c>
      <c r="S19" s="583">
        <v>0</v>
      </c>
      <c r="T19" s="583">
        <v>0</v>
      </c>
      <c r="U19" s="583">
        <v>0</v>
      </c>
      <c r="V19" s="583">
        <v>0</v>
      </c>
      <c r="W19" s="583">
        <v>18</v>
      </c>
      <c r="X19" s="583">
        <v>9</v>
      </c>
      <c r="Y19" s="583">
        <v>41</v>
      </c>
      <c r="Z19" s="583">
        <v>31</v>
      </c>
      <c r="AA19" s="582">
        <v>20</v>
      </c>
      <c r="AB19" s="583">
        <v>31</v>
      </c>
      <c r="AC19" s="583">
        <v>16</v>
      </c>
    </row>
    <row r="20" spans="1:29" ht="10.5">
      <c r="A20" s="582" t="s">
        <v>212</v>
      </c>
      <c r="B20" s="582">
        <v>22</v>
      </c>
      <c r="C20" s="582">
        <v>20</v>
      </c>
      <c r="D20" s="582">
        <v>13</v>
      </c>
      <c r="E20" s="582" t="str">
        <f>"LI-LITSA-"&amp;$G$14</f>
        <v>LI-LITSA-12</v>
      </c>
      <c r="F20" s="582" t="s">
        <v>213</v>
      </c>
      <c r="G20" s="582">
        <v>3</v>
      </c>
      <c r="H20" s="583">
        <v>5</v>
      </c>
      <c r="I20" s="583">
        <v>4</v>
      </c>
      <c r="J20" s="582">
        <v>6</v>
      </c>
      <c r="K20" s="582">
        <v>7</v>
      </c>
      <c r="L20" s="582">
        <v>8</v>
      </c>
      <c r="M20" s="582">
        <v>9</v>
      </c>
      <c r="N20" s="582">
        <v>12</v>
      </c>
      <c r="O20" s="582">
        <v>13</v>
      </c>
      <c r="P20" s="582">
        <v>16</v>
      </c>
      <c r="Q20" s="582">
        <v>19</v>
      </c>
      <c r="R20" s="582">
        <v>30</v>
      </c>
      <c r="S20" s="582">
        <v>0</v>
      </c>
      <c r="T20" s="582">
        <v>0</v>
      </c>
      <c r="U20" s="582">
        <v>0</v>
      </c>
      <c r="V20" s="582">
        <v>0</v>
      </c>
      <c r="W20" s="583">
        <v>19</v>
      </c>
      <c r="X20" s="582">
        <v>9</v>
      </c>
      <c r="Y20" s="582">
        <v>43</v>
      </c>
      <c r="Z20" s="583">
        <v>32</v>
      </c>
      <c r="AA20" s="582">
        <v>20</v>
      </c>
      <c r="AB20" s="583">
        <v>32</v>
      </c>
      <c r="AC20" s="582">
        <v>16</v>
      </c>
    </row>
    <row r="21" spans="1:29" ht="10.5">
      <c r="A21" s="582" t="s">
        <v>214</v>
      </c>
      <c r="B21" s="582">
        <v>22</v>
      </c>
      <c r="C21" s="582">
        <v>20</v>
      </c>
      <c r="D21" s="582">
        <v>13</v>
      </c>
      <c r="E21" s="582" t="str">
        <f>"LI-LITS2-"&amp;$G$14</f>
        <v>LI-LITS2-12</v>
      </c>
      <c r="F21" s="582" t="s">
        <v>215</v>
      </c>
      <c r="G21" s="582">
        <v>3</v>
      </c>
      <c r="H21" s="583">
        <v>5</v>
      </c>
      <c r="I21" s="583">
        <v>4</v>
      </c>
      <c r="J21" s="582">
        <v>6</v>
      </c>
      <c r="K21" s="582">
        <v>7</v>
      </c>
      <c r="L21" s="582">
        <v>8</v>
      </c>
      <c r="M21" s="582">
        <v>9</v>
      </c>
      <c r="N21" s="582">
        <v>12</v>
      </c>
      <c r="O21" s="582">
        <v>13</v>
      </c>
      <c r="P21" s="582">
        <v>16</v>
      </c>
      <c r="Q21" s="582">
        <v>19</v>
      </c>
      <c r="R21" s="582">
        <v>30</v>
      </c>
      <c r="S21" s="582">
        <v>0</v>
      </c>
      <c r="T21" s="582">
        <v>0</v>
      </c>
      <c r="U21" s="582">
        <v>0</v>
      </c>
      <c r="V21" s="582">
        <v>0</v>
      </c>
      <c r="W21" s="583">
        <v>20</v>
      </c>
      <c r="X21" s="582">
        <v>9</v>
      </c>
      <c r="Y21" s="582">
        <v>43</v>
      </c>
      <c r="Z21" s="583">
        <v>32</v>
      </c>
      <c r="AA21" s="582">
        <v>20</v>
      </c>
      <c r="AB21" s="583">
        <v>32</v>
      </c>
      <c r="AC21" s="582">
        <v>16</v>
      </c>
    </row>
    <row r="22" spans="1:29" ht="10.5">
      <c r="A22" s="582" t="s">
        <v>216</v>
      </c>
      <c r="B22" s="582">
        <v>22</v>
      </c>
      <c r="C22" s="582">
        <v>20</v>
      </c>
      <c r="D22" s="582">
        <v>13</v>
      </c>
      <c r="E22" s="582" t="str">
        <f>"LI-LINSA-"&amp;$G$14</f>
        <v>LI-LINSA-12</v>
      </c>
      <c r="F22" s="582" t="s">
        <v>217</v>
      </c>
      <c r="G22" s="582">
        <v>3</v>
      </c>
      <c r="H22" s="583">
        <v>5</v>
      </c>
      <c r="I22" s="583">
        <v>4</v>
      </c>
      <c r="J22" s="582">
        <v>6</v>
      </c>
      <c r="K22" s="582">
        <v>7</v>
      </c>
      <c r="L22" s="582">
        <v>8</v>
      </c>
      <c r="M22" s="582">
        <v>9</v>
      </c>
      <c r="N22" s="582">
        <v>12</v>
      </c>
      <c r="O22" s="582">
        <v>13</v>
      </c>
      <c r="P22" s="582">
        <v>16</v>
      </c>
      <c r="Q22" s="582">
        <v>19</v>
      </c>
      <c r="R22" s="582">
        <v>30</v>
      </c>
      <c r="S22" s="582">
        <v>0</v>
      </c>
      <c r="T22" s="582">
        <v>0</v>
      </c>
      <c r="U22" s="582">
        <v>0</v>
      </c>
      <c r="V22" s="582">
        <v>0</v>
      </c>
      <c r="W22" s="583">
        <v>21</v>
      </c>
      <c r="X22" s="582">
        <v>9</v>
      </c>
      <c r="Y22" s="582">
        <v>43</v>
      </c>
      <c r="Z22" s="583">
        <v>32</v>
      </c>
      <c r="AA22" s="582">
        <v>20</v>
      </c>
      <c r="AB22" s="583">
        <v>32</v>
      </c>
      <c r="AC22" s="582">
        <v>16</v>
      </c>
    </row>
    <row r="23" spans="1:29" ht="10.5">
      <c r="A23" s="582" t="s">
        <v>218</v>
      </c>
      <c r="B23" s="582">
        <v>22</v>
      </c>
      <c r="C23" s="583">
        <v>20</v>
      </c>
      <c r="D23" s="582">
        <v>13</v>
      </c>
      <c r="E23" s="582" t="str">
        <f>"LI-IV-"&amp;$G$14</f>
        <v>LI-IV-12</v>
      </c>
      <c r="F23" s="582" t="s">
        <v>219</v>
      </c>
      <c r="G23" s="582">
        <v>3</v>
      </c>
      <c r="H23" s="583">
        <v>5</v>
      </c>
      <c r="I23" s="583">
        <v>4</v>
      </c>
      <c r="J23" s="582">
        <v>6</v>
      </c>
      <c r="K23" s="582">
        <v>7</v>
      </c>
      <c r="L23" s="582">
        <v>8</v>
      </c>
      <c r="M23" s="582">
        <v>9</v>
      </c>
      <c r="N23" s="582">
        <v>12</v>
      </c>
      <c r="O23" s="582">
        <v>13</v>
      </c>
      <c r="P23" s="582">
        <v>16</v>
      </c>
      <c r="Q23" s="582">
        <v>19</v>
      </c>
      <c r="R23" s="582">
        <v>30</v>
      </c>
      <c r="S23" s="582">
        <v>0</v>
      </c>
      <c r="T23" s="582">
        <v>0</v>
      </c>
      <c r="U23" s="582">
        <v>0</v>
      </c>
      <c r="V23" s="582">
        <v>0</v>
      </c>
      <c r="W23" s="583">
        <v>22</v>
      </c>
      <c r="X23" s="583">
        <v>9</v>
      </c>
      <c r="Y23" s="582">
        <v>43</v>
      </c>
      <c r="Z23" s="583">
        <v>31</v>
      </c>
      <c r="AA23" s="582">
        <v>20</v>
      </c>
      <c r="AB23" s="583">
        <v>31</v>
      </c>
      <c r="AC23" s="582">
        <v>16</v>
      </c>
    </row>
    <row r="24" spans="1:29" ht="10.5">
      <c r="A24" s="583" t="s">
        <v>220</v>
      </c>
      <c r="B24" s="583">
        <v>20</v>
      </c>
      <c r="C24" s="583">
        <v>20</v>
      </c>
      <c r="D24" s="583">
        <v>13</v>
      </c>
      <c r="E24" s="583" t="str">
        <f>"LI-INTESAR-"&amp;$G$14</f>
        <v>LI-INTESAR-12</v>
      </c>
      <c r="F24" s="583" t="s">
        <v>221</v>
      </c>
      <c r="G24" s="583">
        <v>3</v>
      </c>
      <c r="H24" s="583">
        <v>5</v>
      </c>
      <c r="I24" s="583">
        <v>4</v>
      </c>
      <c r="J24" s="583">
        <v>6</v>
      </c>
      <c r="K24" s="583">
        <v>7</v>
      </c>
      <c r="L24" s="583">
        <v>8</v>
      </c>
      <c r="M24" s="583">
        <v>9</v>
      </c>
      <c r="N24" s="583">
        <v>12</v>
      </c>
      <c r="O24" s="583">
        <v>13</v>
      </c>
      <c r="P24" s="583">
        <v>16</v>
      </c>
      <c r="Q24" s="583">
        <v>19</v>
      </c>
      <c r="R24" s="583">
        <v>30</v>
      </c>
      <c r="S24" s="583">
        <v>0</v>
      </c>
      <c r="T24" s="583">
        <v>0</v>
      </c>
      <c r="U24" s="583">
        <v>0</v>
      </c>
      <c r="V24" s="583">
        <v>0</v>
      </c>
      <c r="W24" s="583">
        <v>23</v>
      </c>
      <c r="X24" s="583">
        <v>9</v>
      </c>
      <c r="Y24" s="583">
        <v>41</v>
      </c>
      <c r="Z24" s="583">
        <v>31</v>
      </c>
      <c r="AA24" s="582">
        <v>20</v>
      </c>
      <c r="AB24" s="583">
        <v>31</v>
      </c>
      <c r="AC24" s="583">
        <v>16</v>
      </c>
    </row>
    <row r="25" spans="1:29" ht="10.5">
      <c r="A25" s="583" t="s">
        <v>222</v>
      </c>
      <c r="B25" s="583">
        <v>20</v>
      </c>
      <c r="C25" s="583">
        <v>20</v>
      </c>
      <c r="D25" s="583">
        <v>13</v>
      </c>
      <c r="E25" s="583" t="str">
        <f>"LI-INTESA2-"&amp;$G$14</f>
        <v>LI-INTESA2-12</v>
      </c>
      <c r="F25" s="583" t="s">
        <v>223</v>
      </c>
      <c r="G25" s="583">
        <v>3</v>
      </c>
      <c r="H25" s="583">
        <v>5</v>
      </c>
      <c r="I25" s="583">
        <v>4</v>
      </c>
      <c r="J25" s="583">
        <v>6</v>
      </c>
      <c r="K25" s="583">
        <v>7</v>
      </c>
      <c r="L25" s="583">
        <v>8</v>
      </c>
      <c r="M25" s="583">
        <v>9</v>
      </c>
      <c r="N25" s="583">
        <v>12</v>
      </c>
      <c r="O25" s="583">
        <v>13</v>
      </c>
      <c r="P25" s="583">
        <v>16</v>
      </c>
      <c r="Q25" s="583">
        <v>19</v>
      </c>
      <c r="R25" s="583">
        <v>30</v>
      </c>
      <c r="S25" s="583">
        <v>0</v>
      </c>
      <c r="T25" s="583">
        <v>0</v>
      </c>
      <c r="U25" s="583">
        <v>0</v>
      </c>
      <c r="V25" s="583">
        <v>0</v>
      </c>
      <c r="W25" s="583">
        <v>24</v>
      </c>
      <c r="X25" s="583">
        <v>9</v>
      </c>
      <c r="Y25" s="583">
        <v>41</v>
      </c>
      <c r="Z25" s="583">
        <v>31</v>
      </c>
      <c r="AA25" s="582">
        <v>20</v>
      </c>
      <c r="AB25" s="583">
        <v>31</v>
      </c>
      <c r="AC25" s="583">
        <v>16</v>
      </c>
    </row>
    <row r="26" spans="1:29" ht="10.5">
      <c r="A26" s="583" t="s">
        <v>224</v>
      </c>
      <c r="B26" s="583">
        <v>20</v>
      </c>
      <c r="C26" s="583">
        <v>20</v>
      </c>
      <c r="D26" s="583">
        <v>13</v>
      </c>
      <c r="E26" s="583" t="str">
        <f>"LI-INTESA3-"&amp;$G$14</f>
        <v>LI-INTESA3-12</v>
      </c>
      <c r="F26" s="583" t="s">
        <v>225</v>
      </c>
      <c r="G26" s="583">
        <v>3</v>
      </c>
      <c r="H26" s="583">
        <v>5</v>
      </c>
      <c r="I26" s="583">
        <v>4</v>
      </c>
      <c r="J26" s="583">
        <v>6</v>
      </c>
      <c r="K26" s="583">
        <v>7</v>
      </c>
      <c r="L26" s="583">
        <v>8</v>
      </c>
      <c r="M26" s="583">
        <v>9</v>
      </c>
      <c r="N26" s="583">
        <v>12</v>
      </c>
      <c r="O26" s="583">
        <v>13</v>
      </c>
      <c r="P26" s="583">
        <v>16</v>
      </c>
      <c r="Q26" s="583">
        <v>19</v>
      </c>
      <c r="R26" s="583">
        <v>30</v>
      </c>
      <c r="S26" s="583">
        <v>0</v>
      </c>
      <c r="T26" s="583">
        <v>0</v>
      </c>
      <c r="U26" s="583">
        <v>0</v>
      </c>
      <c r="V26" s="583">
        <v>0</v>
      </c>
      <c r="W26" s="583">
        <v>25</v>
      </c>
      <c r="X26" s="583">
        <v>9</v>
      </c>
      <c r="Y26" s="583">
        <v>41</v>
      </c>
      <c r="Z26" s="583">
        <v>31</v>
      </c>
      <c r="AA26" s="582">
        <v>20</v>
      </c>
      <c r="AB26" s="583">
        <v>31</v>
      </c>
      <c r="AC26" s="583">
        <v>16</v>
      </c>
    </row>
    <row r="27" spans="1:29" ht="10.5">
      <c r="A27" s="583" t="s">
        <v>226</v>
      </c>
      <c r="B27" s="583">
        <v>20</v>
      </c>
      <c r="C27" s="583">
        <v>20</v>
      </c>
      <c r="D27" s="583">
        <v>13</v>
      </c>
      <c r="E27" s="583" t="str">
        <f>"LI-INTESA4-"&amp;$G$14</f>
        <v>LI-INTESA4-12</v>
      </c>
      <c r="F27" s="583" t="s">
        <v>227</v>
      </c>
      <c r="G27" s="583">
        <v>3</v>
      </c>
      <c r="H27" s="583">
        <v>5</v>
      </c>
      <c r="I27" s="583">
        <v>4</v>
      </c>
      <c r="J27" s="583">
        <v>6</v>
      </c>
      <c r="K27" s="583">
        <v>7</v>
      </c>
      <c r="L27" s="583">
        <v>8</v>
      </c>
      <c r="M27" s="583">
        <v>9</v>
      </c>
      <c r="N27" s="583">
        <v>12</v>
      </c>
      <c r="O27" s="583">
        <v>13</v>
      </c>
      <c r="P27" s="583">
        <v>16</v>
      </c>
      <c r="Q27" s="583">
        <v>19</v>
      </c>
      <c r="R27" s="583">
        <v>30</v>
      </c>
      <c r="S27" s="583">
        <v>0</v>
      </c>
      <c r="T27" s="583">
        <v>0</v>
      </c>
      <c r="U27" s="583">
        <v>0</v>
      </c>
      <c r="V27" s="583">
        <v>0</v>
      </c>
      <c r="W27" s="583">
        <v>26</v>
      </c>
      <c r="X27" s="583">
        <v>9</v>
      </c>
      <c r="Y27" s="583">
        <v>41</v>
      </c>
      <c r="Z27" s="583">
        <v>31</v>
      </c>
      <c r="AA27" s="582">
        <v>20</v>
      </c>
      <c r="AB27" s="583">
        <v>31</v>
      </c>
      <c r="AC27" s="583">
        <v>16</v>
      </c>
    </row>
    <row r="28" spans="1:29" ht="10.5">
      <c r="A28" s="583" t="s">
        <v>228</v>
      </c>
      <c r="B28" s="583">
        <v>20</v>
      </c>
      <c r="C28" s="583">
        <v>20</v>
      </c>
      <c r="D28" s="583">
        <v>13</v>
      </c>
      <c r="E28" s="583" t="str">
        <f>"LI-CUYANA-"&amp;$G$14</f>
        <v>LI-CUYANA-12</v>
      </c>
      <c r="F28" s="583" t="s">
        <v>229</v>
      </c>
      <c r="G28" s="583">
        <v>3</v>
      </c>
      <c r="H28" s="583">
        <v>5</v>
      </c>
      <c r="I28" s="583">
        <v>4</v>
      </c>
      <c r="J28" s="583">
        <v>6</v>
      </c>
      <c r="K28" s="583">
        <v>7</v>
      </c>
      <c r="L28" s="583">
        <v>8</v>
      </c>
      <c r="M28" s="583">
        <v>9</v>
      </c>
      <c r="N28" s="583">
        <v>12</v>
      </c>
      <c r="O28" s="583">
        <v>13</v>
      </c>
      <c r="P28" s="583">
        <v>16</v>
      </c>
      <c r="Q28" s="583">
        <v>19</v>
      </c>
      <c r="R28" s="583">
        <v>30</v>
      </c>
      <c r="S28" s="583">
        <v>0</v>
      </c>
      <c r="T28" s="583">
        <v>0</v>
      </c>
      <c r="U28" s="583">
        <v>0</v>
      </c>
      <c r="V28" s="583">
        <v>0</v>
      </c>
      <c r="W28" s="583">
        <v>27</v>
      </c>
      <c r="X28" s="583">
        <v>9</v>
      </c>
      <c r="Y28" s="583">
        <v>41</v>
      </c>
      <c r="Z28" s="583">
        <v>31</v>
      </c>
      <c r="AA28" s="582">
        <v>20</v>
      </c>
      <c r="AB28" s="583">
        <v>31</v>
      </c>
      <c r="AC28" s="583">
        <v>16</v>
      </c>
    </row>
    <row r="29" spans="1:29" ht="10.5">
      <c r="A29" s="583" t="s">
        <v>230</v>
      </c>
      <c r="B29" s="583">
        <v>20</v>
      </c>
      <c r="C29" s="583">
        <v>20</v>
      </c>
      <c r="D29" s="583">
        <v>13</v>
      </c>
      <c r="E29" s="583" t="str">
        <f>"LI-LIMSA-"&amp;$G$14</f>
        <v>LI-LIMSA-12</v>
      </c>
      <c r="F29" s="583" t="s">
        <v>231</v>
      </c>
      <c r="G29" s="583">
        <v>3</v>
      </c>
      <c r="H29" s="583">
        <v>5</v>
      </c>
      <c r="I29" s="583">
        <v>4</v>
      </c>
      <c r="J29" s="583">
        <v>6</v>
      </c>
      <c r="K29" s="583">
        <v>7</v>
      </c>
      <c r="L29" s="583">
        <v>8</v>
      </c>
      <c r="M29" s="583">
        <v>9</v>
      </c>
      <c r="N29" s="583">
        <v>12</v>
      </c>
      <c r="O29" s="583">
        <v>13</v>
      </c>
      <c r="P29" s="583">
        <v>16</v>
      </c>
      <c r="Q29" s="583">
        <v>19</v>
      </c>
      <c r="R29" s="583">
        <v>30</v>
      </c>
      <c r="S29" s="583">
        <v>0</v>
      </c>
      <c r="T29" s="583">
        <v>0</v>
      </c>
      <c r="U29" s="583">
        <v>0</v>
      </c>
      <c r="V29" s="583">
        <v>0</v>
      </c>
      <c r="W29" s="583">
        <v>28</v>
      </c>
      <c r="X29" s="583">
        <v>9</v>
      </c>
      <c r="Y29" s="583">
        <v>41</v>
      </c>
      <c r="Z29" s="583">
        <v>31</v>
      </c>
      <c r="AA29" s="582">
        <v>20</v>
      </c>
      <c r="AB29" s="583">
        <v>31</v>
      </c>
      <c r="AC29" s="583">
        <v>16</v>
      </c>
    </row>
    <row r="30" spans="1:29" ht="10.5">
      <c r="A30" s="583" t="s">
        <v>232</v>
      </c>
      <c r="B30" s="583">
        <v>20</v>
      </c>
      <c r="C30" s="583">
        <v>20</v>
      </c>
      <c r="D30" s="583">
        <v>13</v>
      </c>
      <c r="E30" s="583" t="str">
        <f>"LI-RIOJA-"&amp;$G$14</f>
        <v>LI-RIOJA-12</v>
      </c>
      <c r="F30" s="583" t="s">
        <v>233</v>
      </c>
      <c r="G30" s="583">
        <v>3</v>
      </c>
      <c r="H30" s="583">
        <v>5</v>
      </c>
      <c r="I30" s="583">
        <v>4</v>
      </c>
      <c r="J30" s="583">
        <v>6</v>
      </c>
      <c r="K30" s="583">
        <v>7</v>
      </c>
      <c r="L30" s="583">
        <v>8</v>
      </c>
      <c r="M30" s="583">
        <v>9</v>
      </c>
      <c r="N30" s="583">
        <v>12</v>
      </c>
      <c r="O30" s="583">
        <v>13</v>
      </c>
      <c r="P30" s="583">
        <v>16</v>
      </c>
      <c r="Q30" s="583">
        <v>19</v>
      </c>
      <c r="R30" s="583">
        <v>30</v>
      </c>
      <c r="S30" s="583">
        <v>0</v>
      </c>
      <c r="T30" s="583">
        <v>0</v>
      </c>
      <c r="U30" s="583">
        <v>0</v>
      </c>
      <c r="V30" s="583">
        <v>0</v>
      </c>
      <c r="W30" s="583">
        <v>29</v>
      </c>
      <c r="X30" s="583">
        <v>9</v>
      </c>
      <c r="Y30" s="583">
        <v>41</v>
      </c>
      <c r="Z30" s="583">
        <v>31</v>
      </c>
      <c r="AA30" s="582">
        <v>20</v>
      </c>
      <c r="AB30" s="583">
        <v>31</v>
      </c>
      <c r="AC30" s="583">
        <v>16</v>
      </c>
    </row>
    <row r="31" spans="1:29" ht="10.5">
      <c r="A31" s="584" t="s">
        <v>234</v>
      </c>
      <c r="B31" s="584">
        <v>22</v>
      </c>
      <c r="C31" s="585">
        <v>20</v>
      </c>
      <c r="D31" s="584">
        <v>14</v>
      </c>
      <c r="E31" s="584" t="str">
        <f>"TR-"&amp;$G$14</f>
        <v>TR-12</v>
      </c>
      <c r="F31" s="584" t="s">
        <v>235</v>
      </c>
      <c r="G31" s="583">
        <v>3</v>
      </c>
      <c r="H31" s="583">
        <v>5</v>
      </c>
      <c r="I31" s="583">
        <v>4</v>
      </c>
      <c r="J31" s="583">
        <v>6</v>
      </c>
      <c r="K31" s="583">
        <v>7</v>
      </c>
      <c r="L31" s="585">
        <v>8</v>
      </c>
      <c r="M31" s="585">
        <v>9</v>
      </c>
      <c r="N31" s="585">
        <v>11</v>
      </c>
      <c r="O31" s="585">
        <v>12</v>
      </c>
      <c r="P31" s="585">
        <v>15</v>
      </c>
      <c r="Q31" s="585">
        <v>17</v>
      </c>
      <c r="R31" s="585">
        <v>18</v>
      </c>
      <c r="S31" s="585">
        <v>28</v>
      </c>
      <c r="T31" s="585">
        <v>0</v>
      </c>
      <c r="U31" s="585">
        <v>0</v>
      </c>
      <c r="V31" s="585">
        <v>0</v>
      </c>
      <c r="W31" s="585">
        <v>33</v>
      </c>
      <c r="X31" s="583">
        <v>9</v>
      </c>
      <c r="Y31" s="584">
        <v>43</v>
      </c>
      <c r="Z31" s="584">
        <v>29</v>
      </c>
      <c r="AA31" s="584">
        <v>20</v>
      </c>
      <c r="AB31" s="584">
        <v>29</v>
      </c>
      <c r="AC31" s="584">
        <v>15</v>
      </c>
    </row>
    <row r="32" spans="1:29" ht="10.5">
      <c r="A32" s="582" t="s">
        <v>236</v>
      </c>
      <c r="B32" s="582">
        <v>22</v>
      </c>
      <c r="C32" s="583">
        <v>20</v>
      </c>
      <c r="D32" s="584">
        <v>14</v>
      </c>
      <c r="E32" s="582" t="str">
        <f>"TR-LITSA-"&amp;$G$14</f>
        <v>TR-LITSA-12</v>
      </c>
      <c r="F32" s="582" t="s">
        <v>237</v>
      </c>
      <c r="G32" s="583">
        <v>3</v>
      </c>
      <c r="H32" s="583">
        <v>5</v>
      </c>
      <c r="I32" s="583">
        <v>4</v>
      </c>
      <c r="J32" s="583">
        <v>6</v>
      </c>
      <c r="K32" s="583">
        <v>7</v>
      </c>
      <c r="L32" s="585">
        <v>8</v>
      </c>
      <c r="M32" s="585">
        <v>9</v>
      </c>
      <c r="N32" s="585">
        <v>11</v>
      </c>
      <c r="O32" s="585">
        <v>12</v>
      </c>
      <c r="P32" s="585">
        <v>15</v>
      </c>
      <c r="Q32" s="585">
        <v>17</v>
      </c>
      <c r="R32" s="585">
        <v>18</v>
      </c>
      <c r="S32" s="585">
        <v>28</v>
      </c>
      <c r="T32" s="585">
        <v>0</v>
      </c>
      <c r="U32" s="585">
        <v>0</v>
      </c>
      <c r="V32" s="585">
        <v>0</v>
      </c>
      <c r="W32" s="585">
        <v>34</v>
      </c>
      <c r="X32" s="583">
        <v>9</v>
      </c>
      <c r="Y32" s="584">
        <v>43</v>
      </c>
      <c r="Z32" s="584">
        <v>29</v>
      </c>
      <c r="AA32" s="584">
        <v>20</v>
      </c>
      <c r="AB32" s="584">
        <v>29</v>
      </c>
      <c r="AC32" s="584">
        <v>15</v>
      </c>
    </row>
    <row r="33" spans="1:29" ht="10.5">
      <c r="A33" s="582" t="s">
        <v>238</v>
      </c>
      <c r="B33" s="582">
        <v>22</v>
      </c>
      <c r="C33" s="583">
        <v>20</v>
      </c>
      <c r="D33" s="584">
        <v>14</v>
      </c>
      <c r="E33" s="582" t="str">
        <f>"TR-LITS2-"&amp;$G$14</f>
        <v>TR-LITS2-12</v>
      </c>
      <c r="F33" s="582" t="s">
        <v>239</v>
      </c>
      <c r="G33" s="583">
        <v>3</v>
      </c>
      <c r="H33" s="583">
        <v>5</v>
      </c>
      <c r="I33" s="583">
        <v>4</v>
      </c>
      <c r="J33" s="583">
        <v>6</v>
      </c>
      <c r="K33" s="583">
        <v>7</v>
      </c>
      <c r="L33" s="585">
        <v>8</v>
      </c>
      <c r="M33" s="585">
        <v>9</v>
      </c>
      <c r="N33" s="585">
        <v>11</v>
      </c>
      <c r="O33" s="585">
        <v>12</v>
      </c>
      <c r="P33" s="585">
        <v>15</v>
      </c>
      <c r="Q33" s="585">
        <v>17</v>
      </c>
      <c r="R33" s="585">
        <v>18</v>
      </c>
      <c r="S33" s="585">
        <v>28</v>
      </c>
      <c r="T33" s="585">
        <v>0</v>
      </c>
      <c r="U33" s="585">
        <v>0</v>
      </c>
      <c r="V33" s="585">
        <v>0</v>
      </c>
      <c r="W33" s="585">
        <v>35</v>
      </c>
      <c r="X33" s="583">
        <v>9</v>
      </c>
      <c r="Y33" s="584">
        <v>43</v>
      </c>
      <c r="Z33" s="584">
        <v>29</v>
      </c>
      <c r="AA33" s="584">
        <v>20</v>
      </c>
      <c r="AB33" s="584">
        <v>29</v>
      </c>
      <c r="AC33" s="584">
        <v>15</v>
      </c>
    </row>
    <row r="34" spans="1:29" ht="10.5">
      <c r="A34" s="582" t="s">
        <v>240</v>
      </c>
      <c r="B34" s="582">
        <v>22</v>
      </c>
      <c r="C34" s="583">
        <v>20</v>
      </c>
      <c r="D34" s="584">
        <v>14</v>
      </c>
      <c r="E34" s="582" t="str">
        <f>"TR-LINSA-"&amp;$G$14</f>
        <v>TR-LINSA-12</v>
      </c>
      <c r="F34" s="582" t="s">
        <v>241</v>
      </c>
      <c r="G34" s="583">
        <v>3</v>
      </c>
      <c r="H34" s="583">
        <v>5</v>
      </c>
      <c r="I34" s="583">
        <v>4</v>
      </c>
      <c r="J34" s="583">
        <v>6</v>
      </c>
      <c r="K34" s="583">
        <v>7</v>
      </c>
      <c r="L34" s="585">
        <v>8</v>
      </c>
      <c r="M34" s="585">
        <v>9</v>
      </c>
      <c r="N34" s="585">
        <v>11</v>
      </c>
      <c r="O34" s="585">
        <v>12</v>
      </c>
      <c r="P34" s="585">
        <v>15</v>
      </c>
      <c r="Q34" s="585">
        <v>17</v>
      </c>
      <c r="R34" s="585">
        <v>18</v>
      </c>
      <c r="S34" s="585">
        <v>28</v>
      </c>
      <c r="T34" s="585">
        <v>0</v>
      </c>
      <c r="U34" s="585">
        <v>0</v>
      </c>
      <c r="V34" s="585">
        <v>0</v>
      </c>
      <c r="W34" s="585">
        <v>36</v>
      </c>
      <c r="X34" s="583">
        <v>9</v>
      </c>
      <c r="Y34" s="584">
        <v>43</v>
      </c>
      <c r="Z34" s="584">
        <v>29</v>
      </c>
      <c r="AA34" s="584">
        <v>20</v>
      </c>
      <c r="AB34" s="584">
        <v>29</v>
      </c>
      <c r="AC34" s="584">
        <v>15</v>
      </c>
    </row>
    <row r="35" spans="1:29" ht="10.5">
      <c r="A35" s="582" t="s">
        <v>242</v>
      </c>
      <c r="B35" s="582">
        <v>20</v>
      </c>
      <c r="C35" s="583">
        <v>20</v>
      </c>
      <c r="D35" s="584">
        <v>14</v>
      </c>
      <c r="E35" s="582" t="str">
        <f>"TR-TIBA-"&amp;$G$14</f>
        <v>TR-TIBA-12</v>
      </c>
      <c r="F35" s="582" t="s">
        <v>243</v>
      </c>
      <c r="G35" s="583">
        <v>3</v>
      </c>
      <c r="H35" s="583">
        <v>5</v>
      </c>
      <c r="I35" s="583">
        <v>4</v>
      </c>
      <c r="J35" s="583">
        <v>6</v>
      </c>
      <c r="K35" s="583">
        <v>7</v>
      </c>
      <c r="L35" s="585">
        <v>8</v>
      </c>
      <c r="M35" s="585">
        <v>9</v>
      </c>
      <c r="N35" s="585">
        <v>11</v>
      </c>
      <c r="O35" s="585">
        <v>12</v>
      </c>
      <c r="P35" s="585">
        <v>15</v>
      </c>
      <c r="Q35" s="585">
        <v>17</v>
      </c>
      <c r="R35" s="585">
        <v>18</v>
      </c>
      <c r="S35" s="585">
        <v>28</v>
      </c>
      <c r="T35" s="585">
        <v>0</v>
      </c>
      <c r="U35" s="585">
        <v>0</v>
      </c>
      <c r="V35" s="585">
        <v>0</v>
      </c>
      <c r="W35" s="585">
        <v>37</v>
      </c>
      <c r="X35" s="583">
        <v>9</v>
      </c>
      <c r="Y35" s="584">
        <v>41</v>
      </c>
      <c r="Z35" s="584">
        <v>29</v>
      </c>
      <c r="AA35" s="584">
        <v>18</v>
      </c>
      <c r="AB35" s="584">
        <v>29</v>
      </c>
      <c r="AC35" s="584">
        <v>15</v>
      </c>
    </row>
    <row r="36" spans="1:29" ht="10.5">
      <c r="A36" s="582" t="s">
        <v>244</v>
      </c>
      <c r="B36" s="582">
        <v>20</v>
      </c>
      <c r="C36" s="583">
        <v>20</v>
      </c>
      <c r="D36" s="584">
        <v>14</v>
      </c>
      <c r="E36" s="582" t="str">
        <f>"TR-ENECOR-"&amp;$G$14</f>
        <v>TR-ENECOR-12</v>
      </c>
      <c r="F36" s="582" t="s">
        <v>245</v>
      </c>
      <c r="G36" s="583">
        <v>3</v>
      </c>
      <c r="H36" s="583">
        <v>5</v>
      </c>
      <c r="I36" s="583">
        <v>4</v>
      </c>
      <c r="J36" s="583">
        <v>6</v>
      </c>
      <c r="K36" s="583">
        <v>7</v>
      </c>
      <c r="L36" s="585">
        <v>8</v>
      </c>
      <c r="M36" s="585">
        <v>9</v>
      </c>
      <c r="N36" s="585">
        <v>11</v>
      </c>
      <c r="O36" s="585">
        <v>12</v>
      </c>
      <c r="P36" s="585">
        <v>15</v>
      </c>
      <c r="Q36" s="585">
        <v>17</v>
      </c>
      <c r="R36" s="585">
        <v>18</v>
      </c>
      <c r="S36" s="585">
        <v>28</v>
      </c>
      <c r="T36" s="585">
        <v>0</v>
      </c>
      <c r="U36" s="585">
        <v>0</v>
      </c>
      <c r="V36" s="585">
        <v>0</v>
      </c>
      <c r="W36" s="585">
        <v>38</v>
      </c>
      <c r="X36" s="583">
        <v>9</v>
      </c>
      <c r="Y36" s="584">
        <v>41</v>
      </c>
      <c r="Z36" s="584">
        <v>29</v>
      </c>
      <c r="AA36" s="584">
        <v>20</v>
      </c>
      <c r="AB36" s="584">
        <v>29</v>
      </c>
      <c r="AC36" s="584">
        <v>15</v>
      </c>
    </row>
    <row r="37" spans="1:29" ht="10.5">
      <c r="A37" s="583" t="s">
        <v>246</v>
      </c>
      <c r="B37" s="583">
        <v>20</v>
      </c>
      <c r="C37" s="583">
        <v>20</v>
      </c>
      <c r="D37" s="585">
        <v>14</v>
      </c>
      <c r="E37" s="583" t="str">
        <f>"TR-INTESAR-"&amp;$G$14</f>
        <v>TR-INTESAR-12</v>
      </c>
      <c r="F37" s="583" t="s">
        <v>247</v>
      </c>
      <c r="G37" s="583">
        <v>3</v>
      </c>
      <c r="H37" s="583">
        <v>5</v>
      </c>
      <c r="I37" s="583">
        <v>4</v>
      </c>
      <c r="J37" s="583">
        <v>6</v>
      </c>
      <c r="K37" s="583">
        <v>7</v>
      </c>
      <c r="L37" s="585">
        <v>8</v>
      </c>
      <c r="M37" s="585">
        <v>9</v>
      </c>
      <c r="N37" s="585">
        <v>11</v>
      </c>
      <c r="O37" s="585">
        <v>12</v>
      </c>
      <c r="P37" s="585">
        <v>15</v>
      </c>
      <c r="Q37" s="585">
        <v>17</v>
      </c>
      <c r="R37" s="585">
        <v>18</v>
      </c>
      <c r="S37" s="585">
        <v>28</v>
      </c>
      <c r="T37" s="585">
        <v>0</v>
      </c>
      <c r="U37" s="585">
        <v>0</v>
      </c>
      <c r="V37" s="585">
        <v>0</v>
      </c>
      <c r="W37" s="585">
        <v>39</v>
      </c>
      <c r="X37" s="583">
        <v>9</v>
      </c>
      <c r="Y37" s="584">
        <v>41</v>
      </c>
      <c r="Z37" s="585">
        <v>29</v>
      </c>
      <c r="AA37" s="585">
        <v>20</v>
      </c>
      <c r="AB37" s="585">
        <v>29</v>
      </c>
      <c r="AC37" s="585">
        <v>15</v>
      </c>
    </row>
    <row r="38" spans="1:29" ht="10.5">
      <c r="A38" s="583" t="s">
        <v>248</v>
      </c>
      <c r="B38" s="583">
        <v>20</v>
      </c>
      <c r="C38" s="583">
        <v>20</v>
      </c>
      <c r="D38" s="585">
        <v>14</v>
      </c>
      <c r="E38" s="583" t="str">
        <f>"TR-INTESA3-"&amp;$G$14</f>
        <v>TR-INTESA3-12</v>
      </c>
      <c r="F38" s="583" t="s">
        <v>249</v>
      </c>
      <c r="G38" s="583">
        <v>3</v>
      </c>
      <c r="H38" s="583">
        <v>5</v>
      </c>
      <c r="I38" s="583">
        <v>4</v>
      </c>
      <c r="J38" s="583">
        <v>6</v>
      </c>
      <c r="K38" s="583">
        <v>7</v>
      </c>
      <c r="L38" s="585">
        <v>8</v>
      </c>
      <c r="M38" s="585">
        <v>9</v>
      </c>
      <c r="N38" s="585">
        <v>11</v>
      </c>
      <c r="O38" s="585">
        <v>12</v>
      </c>
      <c r="P38" s="585">
        <v>15</v>
      </c>
      <c r="Q38" s="585">
        <v>17</v>
      </c>
      <c r="R38" s="585">
        <v>18</v>
      </c>
      <c r="S38" s="585">
        <v>28</v>
      </c>
      <c r="T38" s="585">
        <v>0</v>
      </c>
      <c r="U38" s="585">
        <v>0</v>
      </c>
      <c r="V38" s="585">
        <v>0</v>
      </c>
      <c r="W38" s="585">
        <v>40</v>
      </c>
      <c r="X38" s="583">
        <v>9</v>
      </c>
      <c r="Y38" s="584">
        <v>41</v>
      </c>
      <c r="Z38" s="585">
        <v>29</v>
      </c>
      <c r="AA38" s="585">
        <v>20</v>
      </c>
      <c r="AB38" s="585">
        <v>29</v>
      </c>
      <c r="AC38" s="585">
        <v>15</v>
      </c>
    </row>
    <row r="39" spans="1:29" ht="10.5">
      <c r="A39" s="583" t="s">
        <v>250</v>
      </c>
      <c r="B39" s="583">
        <v>20</v>
      </c>
      <c r="C39" s="583">
        <v>20</v>
      </c>
      <c r="D39" s="585">
        <v>14</v>
      </c>
      <c r="E39" s="583" t="str">
        <f>"TR-INTESA4-"&amp;$G$14</f>
        <v>TR-INTESA4-12</v>
      </c>
      <c r="F39" s="583" t="s">
        <v>251</v>
      </c>
      <c r="G39" s="583">
        <v>3</v>
      </c>
      <c r="H39" s="583">
        <v>5</v>
      </c>
      <c r="I39" s="583">
        <v>4</v>
      </c>
      <c r="J39" s="583">
        <v>6</v>
      </c>
      <c r="K39" s="583">
        <v>7</v>
      </c>
      <c r="L39" s="585">
        <v>8</v>
      </c>
      <c r="M39" s="585">
        <v>9</v>
      </c>
      <c r="N39" s="585">
        <v>11</v>
      </c>
      <c r="O39" s="585">
        <v>12</v>
      </c>
      <c r="P39" s="585">
        <v>15</v>
      </c>
      <c r="Q39" s="585">
        <v>17</v>
      </c>
      <c r="R39" s="585">
        <v>18</v>
      </c>
      <c r="S39" s="585">
        <v>28</v>
      </c>
      <c r="T39" s="585">
        <v>0</v>
      </c>
      <c r="U39" s="585">
        <v>0</v>
      </c>
      <c r="V39" s="585">
        <v>0</v>
      </c>
      <c r="W39" s="585">
        <v>41</v>
      </c>
      <c r="X39" s="583">
        <v>9</v>
      </c>
      <c r="Y39" s="584">
        <v>41</v>
      </c>
      <c r="Z39" s="585">
        <v>29</v>
      </c>
      <c r="AA39" s="585">
        <v>20</v>
      </c>
      <c r="AB39" s="585">
        <v>29</v>
      </c>
      <c r="AC39" s="585">
        <v>15</v>
      </c>
    </row>
    <row r="40" spans="1:29" ht="10.5">
      <c r="A40" s="583" t="s">
        <v>252</v>
      </c>
      <c r="B40" s="583">
        <v>20</v>
      </c>
      <c r="C40" s="583">
        <v>20</v>
      </c>
      <c r="D40" s="585">
        <v>14</v>
      </c>
      <c r="E40" s="583" t="str">
        <f>"TR-LIMSA-"&amp;$G$14</f>
        <v>TR-LIMSA-12</v>
      </c>
      <c r="F40" s="583" t="s">
        <v>253</v>
      </c>
      <c r="G40" s="583">
        <v>3</v>
      </c>
      <c r="H40" s="583">
        <v>5</v>
      </c>
      <c r="I40" s="583">
        <v>4</v>
      </c>
      <c r="J40" s="583">
        <v>6</v>
      </c>
      <c r="K40" s="583">
        <v>7</v>
      </c>
      <c r="L40" s="585">
        <v>8</v>
      </c>
      <c r="M40" s="585">
        <v>9</v>
      </c>
      <c r="N40" s="585">
        <v>11</v>
      </c>
      <c r="O40" s="585">
        <v>12</v>
      </c>
      <c r="P40" s="585">
        <v>15</v>
      </c>
      <c r="Q40" s="585">
        <v>17</v>
      </c>
      <c r="R40" s="585">
        <v>18</v>
      </c>
      <c r="S40" s="585">
        <v>28</v>
      </c>
      <c r="T40" s="585">
        <v>0</v>
      </c>
      <c r="U40" s="585">
        <v>0</v>
      </c>
      <c r="V40" s="585">
        <v>0</v>
      </c>
      <c r="W40" s="585">
        <v>42</v>
      </c>
      <c r="X40" s="583">
        <v>9</v>
      </c>
      <c r="Y40" s="584">
        <v>41</v>
      </c>
      <c r="Z40" s="585">
        <v>29</v>
      </c>
      <c r="AA40" s="585">
        <v>20</v>
      </c>
      <c r="AB40" s="585">
        <v>29</v>
      </c>
      <c r="AC40" s="585">
        <v>15</v>
      </c>
    </row>
    <row r="41" spans="1:29" ht="10.5">
      <c r="A41" s="583" t="s">
        <v>254</v>
      </c>
      <c r="B41" s="583">
        <v>20</v>
      </c>
      <c r="C41" s="583">
        <v>20</v>
      </c>
      <c r="D41" s="585">
        <v>14</v>
      </c>
      <c r="E41" s="583" t="str">
        <f>"TR-CUYANA-"&amp;$G$14</f>
        <v>TR-CUYANA-12</v>
      </c>
      <c r="F41" s="583" t="s">
        <v>255</v>
      </c>
      <c r="G41" s="583">
        <v>3</v>
      </c>
      <c r="H41" s="583">
        <v>5</v>
      </c>
      <c r="I41" s="583">
        <v>4</v>
      </c>
      <c r="J41" s="583">
        <v>6</v>
      </c>
      <c r="K41" s="583">
        <v>7</v>
      </c>
      <c r="L41" s="585">
        <v>8</v>
      </c>
      <c r="M41" s="585">
        <v>9</v>
      </c>
      <c r="N41" s="585">
        <v>11</v>
      </c>
      <c r="O41" s="585">
        <v>12</v>
      </c>
      <c r="P41" s="585">
        <v>15</v>
      </c>
      <c r="Q41" s="585">
        <v>17</v>
      </c>
      <c r="R41" s="585">
        <v>18</v>
      </c>
      <c r="S41" s="585">
        <v>28</v>
      </c>
      <c r="T41" s="585">
        <v>0</v>
      </c>
      <c r="U41" s="585">
        <v>0</v>
      </c>
      <c r="V41" s="585">
        <v>0</v>
      </c>
      <c r="W41" s="585">
        <v>43</v>
      </c>
      <c r="X41" s="583">
        <v>9</v>
      </c>
      <c r="Y41" s="584">
        <v>41</v>
      </c>
      <c r="Z41" s="585">
        <v>29</v>
      </c>
      <c r="AA41" s="585">
        <v>20</v>
      </c>
      <c r="AB41" s="585">
        <v>29</v>
      </c>
      <c r="AC41" s="585">
        <v>15</v>
      </c>
    </row>
    <row r="42" spans="1:29" ht="10.5">
      <c r="A42" s="583" t="s">
        <v>256</v>
      </c>
      <c r="B42" s="583">
        <v>20</v>
      </c>
      <c r="C42" s="583">
        <v>20</v>
      </c>
      <c r="D42" s="585">
        <v>14</v>
      </c>
      <c r="E42" s="583" t="str">
        <f>"TR-COBRA-"&amp;$G$14</f>
        <v>TR-COBRA-12</v>
      </c>
      <c r="F42" s="583" t="s">
        <v>257</v>
      </c>
      <c r="G42" s="583">
        <v>3</v>
      </c>
      <c r="H42" s="583">
        <v>5</v>
      </c>
      <c r="I42" s="583">
        <v>4</v>
      </c>
      <c r="J42" s="583">
        <v>6</v>
      </c>
      <c r="K42" s="583">
        <v>7</v>
      </c>
      <c r="L42" s="585">
        <v>8</v>
      </c>
      <c r="M42" s="585">
        <v>9</v>
      </c>
      <c r="N42" s="585">
        <v>11</v>
      </c>
      <c r="O42" s="585">
        <v>12</v>
      </c>
      <c r="P42" s="585">
        <v>15</v>
      </c>
      <c r="Q42" s="585">
        <v>17</v>
      </c>
      <c r="R42" s="585">
        <v>18</v>
      </c>
      <c r="S42" s="585">
        <v>28</v>
      </c>
      <c r="T42" s="585">
        <v>0</v>
      </c>
      <c r="U42" s="585">
        <v>0</v>
      </c>
      <c r="V42" s="585">
        <v>0</v>
      </c>
      <c r="W42" s="585">
        <v>44</v>
      </c>
      <c r="X42" s="583">
        <v>9</v>
      </c>
      <c r="Y42" s="584">
        <v>41</v>
      </c>
      <c r="Z42" s="585">
        <v>29</v>
      </c>
      <c r="AA42" s="585">
        <v>20</v>
      </c>
      <c r="AB42" s="585">
        <v>29</v>
      </c>
      <c r="AC42" s="585">
        <v>15</v>
      </c>
    </row>
    <row r="43" spans="1:29" ht="10.5">
      <c r="A43" s="582" t="s">
        <v>258</v>
      </c>
      <c r="B43" s="582">
        <v>24</v>
      </c>
      <c r="C43" s="583">
        <v>20</v>
      </c>
      <c r="D43" s="583">
        <v>11</v>
      </c>
      <c r="E43" s="582" t="str">
        <f>"SA-"&amp;$G$14</f>
        <v>SA-12</v>
      </c>
      <c r="F43" s="582" t="s">
        <v>259</v>
      </c>
      <c r="G43" s="582">
        <v>3</v>
      </c>
      <c r="H43" s="583">
        <v>5</v>
      </c>
      <c r="I43" s="583">
        <v>4</v>
      </c>
      <c r="J43" s="582">
        <v>6</v>
      </c>
      <c r="K43" s="582">
        <v>7</v>
      </c>
      <c r="L43" s="582">
        <v>8</v>
      </c>
      <c r="M43" s="582">
        <v>10</v>
      </c>
      <c r="N43" s="582">
        <v>11</v>
      </c>
      <c r="O43" s="582">
        <v>14</v>
      </c>
      <c r="P43" s="582">
        <v>15</v>
      </c>
      <c r="Q43" s="582">
        <v>21</v>
      </c>
      <c r="R43" s="582">
        <v>0</v>
      </c>
      <c r="S43" s="582">
        <v>0</v>
      </c>
      <c r="T43" s="582">
        <v>0</v>
      </c>
      <c r="U43" s="582">
        <v>0</v>
      </c>
      <c r="V43" s="582">
        <v>0</v>
      </c>
      <c r="W43" s="583">
        <v>46</v>
      </c>
      <c r="X43" s="583">
        <v>9</v>
      </c>
      <c r="Y43" s="582">
        <v>45</v>
      </c>
      <c r="Z43" s="582">
        <v>22</v>
      </c>
      <c r="AA43" s="582">
        <v>22</v>
      </c>
      <c r="AB43" s="582">
        <v>22</v>
      </c>
      <c r="AC43" s="583">
        <v>14</v>
      </c>
    </row>
    <row r="44" spans="1:29" ht="10.5">
      <c r="A44" s="582" t="s">
        <v>260</v>
      </c>
      <c r="B44" s="582">
        <v>22</v>
      </c>
      <c r="C44" s="583">
        <v>20</v>
      </c>
      <c r="D44" s="583">
        <v>11</v>
      </c>
      <c r="E44" s="582" t="str">
        <f>"SA-TIBA-"&amp;$G$14</f>
        <v>SA-TIBA-12</v>
      </c>
      <c r="F44" s="582" t="s">
        <v>261</v>
      </c>
      <c r="G44" s="582">
        <v>3</v>
      </c>
      <c r="H44" s="583">
        <v>5</v>
      </c>
      <c r="I44" s="583">
        <v>4</v>
      </c>
      <c r="J44" s="582">
        <v>6</v>
      </c>
      <c r="K44" s="582">
        <v>7</v>
      </c>
      <c r="L44" s="582">
        <v>8</v>
      </c>
      <c r="M44" s="582">
        <v>10</v>
      </c>
      <c r="N44" s="582">
        <v>11</v>
      </c>
      <c r="O44" s="582">
        <v>14</v>
      </c>
      <c r="P44" s="582">
        <v>15</v>
      </c>
      <c r="Q44" s="582">
        <v>21</v>
      </c>
      <c r="R44" s="582">
        <v>0</v>
      </c>
      <c r="S44" s="582">
        <v>0</v>
      </c>
      <c r="T44" s="582">
        <v>0</v>
      </c>
      <c r="U44" s="582">
        <v>0</v>
      </c>
      <c r="V44" s="582">
        <v>0</v>
      </c>
      <c r="W44" s="583">
        <v>47</v>
      </c>
      <c r="X44" s="583">
        <v>9</v>
      </c>
      <c r="Y44" s="582">
        <v>43</v>
      </c>
      <c r="Z44" s="582">
        <v>22</v>
      </c>
      <c r="AA44" s="582">
        <v>20</v>
      </c>
      <c r="AB44" s="582">
        <v>22</v>
      </c>
      <c r="AC44" s="583">
        <v>14</v>
      </c>
    </row>
    <row r="45" spans="1:29" ht="10.5">
      <c r="A45" s="582" t="s">
        <v>262</v>
      </c>
      <c r="B45" s="582">
        <v>22</v>
      </c>
      <c r="C45" s="583">
        <v>20</v>
      </c>
      <c r="D45" s="583">
        <v>11</v>
      </c>
      <c r="E45" s="582" t="str">
        <f>"SA-ENECOR-"&amp;$G$14</f>
        <v>SA-ENECOR-12</v>
      </c>
      <c r="F45" s="582" t="s">
        <v>263</v>
      </c>
      <c r="G45" s="582">
        <v>3</v>
      </c>
      <c r="H45" s="583">
        <v>5</v>
      </c>
      <c r="I45" s="583">
        <v>4</v>
      </c>
      <c r="J45" s="582">
        <v>6</v>
      </c>
      <c r="K45" s="582">
        <v>7</v>
      </c>
      <c r="L45" s="582">
        <v>8</v>
      </c>
      <c r="M45" s="582">
        <v>10</v>
      </c>
      <c r="N45" s="582">
        <v>11</v>
      </c>
      <c r="O45" s="582">
        <v>14</v>
      </c>
      <c r="P45" s="582">
        <v>15</v>
      </c>
      <c r="Q45" s="582">
        <v>21</v>
      </c>
      <c r="R45" s="582">
        <v>0</v>
      </c>
      <c r="S45" s="582">
        <v>0</v>
      </c>
      <c r="T45" s="582">
        <v>0</v>
      </c>
      <c r="U45" s="582">
        <v>0</v>
      </c>
      <c r="V45" s="582">
        <v>0</v>
      </c>
      <c r="W45" s="583">
        <v>48</v>
      </c>
      <c r="X45" s="583">
        <v>9</v>
      </c>
      <c r="Y45" s="582">
        <v>43</v>
      </c>
      <c r="Z45" s="582">
        <v>22</v>
      </c>
      <c r="AA45" s="582">
        <v>20</v>
      </c>
      <c r="AB45" s="582">
        <v>22</v>
      </c>
      <c r="AC45" s="583">
        <v>14</v>
      </c>
    </row>
    <row r="46" spans="1:29" ht="10.5">
      <c r="A46" s="582" t="s">
        <v>264</v>
      </c>
      <c r="B46" s="582">
        <v>24</v>
      </c>
      <c r="C46" s="583">
        <v>20</v>
      </c>
      <c r="D46" s="583">
        <v>11</v>
      </c>
      <c r="E46" s="582" t="str">
        <f>"SA-INTESA3-"&amp;$G$14</f>
        <v>SA-INTESA3-12</v>
      </c>
      <c r="F46" s="582" t="s">
        <v>265</v>
      </c>
      <c r="G46" s="582">
        <v>3</v>
      </c>
      <c r="H46" s="583">
        <v>5</v>
      </c>
      <c r="I46" s="583">
        <v>4</v>
      </c>
      <c r="J46" s="582">
        <v>6</v>
      </c>
      <c r="K46" s="582">
        <v>7</v>
      </c>
      <c r="L46" s="582">
        <v>8</v>
      </c>
      <c r="M46" s="582">
        <v>10</v>
      </c>
      <c r="N46" s="582">
        <v>11</v>
      </c>
      <c r="O46" s="582">
        <v>14</v>
      </c>
      <c r="P46" s="582">
        <v>15</v>
      </c>
      <c r="Q46" s="582">
        <v>21</v>
      </c>
      <c r="R46" s="582">
        <v>0</v>
      </c>
      <c r="S46" s="582">
        <v>0</v>
      </c>
      <c r="T46" s="582">
        <v>0</v>
      </c>
      <c r="U46" s="582">
        <v>0</v>
      </c>
      <c r="V46" s="582">
        <v>0</v>
      </c>
      <c r="W46" s="583">
        <v>49</v>
      </c>
      <c r="X46" s="583">
        <v>9</v>
      </c>
      <c r="Y46" s="582">
        <v>45</v>
      </c>
      <c r="Z46" s="582">
        <v>22</v>
      </c>
      <c r="AA46" s="582">
        <v>22</v>
      </c>
      <c r="AB46" s="582">
        <v>22</v>
      </c>
      <c r="AC46" s="583">
        <v>14</v>
      </c>
    </row>
    <row r="47" spans="1:29" ht="10.5">
      <c r="A47" s="582" t="s">
        <v>266</v>
      </c>
      <c r="B47" s="582">
        <v>24</v>
      </c>
      <c r="C47" s="583">
        <v>20</v>
      </c>
      <c r="D47" s="583">
        <v>11</v>
      </c>
      <c r="E47" s="582" t="str">
        <f>"SA-INTESA4-"&amp;$G$14</f>
        <v>SA-INTESA4-12</v>
      </c>
      <c r="F47" s="582" t="s">
        <v>267</v>
      </c>
      <c r="G47" s="582">
        <v>3</v>
      </c>
      <c r="H47" s="583">
        <v>5</v>
      </c>
      <c r="I47" s="583">
        <v>4</v>
      </c>
      <c r="J47" s="582">
        <v>6</v>
      </c>
      <c r="K47" s="582">
        <v>7</v>
      </c>
      <c r="L47" s="582">
        <v>8</v>
      </c>
      <c r="M47" s="582">
        <v>10</v>
      </c>
      <c r="N47" s="582">
        <v>11</v>
      </c>
      <c r="O47" s="582">
        <v>14</v>
      </c>
      <c r="P47" s="582">
        <v>15</v>
      </c>
      <c r="Q47" s="582">
        <v>21</v>
      </c>
      <c r="R47" s="582">
        <v>0</v>
      </c>
      <c r="S47" s="582">
        <v>0</v>
      </c>
      <c r="T47" s="582">
        <v>0</v>
      </c>
      <c r="U47" s="582">
        <v>0</v>
      </c>
      <c r="V47" s="582">
        <v>0</v>
      </c>
      <c r="W47" s="583">
        <v>50</v>
      </c>
      <c r="X47" s="583">
        <v>9</v>
      </c>
      <c r="Y47" s="582">
        <v>45</v>
      </c>
      <c r="Z47" s="582">
        <v>22</v>
      </c>
      <c r="AA47" s="582">
        <v>22</v>
      </c>
      <c r="AB47" s="582">
        <v>22</v>
      </c>
      <c r="AC47" s="583">
        <v>14</v>
      </c>
    </row>
    <row r="48" spans="1:29" ht="10.5">
      <c r="A48" s="583" t="s">
        <v>268</v>
      </c>
      <c r="B48" s="582">
        <v>24</v>
      </c>
      <c r="C48" s="582">
        <v>20</v>
      </c>
      <c r="D48" s="583">
        <v>11</v>
      </c>
      <c r="E48" s="583" t="str">
        <f>"SA-TESA-"&amp;$G$14</f>
        <v>SA-TESA-12</v>
      </c>
      <c r="F48" s="583" t="s">
        <v>269</v>
      </c>
      <c r="G48" s="583">
        <v>3</v>
      </c>
      <c r="H48" s="583">
        <v>5</v>
      </c>
      <c r="I48" s="583">
        <v>4</v>
      </c>
      <c r="J48" s="583">
        <v>6</v>
      </c>
      <c r="K48" s="583">
        <v>7</v>
      </c>
      <c r="L48" s="583">
        <v>8</v>
      </c>
      <c r="M48" s="583">
        <v>10</v>
      </c>
      <c r="N48" s="583">
        <v>11</v>
      </c>
      <c r="O48" s="583">
        <v>14</v>
      </c>
      <c r="P48" s="583">
        <v>15</v>
      </c>
      <c r="Q48" s="582">
        <v>21</v>
      </c>
      <c r="R48" s="583">
        <v>0</v>
      </c>
      <c r="S48" s="583">
        <v>0</v>
      </c>
      <c r="T48" s="583">
        <v>0</v>
      </c>
      <c r="U48" s="583">
        <v>0</v>
      </c>
      <c r="V48" s="583">
        <v>0</v>
      </c>
      <c r="W48" s="583">
        <v>51</v>
      </c>
      <c r="X48" s="583">
        <v>9</v>
      </c>
      <c r="Y48" s="582">
        <v>45</v>
      </c>
      <c r="Z48" s="583">
        <v>22</v>
      </c>
      <c r="AA48" s="583">
        <v>22</v>
      </c>
      <c r="AB48" s="583">
        <v>22</v>
      </c>
      <c r="AC48" s="583">
        <v>14</v>
      </c>
    </row>
    <row r="49" spans="1:29" ht="10.5">
      <c r="A49" s="583" t="s">
        <v>270</v>
      </c>
      <c r="B49" s="582">
        <v>24</v>
      </c>
      <c r="C49" s="582">
        <v>20</v>
      </c>
      <c r="D49" s="583">
        <v>11</v>
      </c>
      <c r="E49" s="583" t="str">
        <f>"SA-CTM-"&amp;$G$14</f>
        <v>SA-CTM-12</v>
      </c>
      <c r="F49" s="583" t="s">
        <v>271</v>
      </c>
      <c r="G49" s="583">
        <v>3</v>
      </c>
      <c r="H49" s="583">
        <v>5</v>
      </c>
      <c r="I49" s="583">
        <v>4</v>
      </c>
      <c r="J49" s="583">
        <v>6</v>
      </c>
      <c r="K49" s="583">
        <v>7</v>
      </c>
      <c r="L49" s="583">
        <v>8</v>
      </c>
      <c r="M49" s="583">
        <v>10</v>
      </c>
      <c r="N49" s="583">
        <v>11</v>
      </c>
      <c r="O49" s="583">
        <v>14</v>
      </c>
      <c r="P49" s="583">
        <v>15</v>
      </c>
      <c r="Q49" s="582">
        <v>21</v>
      </c>
      <c r="R49" s="583">
        <v>0</v>
      </c>
      <c r="S49" s="583">
        <v>0</v>
      </c>
      <c r="T49" s="583">
        <v>0</v>
      </c>
      <c r="U49" s="583">
        <v>0</v>
      </c>
      <c r="V49" s="583">
        <v>0</v>
      </c>
      <c r="W49" s="583">
        <v>52</v>
      </c>
      <c r="X49" s="583">
        <v>9</v>
      </c>
      <c r="Y49" s="582">
        <v>45</v>
      </c>
      <c r="Z49" s="583">
        <v>22</v>
      </c>
      <c r="AA49" s="583">
        <v>22</v>
      </c>
      <c r="AB49" s="583">
        <v>22</v>
      </c>
      <c r="AC49" s="583">
        <v>14</v>
      </c>
    </row>
    <row r="50" spans="1:29" ht="10.5">
      <c r="A50" s="582" t="s">
        <v>272</v>
      </c>
      <c r="B50" s="582">
        <v>24</v>
      </c>
      <c r="C50" s="583">
        <v>20</v>
      </c>
      <c r="D50" s="583">
        <v>11</v>
      </c>
      <c r="E50" s="582" t="str">
        <f>"SA-LIMSA-"&amp;$G$14</f>
        <v>SA-LIMSA-12</v>
      </c>
      <c r="F50" s="582" t="s">
        <v>273</v>
      </c>
      <c r="G50" s="582">
        <v>3</v>
      </c>
      <c r="H50" s="583">
        <v>5</v>
      </c>
      <c r="I50" s="583">
        <v>4</v>
      </c>
      <c r="J50" s="582">
        <v>6</v>
      </c>
      <c r="K50" s="582">
        <v>7</v>
      </c>
      <c r="L50" s="582">
        <v>8</v>
      </c>
      <c r="M50" s="582">
        <v>10</v>
      </c>
      <c r="N50" s="582">
        <v>11</v>
      </c>
      <c r="O50" s="582">
        <v>14</v>
      </c>
      <c r="P50" s="582">
        <v>15</v>
      </c>
      <c r="Q50" s="582">
        <v>21</v>
      </c>
      <c r="R50" s="582">
        <v>0</v>
      </c>
      <c r="S50" s="582">
        <v>0</v>
      </c>
      <c r="T50" s="582">
        <v>0</v>
      </c>
      <c r="U50" s="582">
        <v>0</v>
      </c>
      <c r="V50" s="582">
        <v>0</v>
      </c>
      <c r="W50" s="583">
        <v>53</v>
      </c>
      <c r="X50" s="583">
        <v>9</v>
      </c>
      <c r="Y50" s="582">
        <v>45</v>
      </c>
      <c r="Z50" s="582">
        <v>22</v>
      </c>
      <c r="AA50" s="582">
        <v>22</v>
      </c>
      <c r="AB50" s="582">
        <v>22</v>
      </c>
      <c r="AC50" s="583">
        <v>14</v>
      </c>
    </row>
    <row r="51" spans="1:29" ht="10.5">
      <c r="A51" s="582" t="s">
        <v>274</v>
      </c>
      <c r="B51" s="582">
        <v>24</v>
      </c>
      <c r="C51" s="583">
        <v>20</v>
      </c>
      <c r="D51" s="583">
        <v>11</v>
      </c>
      <c r="E51" s="582" t="str">
        <f>"SA-LITSA-"&amp;$G$14</f>
        <v>SA-LITSA-12</v>
      </c>
      <c r="F51" s="582" t="s">
        <v>275</v>
      </c>
      <c r="G51" s="582">
        <v>3</v>
      </c>
      <c r="H51" s="583">
        <v>5</v>
      </c>
      <c r="I51" s="583">
        <v>4</v>
      </c>
      <c r="J51" s="582">
        <v>6</v>
      </c>
      <c r="K51" s="582">
        <v>7</v>
      </c>
      <c r="L51" s="582">
        <v>8</v>
      </c>
      <c r="M51" s="582">
        <v>10</v>
      </c>
      <c r="N51" s="582">
        <v>11</v>
      </c>
      <c r="O51" s="582">
        <v>14</v>
      </c>
      <c r="P51" s="582">
        <v>15</v>
      </c>
      <c r="Q51" s="582">
        <v>21</v>
      </c>
      <c r="R51" s="582">
        <v>0</v>
      </c>
      <c r="S51" s="582">
        <v>0</v>
      </c>
      <c r="T51" s="582">
        <v>0</v>
      </c>
      <c r="U51" s="582">
        <v>0</v>
      </c>
      <c r="V51" s="582">
        <v>0</v>
      </c>
      <c r="W51" s="583">
        <v>54</v>
      </c>
      <c r="X51" s="583">
        <v>9</v>
      </c>
      <c r="Y51" s="582">
        <v>45</v>
      </c>
      <c r="Z51" s="582">
        <v>22</v>
      </c>
      <c r="AA51" s="582">
        <v>22</v>
      </c>
      <c r="AB51" s="582">
        <v>22</v>
      </c>
      <c r="AC51" s="583">
        <v>14</v>
      </c>
    </row>
    <row r="52" spans="1:29" ht="10.5">
      <c r="A52" s="582" t="s">
        <v>276</v>
      </c>
      <c r="B52" s="582">
        <v>24</v>
      </c>
      <c r="C52" s="583">
        <v>20</v>
      </c>
      <c r="D52" s="583">
        <v>11</v>
      </c>
      <c r="E52" s="582" t="str">
        <f>"SA-LITS2-"&amp;$G$14</f>
        <v>SA-LITS2-12</v>
      </c>
      <c r="F52" s="582" t="s">
        <v>277</v>
      </c>
      <c r="G52" s="582">
        <v>3</v>
      </c>
      <c r="H52" s="583">
        <v>5</v>
      </c>
      <c r="I52" s="583">
        <v>4</v>
      </c>
      <c r="J52" s="582">
        <v>6</v>
      </c>
      <c r="K52" s="582">
        <v>7</v>
      </c>
      <c r="L52" s="582">
        <v>8</v>
      </c>
      <c r="M52" s="582">
        <v>10</v>
      </c>
      <c r="N52" s="582">
        <v>11</v>
      </c>
      <c r="O52" s="582">
        <v>14</v>
      </c>
      <c r="P52" s="582">
        <v>15</v>
      </c>
      <c r="Q52" s="582">
        <v>21</v>
      </c>
      <c r="R52" s="582">
        <v>0</v>
      </c>
      <c r="S52" s="582">
        <v>0</v>
      </c>
      <c r="T52" s="582">
        <v>0</v>
      </c>
      <c r="U52" s="582">
        <v>0</v>
      </c>
      <c r="V52" s="582">
        <v>0</v>
      </c>
      <c r="W52" s="583">
        <v>55</v>
      </c>
      <c r="X52" s="583">
        <v>9</v>
      </c>
      <c r="Y52" s="582">
        <v>45</v>
      </c>
      <c r="Z52" s="582">
        <v>22</v>
      </c>
      <c r="AA52" s="582">
        <v>22</v>
      </c>
      <c r="AB52" s="582">
        <v>22</v>
      </c>
      <c r="AC52" s="583">
        <v>14</v>
      </c>
    </row>
    <row r="53" spans="1:29" ht="10.5">
      <c r="A53" s="582" t="s">
        <v>278</v>
      </c>
      <c r="B53" s="582">
        <v>24</v>
      </c>
      <c r="C53" s="583">
        <v>20</v>
      </c>
      <c r="D53" s="583">
        <v>11</v>
      </c>
      <c r="E53" s="582" t="str">
        <f>"SA-LINSA-"&amp;$G$14</f>
        <v>SA-LINSA-12</v>
      </c>
      <c r="F53" s="582" t="s">
        <v>279</v>
      </c>
      <c r="G53" s="582">
        <v>3</v>
      </c>
      <c r="H53" s="583">
        <v>5</v>
      </c>
      <c r="I53" s="583">
        <v>4</v>
      </c>
      <c r="J53" s="582">
        <v>6</v>
      </c>
      <c r="K53" s="582">
        <v>7</v>
      </c>
      <c r="L53" s="582">
        <v>8</v>
      </c>
      <c r="M53" s="582">
        <v>10</v>
      </c>
      <c r="N53" s="582">
        <v>11</v>
      </c>
      <c r="O53" s="582">
        <v>14</v>
      </c>
      <c r="P53" s="582">
        <v>15</v>
      </c>
      <c r="Q53" s="582">
        <v>21</v>
      </c>
      <c r="R53" s="582">
        <v>0</v>
      </c>
      <c r="S53" s="582">
        <v>0</v>
      </c>
      <c r="T53" s="582">
        <v>0</v>
      </c>
      <c r="U53" s="582">
        <v>0</v>
      </c>
      <c r="V53" s="582">
        <v>0</v>
      </c>
      <c r="W53" s="583">
        <v>56</v>
      </c>
      <c r="X53" s="583">
        <v>9</v>
      </c>
      <c r="Y53" s="582">
        <v>45</v>
      </c>
      <c r="Z53" s="582">
        <v>22</v>
      </c>
      <c r="AA53" s="582">
        <v>22</v>
      </c>
      <c r="AB53" s="582">
        <v>22</v>
      </c>
      <c r="AC53" s="583">
        <v>14</v>
      </c>
    </row>
    <row r="54" spans="1:29" ht="10.5">
      <c r="A54" s="582" t="s">
        <v>280</v>
      </c>
      <c r="B54" s="582">
        <v>22</v>
      </c>
      <c r="C54" s="582">
        <v>20</v>
      </c>
      <c r="D54" s="582">
        <v>12</v>
      </c>
      <c r="E54" s="582" t="str">
        <f>"RE-"&amp;$G$14</f>
        <v>RE-12</v>
      </c>
      <c r="F54" s="582" t="s">
        <v>281</v>
      </c>
      <c r="G54" s="582">
        <v>3</v>
      </c>
      <c r="H54" s="583">
        <v>5</v>
      </c>
      <c r="I54" s="583">
        <v>4</v>
      </c>
      <c r="J54" s="582">
        <v>6</v>
      </c>
      <c r="K54" s="582">
        <v>7</v>
      </c>
      <c r="L54" s="582">
        <v>8</v>
      </c>
      <c r="M54" s="582">
        <v>10</v>
      </c>
      <c r="N54" s="582">
        <v>11</v>
      </c>
      <c r="O54" s="582">
        <v>14</v>
      </c>
      <c r="P54" s="582">
        <v>16</v>
      </c>
      <c r="Q54" s="582">
        <v>25</v>
      </c>
      <c r="R54" s="582">
        <v>15</v>
      </c>
      <c r="S54" s="582">
        <v>0</v>
      </c>
      <c r="T54" s="582">
        <v>0</v>
      </c>
      <c r="U54" s="582">
        <v>0</v>
      </c>
      <c r="V54" s="582">
        <v>0</v>
      </c>
      <c r="W54" s="583">
        <v>59</v>
      </c>
      <c r="X54" s="583">
        <v>9</v>
      </c>
      <c r="Y54" s="582">
        <v>43</v>
      </c>
      <c r="Z54" s="582">
        <v>26</v>
      </c>
      <c r="AA54" s="582">
        <v>20</v>
      </c>
      <c r="AB54" s="582">
        <v>23</v>
      </c>
      <c r="AC54" s="582">
        <v>14</v>
      </c>
    </row>
    <row r="55" spans="1:29" ht="10.5">
      <c r="A55" s="582" t="s">
        <v>282</v>
      </c>
      <c r="B55" s="582">
        <v>22</v>
      </c>
      <c r="C55" s="582">
        <v>20</v>
      </c>
      <c r="D55" s="582">
        <v>12</v>
      </c>
      <c r="E55" s="582" t="str">
        <f>"RE-YACY-"&amp;$G$14</f>
        <v>RE-YACY-12</v>
      </c>
      <c r="F55" s="582" t="s">
        <v>283</v>
      </c>
      <c r="G55" s="582">
        <v>3</v>
      </c>
      <c r="H55" s="583">
        <v>5</v>
      </c>
      <c r="I55" s="583">
        <v>4</v>
      </c>
      <c r="J55" s="582">
        <v>6</v>
      </c>
      <c r="K55" s="582">
        <v>7</v>
      </c>
      <c r="L55" s="582">
        <v>8</v>
      </c>
      <c r="M55" s="582">
        <v>10</v>
      </c>
      <c r="N55" s="582">
        <v>11</v>
      </c>
      <c r="O55" s="582">
        <v>14</v>
      </c>
      <c r="P55" s="582">
        <v>16</v>
      </c>
      <c r="Q55" s="582">
        <v>25</v>
      </c>
      <c r="R55" s="582">
        <v>15</v>
      </c>
      <c r="S55" s="582">
        <v>0</v>
      </c>
      <c r="T55" s="582">
        <v>0</v>
      </c>
      <c r="U55" s="582">
        <v>0</v>
      </c>
      <c r="V55" s="582">
        <v>0</v>
      </c>
      <c r="W55" s="583">
        <v>61</v>
      </c>
      <c r="X55" s="583">
        <v>9</v>
      </c>
      <c r="Y55" s="582">
        <v>43</v>
      </c>
      <c r="Z55" s="582">
        <v>26</v>
      </c>
      <c r="AA55" s="582">
        <v>20</v>
      </c>
      <c r="AB55" s="582">
        <v>23</v>
      </c>
      <c r="AC55" s="582">
        <v>14</v>
      </c>
    </row>
    <row r="56" spans="1:29" ht="10.5">
      <c r="A56" s="582" t="s">
        <v>284</v>
      </c>
      <c r="B56" s="582">
        <v>24</v>
      </c>
      <c r="C56" s="582">
        <v>20</v>
      </c>
      <c r="D56" s="582">
        <v>12</v>
      </c>
      <c r="E56" s="582" t="s">
        <v>284</v>
      </c>
      <c r="F56" s="582" t="s">
        <v>285</v>
      </c>
      <c r="G56" s="582">
        <v>3</v>
      </c>
      <c r="H56" s="583">
        <v>5</v>
      </c>
      <c r="I56" s="583">
        <v>4</v>
      </c>
      <c r="J56" s="582">
        <v>6</v>
      </c>
      <c r="K56" s="582">
        <v>7</v>
      </c>
      <c r="L56" s="582">
        <v>8</v>
      </c>
      <c r="M56" s="582">
        <v>10</v>
      </c>
      <c r="N56" s="582">
        <v>11</v>
      </c>
      <c r="O56" s="582">
        <v>14</v>
      </c>
      <c r="P56" s="582">
        <v>16</v>
      </c>
      <c r="Q56" s="582">
        <v>22</v>
      </c>
      <c r="R56" s="582">
        <v>15</v>
      </c>
      <c r="S56" s="582">
        <v>0</v>
      </c>
      <c r="T56" s="582">
        <v>0</v>
      </c>
      <c r="U56" s="582">
        <v>0</v>
      </c>
      <c r="V56" s="582">
        <v>0</v>
      </c>
      <c r="W56" s="583">
        <v>62</v>
      </c>
      <c r="X56" s="583">
        <v>9</v>
      </c>
      <c r="Y56" s="582">
        <v>45</v>
      </c>
      <c r="Z56" s="582">
        <v>24</v>
      </c>
      <c r="AA56" s="582">
        <v>22</v>
      </c>
      <c r="AB56" s="582">
        <v>24</v>
      </c>
      <c r="AC56" s="582">
        <v>15</v>
      </c>
    </row>
    <row r="57" spans="1:29" ht="10.5">
      <c r="A57" s="582" t="s">
        <v>286</v>
      </c>
      <c r="B57" s="582">
        <v>24</v>
      </c>
      <c r="C57" s="582">
        <v>20</v>
      </c>
      <c r="D57" s="582">
        <v>12</v>
      </c>
      <c r="E57" s="582" t="s">
        <v>286</v>
      </c>
      <c r="F57" s="582" t="s">
        <v>287</v>
      </c>
      <c r="G57" s="582">
        <v>3</v>
      </c>
      <c r="H57" s="583">
        <v>5</v>
      </c>
      <c r="I57" s="583">
        <v>4</v>
      </c>
      <c r="J57" s="582">
        <v>6</v>
      </c>
      <c r="K57" s="582">
        <v>7</v>
      </c>
      <c r="L57" s="582">
        <v>8</v>
      </c>
      <c r="M57" s="582">
        <v>10</v>
      </c>
      <c r="N57" s="582">
        <v>11</v>
      </c>
      <c r="O57" s="582">
        <v>14</v>
      </c>
      <c r="P57" s="582">
        <v>16</v>
      </c>
      <c r="Q57" s="582">
        <v>22</v>
      </c>
      <c r="R57" s="582">
        <v>15</v>
      </c>
      <c r="S57" s="582">
        <v>0</v>
      </c>
      <c r="T57" s="582">
        <v>0</v>
      </c>
      <c r="U57" s="582">
        <v>0</v>
      </c>
      <c r="V57" s="582">
        <v>0</v>
      </c>
      <c r="W57" s="583">
        <v>63</v>
      </c>
      <c r="X57" s="583">
        <v>9</v>
      </c>
      <c r="Y57" s="582">
        <v>45</v>
      </c>
      <c r="Z57" s="582">
        <v>24</v>
      </c>
      <c r="AA57" s="582">
        <v>22</v>
      </c>
      <c r="AB57" s="582">
        <v>24</v>
      </c>
      <c r="AC57" s="582">
        <v>15</v>
      </c>
    </row>
    <row r="58" spans="1:29" ht="10.5">
      <c r="A58" s="582" t="s">
        <v>288</v>
      </c>
      <c r="B58" s="582">
        <v>24</v>
      </c>
      <c r="C58" s="582">
        <v>20</v>
      </c>
      <c r="D58" s="582">
        <v>12</v>
      </c>
      <c r="E58" s="582" t="s">
        <v>288</v>
      </c>
      <c r="F58" s="582" t="s">
        <v>289</v>
      </c>
      <c r="G58" s="582">
        <v>3</v>
      </c>
      <c r="H58" s="583">
        <v>5</v>
      </c>
      <c r="I58" s="583">
        <v>4</v>
      </c>
      <c r="J58" s="582">
        <v>6</v>
      </c>
      <c r="K58" s="582">
        <v>7</v>
      </c>
      <c r="L58" s="582">
        <v>8</v>
      </c>
      <c r="M58" s="582">
        <v>10</v>
      </c>
      <c r="N58" s="582">
        <v>11</v>
      </c>
      <c r="O58" s="582">
        <v>14</v>
      </c>
      <c r="P58" s="582">
        <v>16</v>
      </c>
      <c r="Q58" s="582">
        <v>22</v>
      </c>
      <c r="R58" s="582">
        <v>15</v>
      </c>
      <c r="S58" s="582">
        <v>0</v>
      </c>
      <c r="T58" s="582">
        <v>0</v>
      </c>
      <c r="U58" s="582">
        <v>0</v>
      </c>
      <c r="V58" s="582">
        <v>0</v>
      </c>
      <c r="W58" s="583">
        <v>64</v>
      </c>
      <c r="X58" s="583">
        <v>9</v>
      </c>
      <c r="Y58" s="582">
        <v>45</v>
      </c>
      <c r="Z58" s="582">
        <v>24</v>
      </c>
      <c r="AA58" s="582">
        <v>22</v>
      </c>
      <c r="AB58" s="582">
        <v>24</v>
      </c>
      <c r="AC58" s="582">
        <v>15</v>
      </c>
    </row>
    <row r="59" spans="1:29" ht="10.5">
      <c r="A59" s="582" t="s">
        <v>290</v>
      </c>
      <c r="B59" s="582">
        <v>24</v>
      </c>
      <c r="C59" s="582">
        <v>20</v>
      </c>
      <c r="D59" s="582">
        <v>12</v>
      </c>
      <c r="E59" s="582" t="str">
        <f>"RE-LITSA-"&amp;$G$14</f>
        <v>RE-LITSA-12</v>
      </c>
      <c r="F59" s="582" t="s">
        <v>291</v>
      </c>
      <c r="G59" s="582">
        <v>3</v>
      </c>
      <c r="H59" s="583">
        <v>5</v>
      </c>
      <c r="I59" s="583">
        <v>4</v>
      </c>
      <c r="J59" s="582">
        <v>6</v>
      </c>
      <c r="K59" s="582">
        <v>7</v>
      </c>
      <c r="L59" s="582">
        <v>8</v>
      </c>
      <c r="M59" s="582">
        <v>10</v>
      </c>
      <c r="N59" s="582">
        <v>11</v>
      </c>
      <c r="O59" s="582">
        <v>14</v>
      </c>
      <c r="P59" s="582">
        <v>16</v>
      </c>
      <c r="Q59" s="582">
        <v>22</v>
      </c>
      <c r="R59" s="582">
        <v>15</v>
      </c>
      <c r="S59" s="582">
        <v>0</v>
      </c>
      <c r="T59" s="582">
        <v>0</v>
      </c>
      <c r="U59" s="582">
        <v>0</v>
      </c>
      <c r="V59" s="582">
        <v>0</v>
      </c>
      <c r="W59" s="583">
        <v>65</v>
      </c>
      <c r="X59" s="583">
        <v>9</v>
      </c>
      <c r="Y59" s="582">
        <v>45</v>
      </c>
      <c r="Z59" s="582">
        <v>24</v>
      </c>
      <c r="AA59" s="582">
        <v>22</v>
      </c>
      <c r="AB59" s="582">
        <v>24</v>
      </c>
      <c r="AC59" s="582">
        <v>15</v>
      </c>
    </row>
    <row r="60" spans="1:29" ht="10.5">
      <c r="A60" s="582" t="s">
        <v>292</v>
      </c>
      <c r="B60" s="582">
        <v>24</v>
      </c>
      <c r="C60" s="582">
        <v>20</v>
      </c>
      <c r="D60" s="582">
        <v>12</v>
      </c>
      <c r="E60" s="582" t="str">
        <f>"RE-LITS2-"&amp;$G$14</f>
        <v>RE-LITS2-12</v>
      </c>
      <c r="F60" s="582" t="s">
        <v>293</v>
      </c>
      <c r="G60" s="582">
        <v>3</v>
      </c>
      <c r="H60" s="583">
        <v>5</v>
      </c>
      <c r="I60" s="583">
        <v>4</v>
      </c>
      <c r="J60" s="582">
        <v>6</v>
      </c>
      <c r="K60" s="582">
        <v>7</v>
      </c>
      <c r="L60" s="582">
        <v>8</v>
      </c>
      <c r="M60" s="582">
        <v>10</v>
      </c>
      <c r="N60" s="582">
        <v>11</v>
      </c>
      <c r="O60" s="582">
        <v>14</v>
      </c>
      <c r="P60" s="582">
        <v>16</v>
      </c>
      <c r="Q60" s="582">
        <v>22</v>
      </c>
      <c r="R60" s="582">
        <v>15</v>
      </c>
      <c r="S60" s="582">
        <v>0</v>
      </c>
      <c r="T60" s="582">
        <v>0</v>
      </c>
      <c r="U60" s="582">
        <v>0</v>
      </c>
      <c r="V60" s="582">
        <v>0</v>
      </c>
      <c r="W60" s="583">
        <v>66</v>
      </c>
      <c r="X60" s="583">
        <v>9</v>
      </c>
      <c r="Y60" s="582">
        <v>45</v>
      </c>
      <c r="Z60" s="582">
        <v>24</v>
      </c>
      <c r="AA60" s="582">
        <v>22</v>
      </c>
      <c r="AB60" s="582">
        <v>24</v>
      </c>
      <c r="AC60" s="582">
        <v>15</v>
      </c>
    </row>
    <row r="61" spans="1:29" ht="10.5">
      <c r="A61" s="582" t="s">
        <v>294</v>
      </c>
      <c r="B61" s="582">
        <v>24</v>
      </c>
      <c r="C61" s="582">
        <v>20</v>
      </c>
      <c r="D61" s="582">
        <v>12</v>
      </c>
      <c r="E61" s="582" t="str">
        <f>"RE-LINSA-"&amp;$G$14</f>
        <v>RE-LINSA-12</v>
      </c>
      <c r="F61" s="582" t="s">
        <v>295</v>
      </c>
      <c r="G61" s="582">
        <v>3</v>
      </c>
      <c r="H61" s="583">
        <v>5</v>
      </c>
      <c r="I61" s="583">
        <v>4</v>
      </c>
      <c r="J61" s="582">
        <v>6</v>
      </c>
      <c r="K61" s="582">
        <v>7</v>
      </c>
      <c r="L61" s="582">
        <v>8</v>
      </c>
      <c r="M61" s="582">
        <v>10</v>
      </c>
      <c r="N61" s="582">
        <v>11</v>
      </c>
      <c r="O61" s="582">
        <v>14</v>
      </c>
      <c r="P61" s="582">
        <v>16</v>
      </c>
      <c r="Q61" s="582">
        <v>22</v>
      </c>
      <c r="R61" s="582">
        <v>15</v>
      </c>
      <c r="S61" s="582">
        <v>0</v>
      </c>
      <c r="T61" s="582">
        <v>0</v>
      </c>
      <c r="U61" s="582">
        <v>0</v>
      </c>
      <c r="V61" s="582">
        <v>0</v>
      </c>
      <c r="W61" s="583">
        <v>67</v>
      </c>
      <c r="X61" s="583">
        <v>9</v>
      </c>
      <c r="Y61" s="582">
        <v>45</v>
      </c>
      <c r="Z61" s="582">
        <v>24</v>
      </c>
      <c r="AA61" s="582">
        <v>22</v>
      </c>
      <c r="AB61" s="582">
        <v>24</v>
      </c>
      <c r="AC61" s="582">
        <v>15</v>
      </c>
    </row>
    <row r="62" spans="1:29" ht="10.5">
      <c r="A62" s="582" t="s">
        <v>296</v>
      </c>
      <c r="B62" s="582">
        <v>22</v>
      </c>
      <c r="C62" s="582">
        <v>20</v>
      </c>
      <c r="D62" s="582">
        <v>12</v>
      </c>
      <c r="E62" s="582" t="str">
        <f>"RE-IV-"&amp;$G$14</f>
        <v>RE-IV-12</v>
      </c>
      <c r="F62" s="582" t="s">
        <v>297</v>
      </c>
      <c r="G62" s="582">
        <v>3</v>
      </c>
      <c r="H62" s="583">
        <v>5</v>
      </c>
      <c r="I62" s="583">
        <v>4</v>
      </c>
      <c r="J62" s="582">
        <v>6</v>
      </c>
      <c r="K62" s="582">
        <v>7</v>
      </c>
      <c r="L62" s="582">
        <v>8</v>
      </c>
      <c r="M62" s="582">
        <v>10</v>
      </c>
      <c r="N62" s="582">
        <v>11</v>
      </c>
      <c r="O62" s="582">
        <v>14</v>
      </c>
      <c r="P62" s="582">
        <v>16</v>
      </c>
      <c r="Q62" s="582">
        <v>22</v>
      </c>
      <c r="R62" s="582">
        <v>15</v>
      </c>
      <c r="S62" s="582">
        <v>0</v>
      </c>
      <c r="T62" s="582">
        <v>0</v>
      </c>
      <c r="U62" s="582">
        <v>0</v>
      </c>
      <c r="V62" s="582">
        <v>0</v>
      </c>
      <c r="W62" s="583">
        <v>68</v>
      </c>
      <c r="X62" s="582">
        <v>9</v>
      </c>
      <c r="Y62" s="582">
        <v>43</v>
      </c>
      <c r="Z62" s="582">
        <v>24</v>
      </c>
      <c r="AA62" s="582">
        <v>20</v>
      </c>
      <c r="AB62" s="582">
        <v>23</v>
      </c>
      <c r="AC62" s="582">
        <v>14</v>
      </c>
    </row>
    <row r="63" spans="1:29" ht="10.5">
      <c r="A63" s="582" t="s">
        <v>298</v>
      </c>
      <c r="B63" s="582">
        <v>22</v>
      </c>
      <c r="C63" s="582">
        <v>20</v>
      </c>
      <c r="D63" s="582">
        <v>12</v>
      </c>
      <c r="E63" s="582" t="str">
        <f>"RE-LIMSA-"&amp;$G$14</f>
        <v>RE-LIMSA-12</v>
      </c>
      <c r="F63" s="582" t="s">
        <v>299</v>
      </c>
      <c r="G63" s="582">
        <v>3</v>
      </c>
      <c r="H63" s="583">
        <v>5</v>
      </c>
      <c r="I63" s="583">
        <v>4</v>
      </c>
      <c r="J63" s="582">
        <v>6</v>
      </c>
      <c r="K63" s="582">
        <v>7</v>
      </c>
      <c r="L63" s="582">
        <v>8</v>
      </c>
      <c r="M63" s="582">
        <v>10</v>
      </c>
      <c r="N63" s="582">
        <v>11</v>
      </c>
      <c r="O63" s="582">
        <v>14</v>
      </c>
      <c r="P63" s="582">
        <v>16</v>
      </c>
      <c r="Q63" s="582">
        <v>25</v>
      </c>
      <c r="R63" s="582">
        <v>15</v>
      </c>
      <c r="S63" s="582">
        <v>0</v>
      </c>
      <c r="T63" s="582">
        <v>0</v>
      </c>
      <c r="U63" s="582">
        <v>0</v>
      </c>
      <c r="V63" s="582">
        <v>0</v>
      </c>
      <c r="W63" s="583">
        <v>69</v>
      </c>
      <c r="X63" s="583">
        <v>9</v>
      </c>
      <c r="Y63" s="582">
        <v>43</v>
      </c>
      <c r="Z63" s="582">
        <v>26</v>
      </c>
      <c r="AA63" s="582">
        <v>20</v>
      </c>
      <c r="AB63" s="582">
        <v>23</v>
      </c>
      <c r="AC63" s="582">
        <v>14</v>
      </c>
    </row>
    <row r="64" spans="1:29" ht="10.5">
      <c r="A64" s="586" t="s">
        <v>300</v>
      </c>
      <c r="B64" s="587">
        <v>32</v>
      </c>
      <c r="C64" s="587">
        <v>25</v>
      </c>
      <c r="D64" s="587">
        <v>11</v>
      </c>
      <c r="E64" s="586" t="s">
        <v>300</v>
      </c>
      <c r="F64" s="587" t="s">
        <v>211</v>
      </c>
      <c r="G64" s="587">
        <v>0</v>
      </c>
      <c r="H64" s="587">
        <v>0</v>
      </c>
      <c r="I64" s="587">
        <v>0</v>
      </c>
      <c r="J64" s="587">
        <v>4</v>
      </c>
      <c r="K64" s="587">
        <v>5</v>
      </c>
      <c r="L64" s="587">
        <v>6</v>
      </c>
      <c r="M64" s="587">
        <v>7</v>
      </c>
      <c r="N64" s="587">
        <v>10</v>
      </c>
      <c r="O64" s="587">
        <v>11</v>
      </c>
      <c r="P64" s="587">
        <v>14</v>
      </c>
      <c r="Q64" s="587">
        <v>17</v>
      </c>
      <c r="R64" s="587">
        <v>28</v>
      </c>
      <c r="S64" s="587">
        <v>0</v>
      </c>
      <c r="T64" s="587">
        <v>0</v>
      </c>
      <c r="U64" s="587">
        <v>0</v>
      </c>
      <c r="V64" s="587">
        <v>0</v>
      </c>
      <c r="W64" s="587">
        <v>0</v>
      </c>
      <c r="X64" s="587">
        <v>0</v>
      </c>
      <c r="Y64" s="587">
        <v>0</v>
      </c>
      <c r="Z64" s="587">
        <v>0</v>
      </c>
      <c r="AA64" s="587">
        <v>0</v>
      </c>
      <c r="AB64" s="587">
        <v>0</v>
      </c>
      <c r="AC64" s="587">
        <v>0</v>
      </c>
    </row>
    <row r="65" spans="1:29" s="588" customFormat="1" ht="10.5">
      <c r="A65" s="586" t="s">
        <v>300</v>
      </c>
      <c r="B65" s="586">
        <v>70</v>
      </c>
      <c r="C65" s="586">
        <v>4</v>
      </c>
      <c r="D65" s="586">
        <v>11</v>
      </c>
      <c r="E65" s="586" t="s">
        <v>300</v>
      </c>
      <c r="F65" s="587" t="s">
        <v>283</v>
      </c>
      <c r="G65" s="586">
        <v>0</v>
      </c>
      <c r="H65" s="586">
        <v>0</v>
      </c>
      <c r="I65" s="586">
        <v>0</v>
      </c>
      <c r="J65" s="586">
        <v>4</v>
      </c>
      <c r="K65" s="586">
        <v>5</v>
      </c>
      <c r="L65" s="586">
        <v>6</v>
      </c>
      <c r="M65" s="586">
        <v>10</v>
      </c>
      <c r="N65" s="586">
        <v>11</v>
      </c>
      <c r="O65" s="586">
        <v>14</v>
      </c>
      <c r="P65" s="586">
        <v>16</v>
      </c>
      <c r="Q65" s="586">
        <v>28</v>
      </c>
      <c r="R65" s="586">
        <v>0</v>
      </c>
      <c r="S65" s="586">
        <v>0</v>
      </c>
      <c r="T65" s="586">
        <v>0</v>
      </c>
      <c r="U65" s="586">
        <v>0</v>
      </c>
      <c r="V65" s="586">
        <v>0</v>
      </c>
      <c r="W65" s="586">
        <v>0</v>
      </c>
      <c r="X65" s="586">
        <v>0</v>
      </c>
      <c r="Y65" s="586">
        <v>0</v>
      </c>
      <c r="Z65" s="586">
        <v>0</v>
      </c>
      <c r="AA65" s="586">
        <v>0</v>
      </c>
      <c r="AB65" s="586">
        <v>0</v>
      </c>
      <c r="AC65" s="586">
        <v>0</v>
      </c>
    </row>
    <row r="66" spans="1:29" ht="10.5">
      <c r="A66" s="586" t="s">
        <v>301</v>
      </c>
      <c r="B66" s="587">
        <v>90</v>
      </c>
      <c r="C66" s="587">
        <v>10</v>
      </c>
      <c r="D66" s="589">
        <v>12</v>
      </c>
      <c r="E66" s="586" t="s">
        <v>301</v>
      </c>
      <c r="F66" s="587" t="s">
        <v>275</v>
      </c>
      <c r="G66" s="587">
        <v>0</v>
      </c>
      <c r="H66" s="587">
        <v>0</v>
      </c>
      <c r="I66" s="587">
        <v>0</v>
      </c>
      <c r="J66" s="587">
        <v>4</v>
      </c>
      <c r="K66" s="587">
        <v>5</v>
      </c>
      <c r="L66" s="587">
        <v>6</v>
      </c>
      <c r="M66" s="587">
        <v>10</v>
      </c>
      <c r="N66" s="587">
        <v>11</v>
      </c>
      <c r="O66" s="587">
        <v>14</v>
      </c>
      <c r="P66" s="587">
        <v>15</v>
      </c>
      <c r="Q66" s="587">
        <v>28</v>
      </c>
      <c r="R66" s="587">
        <v>0</v>
      </c>
      <c r="S66" s="587">
        <v>0</v>
      </c>
      <c r="T66" s="587">
        <v>0</v>
      </c>
      <c r="U66" s="587">
        <v>0</v>
      </c>
      <c r="V66" s="587">
        <v>0</v>
      </c>
      <c r="W66" s="587">
        <v>0</v>
      </c>
      <c r="X66" s="587">
        <v>0</v>
      </c>
      <c r="Y66" s="587">
        <v>0</v>
      </c>
      <c r="Z66" s="587">
        <v>0</v>
      </c>
      <c r="AA66" s="587">
        <v>0</v>
      </c>
      <c r="AB66" s="587">
        <v>0</v>
      </c>
      <c r="AC66" s="587">
        <v>0</v>
      </c>
    </row>
    <row r="67" spans="1:29" ht="10.5">
      <c r="A67" s="586" t="s">
        <v>301</v>
      </c>
      <c r="B67" s="587">
        <v>61</v>
      </c>
      <c r="C67" s="587">
        <v>24</v>
      </c>
      <c r="D67" s="589">
        <v>12</v>
      </c>
      <c r="E67" s="586" t="s">
        <v>301</v>
      </c>
      <c r="F67" s="587" t="s">
        <v>237</v>
      </c>
      <c r="G67" s="587">
        <v>0</v>
      </c>
      <c r="H67" s="587">
        <v>0</v>
      </c>
      <c r="I67" s="587">
        <v>0</v>
      </c>
      <c r="J67" s="587">
        <v>4</v>
      </c>
      <c r="K67" s="587">
        <v>5</v>
      </c>
      <c r="L67" s="587">
        <v>6</v>
      </c>
      <c r="M67" s="587">
        <v>8</v>
      </c>
      <c r="N67" s="587">
        <v>9</v>
      </c>
      <c r="O67" s="587">
        <v>10</v>
      </c>
      <c r="P67" s="587">
        <v>13</v>
      </c>
      <c r="Q67" s="587">
        <v>15</v>
      </c>
      <c r="R67" s="587">
        <v>16</v>
      </c>
      <c r="S67" s="587">
        <v>0</v>
      </c>
      <c r="T67" s="587">
        <v>0</v>
      </c>
      <c r="U67" s="587">
        <v>0</v>
      </c>
      <c r="V67" s="587">
        <v>0</v>
      </c>
      <c r="W67" s="587">
        <v>0</v>
      </c>
      <c r="X67" s="587">
        <v>0</v>
      </c>
      <c r="Y67" s="587">
        <v>0</v>
      </c>
      <c r="Z67" s="587">
        <v>0</v>
      </c>
      <c r="AA67" s="587">
        <v>0</v>
      </c>
      <c r="AB67" s="587">
        <v>0</v>
      </c>
      <c r="AC67" s="587">
        <v>0</v>
      </c>
    </row>
    <row r="68" spans="1:29" ht="10.5">
      <c r="A68" s="586" t="s">
        <v>301</v>
      </c>
      <c r="B68" s="587">
        <v>32</v>
      </c>
      <c r="C68" s="587">
        <v>24</v>
      </c>
      <c r="D68" s="587">
        <v>11</v>
      </c>
      <c r="E68" s="586" t="s">
        <v>301</v>
      </c>
      <c r="F68" s="587" t="s">
        <v>213</v>
      </c>
      <c r="G68" s="587">
        <v>0</v>
      </c>
      <c r="H68" s="587">
        <v>0</v>
      </c>
      <c r="I68" s="587">
        <v>0</v>
      </c>
      <c r="J68" s="587">
        <v>4</v>
      </c>
      <c r="K68" s="587">
        <v>5</v>
      </c>
      <c r="L68" s="587">
        <v>6</v>
      </c>
      <c r="M68" s="587">
        <v>7</v>
      </c>
      <c r="N68" s="587">
        <v>10</v>
      </c>
      <c r="O68" s="587">
        <v>11</v>
      </c>
      <c r="P68" s="587">
        <v>14</v>
      </c>
      <c r="Q68" s="587">
        <v>17</v>
      </c>
      <c r="R68" s="587">
        <v>28</v>
      </c>
      <c r="S68" s="587">
        <v>0</v>
      </c>
      <c r="T68" s="587">
        <v>0</v>
      </c>
      <c r="U68" s="587">
        <v>0</v>
      </c>
      <c r="V68" s="587">
        <v>0</v>
      </c>
      <c r="W68" s="587">
        <v>0</v>
      </c>
      <c r="X68" s="587">
        <v>0</v>
      </c>
      <c r="Y68" s="587">
        <v>0</v>
      </c>
      <c r="Z68" s="587">
        <v>0</v>
      </c>
      <c r="AA68" s="587">
        <v>0</v>
      </c>
      <c r="AB68" s="587">
        <v>0</v>
      </c>
      <c r="AC68" s="587">
        <v>0</v>
      </c>
    </row>
    <row r="69" spans="1:29" s="588" customFormat="1" ht="10.5">
      <c r="A69" s="586" t="s">
        <v>301</v>
      </c>
      <c r="B69" s="586">
        <v>105</v>
      </c>
      <c r="C69" s="586">
        <v>8</v>
      </c>
      <c r="D69" s="586">
        <v>11</v>
      </c>
      <c r="E69" s="586" t="s">
        <v>301</v>
      </c>
      <c r="F69" s="587" t="s">
        <v>291</v>
      </c>
      <c r="G69" s="586">
        <v>0</v>
      </c>
      <c r="H69" s="586">
        <v>0</v>
      </c>
      <c r="I69" s="586">
        <v>0</v>
      </c>
      <c r="J69" s="586">
        <v>4</v>
      </c>
      <c r="K69" s="586">
        <v>5</v>
      </c>
      <c r="L69" s="586">
        <v>6</v>
      </c>
      <c r="M69" s="586">
        <v>10</v>
      </c>
      <c r="N69" s="586">
        <v>11</v>
      </c>
      <c r="O69" s="586">
        <v>14</v>
      </c>
      <c r="P69" s="586">
        <v>16</v>
      </c>
      <c r="Q69" s="586">
        <v>28</v>
      </c>
      <c r="R69" s="586">
        <v>0</v>
      </c>
      <c r="S69" s="586">
        <v>0</v>
      </c>
      <c r="T69" s="586">
        <v>0</v>
      </c>
      <c r="U69" s="586">
        <v>0</v>
      </c>
      <c r="V69" s="586">
        <v>0</v>
      </c>
      <c r="W69" s="586">
        <v>0</v>
      </c>
      <c r="X69" s="586">
        <v>0</v>
      </c>
      <c r="Y69" s="586">
        <v>0</v>
      </c>
      <c r="Z69" s="586">
        <v>0</v>
      </c>
      <c r="AA69" s="586">
        <v>0</v>
      </c>
      <c r="AB69" s="586">
        <v>0</v>
      </c>
      <c r="AC69" s="586">
        <v>0</v>
      </c>
    </row>
    <row r="70" spans="1:29" ht="10.5">
      <c r="A70" s="586" t="s">
        <v>302</v>
      </c>
      <c r="B70" s="587">
        <v>90</v>
      </c>
      <c r="C70" s="587">
        <v>10</v>
      </c>
      <c r="D70" s="589">
        <v>12</v>
      </c>
      <c r="E70" s="586" t="s">
        <v>302</v>
      </c>
      <c r="F70" s="587" t="s">
        <v>277</v>
      </c>
      <c r="G70" s="587">
        <v>0</v>
      </c>
      <c r="H70" s="587">
        <v>0</v>
      </c>
      <c r="I70" s="587">
        <v>0</v>
      </c>
      <c r="J70" s="587">
        <v>4</v>
      </c>
      <c r="K70" s="587">
        <v>5</v>
      </c>
      <c r="L70" s="587">
        <v>6</v>
      </c>
      <c r="M70" s="587">
        <v>10</v>
      </c>
      <c r="N70" s="587">
        <v>11</v>
      </c>
      <c r="O70" s="587">
        <v>14</v>
      </c>
      <c r="P70" s="587">
        <v>15</v>
      </c>
      <c r="Q70" s="587">
        <v>28</v>
      </c>
      <c r="R70" s="587">
        <v>0</v>
      </c>
      <c r="S70" s="587">
        <v>0</v>
      </c>
      <c r="T70" s="587">
        <v>0</v>
      </c>
      <c r="U70" s="587">
        <v>0</v>
      </c>
      <c r="V70" s="587">
        <v>0</v>
      </c>
      <c r="W70" s="587">
        <v>0</v>
      </c>
      <c r="X70" s="587">
        <v>0</v>
      </c>
      <c r="Y70" s="587">
        <v>0</v>
      </c>
      <c r="Z70" s="587">
        <v>0</v>
      </c>
      <c r="AA70" s="587">
        <v>0</v>
      </c>
      <c r="AB70" s="587">
        <v>0</v>
      </c>
      <c r="AC70" s="587">
        <v>0</v>
      </c>
    </row>
    <row r="71" spans="1:29" ht="10.5">
      <c r="A71" s="586" t="s">
        <v>302</v>
      </c>
      <c r="B71" s="587">
        <v>61</v>
      </c>
      <c r="C71" s="587">
        <v>24</v>
      </c>
      <c r="D71" s="589">
        <v>12</v>
      </c>
      <c r="E71" s="586" t="s">
        <v>302</v>
      </c>
      <c r="F71" s="587" t="s">
        <v>239</v>
      </c>
      <c r="G71" s="587">
        <v>0</v>
      </c>
      <c r="H71" s="587">
        <v>0</v>
      </c>
      <c r="I71" s="587">
        <v>0</v>
      </c>
      <c r="J71" s="587">
        <v>4</v>
      </c>
      <c r="K71" s="587">
        <v>5</v>
      </c>
      <c r="L71" s="587">
        <v>6</v>
      </c>
      <c r="M71" s="587">
        <v>8</v>
      </c>
      <c r="N71" s="587">
        <v>9</v>
      </c>
      <c r="O71" s="587">
        <v>10</v>
      </c>
      <c r="P71" s="587">
        <v>13</v>
      </c>
      <c r="Q71" s="587">
        <v>15</v>
      </c>
      <c r="R71" s="587">
        <v>16</v>
      </c>
      <c r="S71" s="587">
        <v>0</v>
      </c>
      <c r="T71" s="587">
        <v>0</v>
      </c>
      <c r="U71" s="587">
        <v>0</v>
      </c>
      <c r="V71" s="587">
        <v>0</v>
      </c>
      <c r="W71" s="587">
        <v>0</v>
      </c>
      <c r="X71" s="587">
        <v>0</v>
      </c>
      <c r="Y71" s="587">
        <v>0</v>
      </c>
      <c r="Z71" s="587">
        <v>0</v>
      </c>
      <c r="AA71" s="587">
        <v>0</v>
      </c>
      <c r="AB71" s="587">
        <v>0</v>
      </c>
      <c r="AC71" s="587">
        <v>0</v>
      </c>
    </row>
    <row r="72" spans="1:29" ht="10.5">
      <c r="A72" s="586" t="s">
        <v>302</v>
      </c>
      <c r="B72" s="587">
        <v>32</v>
      </c>
      <c r="C72" s="587">
        <v>24</v>
      </c>
      <c r="D72" s="587">
        <v>11</v>
      </c>
      <c r="E72" s="586" t="s">
        <v>302</v>
      </c>
      <c r="F72" s="587" t="s">
        <v>215</v>
      </c>
      <c r="G72" s="587">
        <v>0</v>
      </c>
      <c r="H72" s="587">
        <v>0</v>
      </c>
      <c r="I72" s="587">
        <v>0</v>
      </c>
      <c r="J72" s="587">
        <v>4</v>
      </c>
      <c r="K72" s="587">
        <v>5</v>
      </c>
      <c r="L72" s="587">
        <v>6</v>
      </c>
      <c r="M72" s="587">
        <v>7</v>
      </c>
      <c r="N72" s="587">
        <v>10</v>
      </c>
      <c r="O72" s="587">
        <v>11</v>
      </c>
      <c r="P72" s="587">
        <v>14</v>
      </c>
      <c r="Q72" s="587">
        <v>17</v>
      </c>
      <c r="R72" s="587">
        <v>28</v>
      </c>
      <c r="S72" s="587">
        <v>0</v>
      </c>
      <c r="T72" s="587">
        <v>0</v>
      </c>
      <c r="U72" s="587">
        <v>0</v>
      </c>
      <c r="V72" s="587">
        <v>0</v>
      </c>
      <c r="W72" s="587">
        <v>0</v>
      </c>
      <c r="X72" s="587">
        <v>0</v>
      </c>
      <c r="Y72" s="587">
        <v>0</v>
      </c>
      <c r="Z72" s="587">
        <v>0</v>
      </c>
      <c r="AA72" s="587">
        <v>0</v>
      </c>
      <c r="AB72" s="587">
        <v>0</v>
      </c>
      <c r="AC72" s="587">
        <v>0</v>
      </c>
    </row>
    <row r="73" spans="1:29" s="588" customFormat="1" ht="10.5">
      <c r="A73" s="586" t="s">
        <v>302</v>
      </c>
      <c r="B73" s="586">
        <v>105</v>
      </c>
      <c r="C73" s="586">
        <v>8</v>
      </c>
      <c r="D73" s="586">
        <v>11</v>
      </c>
      <c r="E73" s="586" t="s">
        <v>302</v>
      </c>
      <c r="F73" s="587" t="s">
        <v>293</v>
      </c>
      <c r="G73" s="586">
        <v>0</v>
      </c>
      <c r="H73" s="586">
        <v>0</v>
      </c>
      <c r="I73" s="586">
        <v>0</v>
      </c>
      <c r="J73" s="586">
        <v>4</v>
      </c>
      <c r="K73" s="586">
        <v>5</v>
      </c>
      <c r="L73" s="586">
        <v>6</v>
      </c>
      <c r="M73" s="586">
        <v>10</v>
      </c>
      <c r="N73" s="586">
        <v>11</v>
      </c>
      <c r="O73" s="586">
        <v>14</v>
      </c>
      <c r="P73" s="586">
        <v>16</v>
      </c>
      <c r="Q73" s="586">
        <v>28</v>
      </c>
      <c r="R73" s="586">
        <v>0</v>
      </c>
      <c r="S73" s="586">
        <v>0</v>
      </c>
      <c r="T73" s="586">
        <v>0</v>
      </c>
      <c r="U73" s="586">
        <v>0</v>
      </c>
      <c r="V73" s="586">
        <v>0</v>
      </c>
      <c r="W73" s="586">
        <v>0</v>
      </c>
      <c r="X73" s="586">
        <v>0</v>
      </c>
      <c r="Y73" s="586">
        <v>0</v>
      </c>
      <c r="Z73" s="586">
        <v>0</v>
      </c>
      <c r="AA73" s="586">
        <v>0</v>
      </c>
      <c r="AB73" s="586">
        <v>0</v>
      </c>
      <c r="AC73" s="586">
        <v>0</v>
      </c>
    </row>
    <row r="74" spans="1:29" ht="10.5">
      <c r="A74" s="586" t="s">
        <v>303</v>
      </c>
      <c r="B74" s="587">
        <v>60</v>
      </c>
      <c r="C74" s="587">
        <v>36</v>
      </c>
      <c r="D74" s="587">
        <v>9</v>
      </c>
      <c r="E74" s="586" t="s">
        <v>303</v>
      </c>
      <c r="F74" s="587" t="s">
        <v>261</v>
      </c>
      <c r="G74" s="587">
        <v>0</v>
      </c>
      <c r="H74" s="587">
        <v>0</v>
      </c>
      <c r="I74" s="587">
        <v>0</v>
      </c>
      <c r="J74" s="587">
        <v>4</v>
      </c>
      <c r="K74" s="587">
        <v>5</v>
      </c>
      <c r="L74" s="587">
        <v>7</v>
      </c>
      <c r="M74" s="587">
        <v>9</v>
      </c>
      <c r="N74" s="587">
        <v>10</v>
      </c>
      <c r="O74" s="587">
        <v>13</v>
      </c>
      <c r="P74" s="587">
        <v>14</v>
      </c>
      <c r="Q74" s="587">
        <v>21</v>
      </c>
      <c r="R74" s="587">
        <v>0</v>
      </c>
      <c r="S74" s="587">
        <v>0</v>
      </c>
      <c r="T74" s="587">
        <v>0</v>
      </c>
      <c r="U74" s="587">
        <v>0</v>
      </c>
      <c r="V74" s="587">
        <v>0</v>
      </c>
      <c r="W74" s="587">
        <v>0</v>
      </c>
      <c r="X74" s="587">
        <v>0</v>
      </c>
      <c r="Y74" s="587">
        <v>0</v>
      </c>
      <c r="Z74" s="587">
        <v>0</v>
      </c>
      <c r="AA74" s="587">
        <v>0</v>
      </c>
      <c r="AB74" s="587">
        <v>0</v>
      </c>
      <c r="AC74" s="587">
        <v>0</v>
      </c>
    </row>
    <row r="75" spans="1:29" ht="10.5">
      <c r="A75" s="586" t="s">
        <v>303</v>
      </c>
      <c r="B75" s="587">
        <v>31</v>
      </c>
      <c r="C75" s="587">
        <v>25</v>
      </c>
      <c r="D75" s="589">
        <v>12</v>
      </c>
      <c r="E75" s="586" t="s">
        <v>303</v>
      </c>
      <c r="F75" s="587" t="s">
        <v>243</v>
      </c>
      <c r="G75" s="587">
        <v>0</v>
      </c>
      <c r="H75" s="587">
        <v>0</v>
      </c>
      <c r="I75" s="587">
        <v>0</v>
      </c>
      <c r="J75" s="587">
        <v>4</v>
      </c>
      <c r="K75" s="587">
        <v>5</v>
      </c>
      <c r="L75" s="587">
        <v>6</v>
      </c>
      <c r="M75" s="587">
        <v>7</v>
      </c>
      <c r="N75" s="587">
        <v>9</v>
      </c>
      <c r="O75" s="587">
        <v>10</v>
      </c>
      <c r="P75" s="587">
        <v>13</v>
      </c>
      <c r="Q75" s="587">
        <v>15</v>
      </c>
      <c r="R75" s="587">
        <v>16</v>
      </c>
      <c r="S75" s="587">
        <v>0</v>
      </c>
      <c r="T75" s="587">
        <v>0</v>
      </c>
      <c r="U75" s="587">
        <v>0</v>
      </c>
      <c r="V75" s="587">
        <v>0</v>
      </c>
      <c r="W75" s="587">
        <v>0</v>
      </c>
      <c r="X75" s="587">
        <v>0</v>
      </c>
      <c r="Y75" s="587">
        <v>0</v>
      </c>
      <c r="Z75" s="587">
        <v>0</v>
      </c>
      <c r="AA75" s="587">
        <v>0</v>
      </c>
      <c r="AB75" s="587">
        <v>0</v>
      </c>
      <c r="AC75" s="587">
        <v>0</v>
      </c>
    </row>
    <row r="76" spans="1:29" ht="10.5">
      <c r="A76" s="586" t="s">
        <v>304</v>
      </c>
      <c r="B76" s="587">
        <v>60</v>
      </c>
      <c r="C76" s="587">
        <v>25</v>
      </c>
      <c r="D76" s="587">
        <v>9</v>
      </c>
      <c r="E76" s="586" t="s">
        <v>304</v>
      </c>
      <c r="F76" s="587" t="s">
        <v>263</v>
      </c>
      <c r="G76" s="587">
        <v>0</v>
      </c>
      <c r="H76" s="587">
        <v>0</v>
      </c>
      <c r="I76" s="587">
        <v>0</v>
      </c>
      <c r="J76" s="587">
        <v>4</v>
      </c>
      <c r="K76" s="587">
        <v>5</v>
      </c>
      <c r="L76" s="587">
        <v>7</v>
      </c>
      <c r="M76" s="587">
        <v>9</v>
      </c>
      <c r="N76" s="587">
        <v>10</v>
      </c>
      <c r="O76" s="587">
        <v>13</v>
      </c>
      <c r="P76" s="587">
        <v>14</v>
      </c>
      <c r="Q76" s="587">
        <v>21</v>
      </c>
      <c r="R76" s="587">
        <v>0</v>
      </c>
      <c r="S76" s="587">
        <v>0</v>
      </c>
      <c r="T76" s="587">
        <v>0</v>
      </c>
      <c r="U76" s="587">
        <v>0</v>
      </c>
      <c r="V76" s="587">
        <v>0</v>
      </c>
      <c r="W76" s="587">
        <v>0</v>
      </c>
      <c r="X76" s="587">
        <v>0</v>
      </c>
      <c r="Y76" s="587">
        <v>0</v>
      </c>
      <c r="Z76" s="587">
        <v>0</v>
      </c>
      <c r="AA76" s="587">
        <v>0</v>
      </c>
      <c r="AB76" s="587">
        <v>0</v>
      </c>
      <c r="AC76" s="587">
        <v>0</v>
      </c>
    </row>
    <row r="77" spans="1:29" ht="10.5">
      <c r="A77" s="586" t="s">
        <v>304</v>
      </c>
      <c r="B77" s="587">
        <v>31</v>
      </c>
      <c r="C77" s="587">
        <v>25</v>
      </c>
      <c r="D77" s="589">
        <v>12</v>
      </c>
      <c r="E77" s="586" t="s">
        <v>304</v>
      </c>
      <c r="F77" s="587" t="s">
        <v>245</v>
      </c>
      <c r="G77" s="587">
        <v>0</v>
      </c>
      <c r="H77" s="587">
        <v>0</v>
      </c>
      <c r="I77" s="587">
        <v>0</v>
      </c>
      <c r="J77" s="587">
        <v>4</v>
      </c>
      <c r="K77" s="587">
        <v>5</v>
      </c>
      <c r="L77" s="587">
        <v>6</v>
      </c>
      <c r="M77" s="587">
        <v>7</v>
      </c>
      <c r="N77" s="587">
        <v>9</v>
      </c>
      <c r="O77" s="587">
        <v>10</v>
      </c>
      <c r="P77" s="587">
        <v>13</v>
      </c>
      <c r="Q77" s="587">
        <v>15</v>
      </c>
      <c r="R77" s="587">
        <v>16</v>
      </c>
      <c r="S77" s="587">
        <v>0</v>
      </c>
      <c r="T77" s="587">
        <v>0</v>
      </c>
      <c r="U77" s="587">
        <v>0</v>
      </c>
      <c r="V77" s="587">
        <v>0</v>
      </c>
      <c r="W77" s="587">
        <v>0</v>
      </c>
      <c r="X77" s="587">
        <v>0</v>
      </c>
      <c r="Y77" s="587">
        <v>0</v>
      </c>
      <c r="Z77" s="587">
        <v>0</v>
      </c>
      <c r="AA77" s="587">
        <v>0</v>
      </c>
      <c r="AB77" s="587">
        <v>0</v>
      </c>
      <c r="AC77" s="587">
        <v>0</v>
      </c>
    </row>
    <row r="78" spans="1:29" ht="10.5">
      <c r="A78" s="586" t="s">
        <v>305</v>
      </c>
      <c r="B78" s="586">
        <v>32</v>
      </c>
      <c r="C78" s="586">
        <v>3</v>
      </c>
      <c r="D78" s="586">
        <v>9</v>
      </c>
      <c r="E78" s="586" t="s">
        <v>305</v>
      </c>
      <c r="F78" s="586" t="s">
        <v>269</v>
      </c>
      <c r="G78" s="586">
        <v>0</v>
      </c>
      <c r="H78" s="586">
        <v>0</v>
      </c>
      <c r="I78" s="586">
        <v>0</v>
      </c>
      <c r="J78" s="586">
        <v>4</v>
      </c>
      <c r="K78" s="586">
        <v>5</v>
      </c>
      <c r="L78" s="586">
        <v>7</v>
      </c>
      <c r="M78" s="586">
        <v>9</v>
      </c>
      <c r="N78" s="586">
        <v>10</v>
      </c>
      <c r="O78" s="586">
        <v>13</v>
      </c>
      <c r="P78" s="586">
        <v>14</v>
      </c>
      <c r="Q78" s="586">
        <v>21</v>
      </c>
      <c r="R78" s="586">
        <v>0</v>
      </c>
      <c r="S78" s="586">
        <v>0</v>
      </c>
      <c r="T78" s="586">
        <v>0</v>
      </c>
      <c r="U78" s="586">
        <v>0</v>
      </c>
      <c r="V78" s="586">
        <v>0</v>
      </c>
      <c r="W78" s="586">
        <v>0</v>
      </c>
      <c r="X78" s="586">
        <v>0</v>
      </c>
      <c r="Y78" s="586">
        <v>0</v>
      </c>
      <c r="Z78" s="586">
        <v>0</v>
      </c>
      <c r="AA78" s="586">
        <v>0</v>
      </c>
      <c r="AB78" s="586">
        <v>0</v>
      </c>
      <c r="AC78" s="586">
        <v>0</v>
      </c>
    </row>
    <row r="79" spans="1:29" ht="10.5">
      <c r="A79" s="586" t="s">
        <v>306</v>
      </c>
      <c r="B79" s="586">
        <v>32</v>
      </c>
      <c r="C79" s="586">
        <v>3</v>
      </c>
      <c r="D79" s="586">
        <v>9</v>
      </c>
      <c r="E79" s="586" t="s">
        <v>306</v>
      </c>
      <c r="F79" s="586" t="s">
        <v>271</v>
      </c>
      <c r="G79" s="586">
        <v>0</v>
      </c>
      <c r="H79" s="586">
        <v>0</v>
      </c>
      <c r="I79" s="586">
        <v>0</v>
      </c>
      <c r="J79" s="586">
        <v>4</v>
      </c>
      <c r="K79" s="586">
        <v>5</v>
      </c>
      <c r="L79" s="586">
        <v>7</v>
      </c>
      <c r="M79" s="586">
        <v>9</v>
      </c>
      <c r="N79" s="586">
        <v>10</v>
      </c>
      <c r="O79" s="586">
        <v>13</v>
      </c>
      <c r="P79" s="586">
        <v>14</v>
      </c>
      <c r="Q79" s="586">
        <v>21</v>
      </c>
      <c r="R79" s="586">
        <v>0</v>
      </c>
      <c r="S79" s="586">
        <v>0</v>
      </c>
      <c r="T79" s="586">
        <v>0</v>
      </c>
      <c r="U79" s="586">
        <v>0</v>
      </c>
      <c r="V79" s="586">
        <v>0</v>
      </c>
      <c r="W79" s="586">
        <v>0</v>
      </c>
      <c r="X79" s="586">
        <v>0</v>
      </c>
      <c r="Y79" s="586">
        <v>0</v>
      </c>
      <c r="Z79" s="586">
        <v>0</v>
      </c>
      <c r="AA79" s="586">
        <v>0</v>
      </c>
      <c r="AB79" s="586">
        <v>0</v>
      </c>
      <c r="AC79" s="586">
        <v>0</v>
      </c>
    </row>
    <row r="80" spans="1:29" ht="10.5">
      <c r="A80" s="586" t="s">
        <v>307</v>
      </c>
      <c r="B80" s="586">
        <v>32</v>
      </c>
      <c r="C80" s="586">
        <v>4</v>
      </c>
      <c r="D80" s="586">
        <v>11</v>
      </c>
      <c r="E80" s="586" t="s">
        <v>307</v>
      </c>
      <c r="F80" s="586" t="s">
        <v>221</v>
      </c>
      <c r="G80" s="586">
        <v>0</v>
      </c>
      <c r="H80" s="586">
        <v>0</v>
      </c>
      <c r="I80" s="586">
        <v>0</v>
      </c>
      <c r="J80" s="586">
        <v>4</v>
      </c>
      <c r="K80" s="586">
        <v>5</v>
      </c>
      <c r="L80" s="586">
        <v>6</v>
      </c>
      <c r="M80" s="586">
        <v>7</v>
      </c>
      <c r="N80" s="586">
        <v>10</v>
      </c>
      <c r="O80" s="586">
        <v>11</v>
      </c>
      <c r="P80" s="586">
        <v>14</v>
      </c>
      <c r="Q80" s="586">
        <v>17</v>
      </c>
      <c r="R80" s="586">
        <v>28</v>
      </c>
      <c r="S80" s="586">
        <v>0</v>
      </c>
      <c r="T80" s="586">
        <v>0</v>
      </c>
      <c r="U80" s="586">
        <v>0</v>
      </c>
      <c r="V80" s="586">
        <v>0</v>
      </c>
      <c r="W80" s="586">
        <v>0</v>
      </c>
      <c r="X80" s="586">
        <v>0</v>
      </c>
      <c r="Y80" s="586">
        <v>0</v>
      </c>
      <c r="Z80" s="586">
        <v>0</v>
      </c>
      <c r="AA80" s="586">
        <v>0</v>
      </c>
      <c r="AB80" s="586">
        <v>0</v>
      </c>
      <c r="AC80" s="586">
        <v>0</v>
      </c>
    </row>
    <row r="81" spans="1:29" ht="10.5">
      <c r="A81" s="586" t="s">
        <v>307</v>
      </c>
      <c r="B81" s="586">
        <v>40</v>
      </c>
      <c r="C81" s="586">
        <v>4</v>
      </c>
      <c r="D81" s="586">
        <v>12</v>
      </c>
      <c r="E81" s="586" t="s">
        <v>307</v>
      </c>
      <c r="F81" s="586" t="s">
        <v>247</v>
      </c>
      <c r="G81" s="586">
        <v>0</v>
      </c>
      <c r="H81" s="586">
        <v>0</v>
      </c>
      <c r="I81" s="586">
        <v>0</v>
      </c>
      <c r="J81" s="586">
        <v>4</v>
      </c>
      <c r="K81" s="586">
        <v>5</v>
      </c>
      <c r="L81" s="586">
        <v>6</v>
      </c>
      <c r="M81" s="586">
        <v>8</v>
      </c>
      <c r="N81" s="586">
        <v>9</v>
      </c>
      <c r="O81" s="586">
        <v>10</v>
      </c>
      <c r="P81" s="586">
        <v>13</v>
      </c>
      <c r="Q81" s="586">
        <v>15</v>
      </c>
      <c r="R81" s="586">
        <v>16</v>
      </c>
      <c r="S81" s="586">
        <v>0</v>
      </c>
      <c r="T81" s="586">
        <v>0</v>
      </c>
      <c r="U81" s="586">
        <v>0</v>
      </c>
      <c r="V81" s="586">
        <v>0</v>
      </c>
      <c r="W81" s="586">
        <v>0</v>
      </c>
      <c r="X81" s="586">
        <v>0</v>
      </c>
      <c r="Y81" s="586">
        <v>0</v>
      </c>
      <c r="Z81" s="586">
        <v>0</v>
      </c>
      <c r="AA81" s="586">
        <v>0</v>
      </c>
      <c r="AB81" s="586">
        <v>0</v>
      </c>
      <c r="AC81" s="586">
        <v>0</v>
      </c>
    </row>
    <row r="82" spans="1:29" ht="10.5">
      <c r="A82" s="586" t="s">
        <v>308</v>
      </c>
      <c r="B82" s="586">
        <v>32</v>
      </c>
      <c r="C82" s="586">
        <v>4</v>
      </c>
      <c r="D82" s="586">
        <v>11</v>
      </c>
      <c r="E82" s="586" t="s">
        <v>308</v>
      </c>
      <c r="F82" s="586" t="s">
        <v>223</v>
      </c>
      <c r="G82" s="586">
        <v>0</v>
      </c>
      <c r="H82" s="586">
        <v>0</v>
      </c>
      <c r="I82" s="586">
        <v>0</v>
      </c>
      <c r="J82" s="586">
        <v>4</v>
      </c>
      <c r="K82" s="586">
        <v>5</v>
      </c>
      <c r="L82" s="586">
        <v>6</v>
      </c>
      <c r="M82" s="586">
        <v>7</v>
      </c>
      <c r="N82" s="586">
        <v>10</v>
      </c>
      <c r="O82" s="586">
        <v>11</v>
      </c>
      <c r="P82" s="586">
        <v>14</v>
      </c>
      <c r="Q82" s="586">
        <v>17</v>
      </c>
      <c r="R82" s="586">
        <v>28</v>
      </c>
      <c r="S82" s="586">
        <v>0</v>
      </c>
      <c r="T82" s="586">
        <v>0</v>
      </c>
      <c r="U82" s="586">
        <v>0</v>
      </c>
      <c r="V82" s="586">
        <v>0</v>
      </c>
      <c r="W82" s="586">
        <v>0</v>
      </c>
      <c r="X82" s="586">
        <v>0</v>
      </c>
      <c r="Y82" s="586">
        <v>0</v>
      </c>
      <c r="Z82" s="586">
        <v>0</v>
      </c>
      <c r="AA82" s="586">
        <v>0</v>
      </c>
      <c r="AB82" s="586">
        <v>0</v>
      </c>
      <c r="AC82" s="586">
        <v>0</v>
      </c>
    </row>
    <row r="83" spans="1:29" ht="10.5">
      <c r="A83" s="586" t="s">
        <v>308</v>
      </c>
      <c r="B83" s="586">
        <v>40</v>
      </c>
      <c r="C83" s="586">
        <v>4</v>
      </c>
      <c r="D83" s="586">
        <v>12</v>
      </c>
      <c r="E83" s="586" t="s">
        <v>308</v>
      </c>
      <c r="F83" s="586" t="s">
        <v>309</v>
      </c>
      <c r="G83" s="586">
        <v>0</v>
      </c>
      <c r="H83" s="586">
        <v>0</v>
      </c>
      <c r="I83" s="586">
        <v>0</v>
      </c>
      <c r="J83" s="586">
        <v>4</v>
      </c>
      <c r="K83" s="586">
        <v>5</v>
      </c>
      <c r="L83" s="586">
        <v>6</v>
      </c>
      <c r="M83" s="586">
        <v>8</v>
      </c>
      <c r="N83" s="586">
        <v>9</v>
      </c>
      <c r="O83" s="586">
        <v>10</v>
      </c>
      <c r="P83" s="586">
        <v>13</v>
      </c>
      <c r="Q83" s="586">
        <v>15</v>
      </c>
      <c r="R83" s="586">
        <v>16</v>
      </c>
      <c r="S83" s="586">
        <v>0</v>
      </c>
      <c r="T83" s="586">
        <v>0</v>
      </c>
      <c r="U83" s="586">
        <v>0</v>
      </c>
      <c r="V83" s="586">
        <v>0</v>
      </c>
      <c r="W83" s="586">
        <v>0</v>
      </c>
      <c r="X83" s="586">
        <v>0</v>
      </c>
      <c r="Y83" s="586">
        <v>0</v>
      </c>
      <c r="Z83" s="586">
        <v>0</v>
      </c>
      <c r="AA83" s="586">
        <v>0</v>
      </c>
      <c r="AB83" s="586">
        <v>0</v>
      </c>
      <c r="AC83" s="586">
        <v>0</v>
      </c>
    </row>
    <row r="84" spans="1:29" ht="10.5">
      <c r="A84" s="586" t="s">
        <v>310</v>
      </c>
      <c r="B84" s="586">
        <v>32</v>
      </c>
      <c r="C84" s="586">
        <v>4</v>
      </c>
      <c r="D84" s="586">
        <v>11</v>
      </c>
      <c r="E84" s="586" t="s">
        <v>310</v>
      </c>
      <c r="F84" s="586" t="s">
        <v>225</v>
      </c>
      <c r="G84" s="586">
        <v>0</v>
      </c>
      <c r="H84" s="586">
        <v>0</v>
      </c>
      <c r="I84" s="586">
        <v>0</v>
      </c>
      <c r="J84" s="586">
        <v>4</v>
      </c>
      <c r="K84" s="586">
        <v>5</v>
      </c>
      <c r="L84" s="586">
        <v>6</v>
      </c>
      <c r="M84" s="586">
        <v>7</v>
      </c>
      <c r="N84" s="586">
        <v>10</v>
      </c>
      <c r="O84" s="586">
        <v>11</v>
      </c>
      <c r="P84" s="586">
        <v>14</v>
      </c>
      <c r="Q84" s="586">
        <v>17</v>
      </c>
      <c r="R84" s="586">
        <v>28</v>
      </c>
      <c r="S84" s="586">
        <v>0</v>
      </c>
      <c r="T84" s="586">
        <v>0</v>
      </c>
      <c r="U84" s="586">
        <v>0</v>
      </c>
      <c r="V84" s="586">
        <v>0</v>
      </c>
      <c r="W84" s="586">
        <v>0</v>
      </c>
      <c r="X84" s="586">
        <v>0</v>
      </c>
      <c r="Y84" s="586">
        <v>0</v>
      </c>
      <c r="Z84" s="586">
        <v>0</v>
      </c>
      <c r="AA84" s="586">
        <v>0</v>
      </c>
      <c r="AB84" s="586">
        <v>0</v>
      </c>
      <c r="AC84" s="586">
        <v>0</v>
      </c>
    </row>
    <row r="85" spans="1:29" ht="10.5">
      <c r="A85" s="586" t="s">
        <v>310</v>
      </c>
      <c r="B85" s="586">
        <v>40</v>
      </c>
      <c r="C85" s="586">
        <v>4</v>
      </c>
      <c r="D85" s="586">
        <v>12</v>
      </c>
      <c r="E85" s="586" t="s">
        <v>310</v>
      </c>
      <c r="F85" s="586" t="s">
        <v>249</v>
      </c>
      <c r="G85" s="586">
        <v>0</v>
      </c>
      <c r="H85" s="586">
        <v>0</v>
      </c>
      <c r="I85" s="586">
        <v>0</v>
      </c>
      <c r="J85" s="586">
        <v>4</v>
      </c>
      <c r="K85" s="586">
        <v>5</v>
      </c>
      <c r="L85" s="586">
        <v>6</v>
      </c>
      <c r="M85" s="586">
        <v>8</v>
      </c>
      <c r="N85" s="586">
        <v>9</v>
      </c>
      <c r="O85" s="586">
        <v>10</v>
      </c>
      <c r="P85" s="586">
        <v>13</v>
      </c>
      <c r="Q85" s="586">
        <v>15</v>
      </c>
      <c r="R85" s="586">
        <v>16</v>
      </c>
      <c r="S85" s="586">
        <v>0</v>
      </c>
      <c r="T85" s="586">
        <v>0</v>
      </c>
      <c r="U85" s="586">
        <v>0</v>
      </c>
      <c r="V85" s="586">
        <v>0</v>
      </c>
      <c r="W85" s="586">
        <v>0</v>
      </c>
      <c r="X85" s="586">
        <v>0</v>
      </c>
      <c r="Y85" s="586">
        <v>0</v>
      </c>
      <c r="Z85" s="586">
        <v>0</v>
      </c>
      <c r="AA85" s="586">
        <v>0</v>
      </c>
      <c r="AB85" s="586">
        <v>0</v>
      </c>
      <c r="AC85" s="586">
        <v>0</v>
      </c>
    </row>
    <row r="86" spans="1:29" ht="10.5">
      <c r="A86" s="586" t="s">
        <v>311</v>
      </c>
      <c r="B86" s="586">
        <v>32</v>
      </c>
      <c r="C86" s="586">
        <v>4</v>
      </c>
      <c r="D86" s="586">
        <v>11</v>
      </c>
      <c r="E86" s="586" t="s">
        <v>311</v>
      </c>
      <c r="F86" s="586" t="s">
        <v>227</v>
      </c>
      <c r="G86" s="586">
        <v>0</v>
      </c>
      <c r="H86" s="586">
        <v>0</v>
      </c>
      <c r="I86" s="586">
        <v>0</v>
      </c>
      <c r="J86" s="586">
        <v>4</v>
      </c>
      <c r="K86" s="586">
        <v>5</v>
      </c>
      <c r="L86" s="586">
        <v>6</v>
      </c>
      <c r="M86" s="586">
        <v>7</v>
      </c>
      <c r="N86" s="586">
        <v>10</v>
      </c>
      <c r="O86" s="586">
        <v>11</v>
      </c>
      <c r="P86" s="586">
        <v>14</v>
      </c>
      <c r="Q86" s="586">
        <v>17</v>
      </c>
      <c r="R86" s="586">
        <v>28</v>
      </c>
      <c r="S86" s="586">
        <v>0</v>
      </c>
      <c r="T86" s="586">
        <v>0</v>
      </c>
      <c r="U86" s="586">
        <v>0</v>
      </c>
      <c r="V86" s="586">
        <v>0</v>
      </c>
      <c r="W86" s="586">
        <v>0</v>
      </c>
      <c r="X86" s="586">
        <v>0</v>
      </c>
      <c r="Y86" s="586">
        <v>0</v>
      </c>
      <c r="Z86" s="586">
        <v>0</v>
      </c>
      <c r="AA86" s="586">
        <v>0</v>
      </c>
      <c r="AB86" s="586">
        <v>0</v>
      </c>
      <c r="AC86" s="586">
        <v>0</v>
      </c>
    </row>
    <row r="87" spans="1:29" ht="10.5">
      <c r="A87" s="586" t="s">
        <v>311</v>
      </c>
      <c r="B87" s="586">
        <v>40</v>
      </c>
      <c r="C87" s="586">
        <v>4</v>
      </c>
      <c r="D87" s="586">
        <v>12</v>
      </c>
      <c r="E87" s="586" t="s">
        <v>311</v>
      </c>
      <c r="F87" s="586" t="s">
        <v>251</v>
      </c>
      <c r="G87" s="586">
        <v>0</v>
      </c>
      <c r="H87" s="586">
        <v>0</v>
      </c>
      <c r="I87" s="586">
        <v>0</v>
      </c>
      <c r="J87" s="586">
        <v>4</v>
      </c>
      <c r="K87" s="586">
        <v>5</v>
      </c>
      <c r="L87" s="586">
        <v>6</v>
      </c>
      <c r="M87" s="586">
        <v>8</v>
      </c>
      <c r="N87" s="586">
        <v>9</v>
      </c>
      <c r="O87" s="586">
        <v>10</v>
      </c>
      <c r="P87" s="586">
        <v>13</v>
      </c>
      <c r="Q87" s="586">
        <v>15</v>
      </c>
      <c r="R87" s="586">
        <v>16</v>
      </c>
      <c r="S87" s="586">
        <v>0</v>
      </c>
      <c r="T87" s="586">
        <v>0</v>
      </c>
      <c r="U87" s="586">
        <v>0</v>
      </c>
      <c r="V87" s="586">
        <v>0</v>
      </c>
      <c r="W87" s="586">
        <v>0</v>
      </c>
      <c r="X87" s="586">
        <v>0</v>
      </c>
      <c r="Y87" s="586">
        <v>0</v>
      </c>
      <c r="Z87" s="586">
        <v>0</v>
      </c>
      <c r="AA87" s="586">
        <v>0</v>
      </c>
      <c r="AB87" s="586">
        <v>0</v>
      </c>
      <c r="AC87" s="586">
        <v>0</v>
      </c>
    </row>
    <row r="88" spans="1:29" ht="10.5">
      <c r="A88" s="586" t="s">
        <v>312</v>
      </c>
      <c r="B88" s="586">
        <v>32</v>
      </c>
      <c r="C88" s="586">
        <v>4</v>
      </c>
      <c r="D88" s="586">
        <v>11</v>
      </c>
      <c r="E88" s="586" t="s">
        <v>312</v>
      </c>
      <c r="F88" s="586" t="s">
        <v>229</v>
      </c>
      <c r="G88" s="586">
        <v>0</v>
      </c>
      <c r="H88" s="586">
        <v>0</v>
      </c>
      <c r="I88" s="586">
        <v>0</v>
      </c>
      <c r="J88" s="586">
        <v>4</v>
      </c>
      <c r="K88" s="586">
        <v>5</v>
      </c>
      <c r="L88" s="586">
        <v>6</v>
      </c>
      <c r="M88" s="586">
        <v>7</v>
      </c>
      <c r="N88" s="586">
        <v>10</v>
      </c>
      <c r="O88" s="586">
        <v>11</v>
      </c>
      <c r="P88" s="586">
        <v>14</v>
      </c>
      <c r="Q88" s="586">
        <v>17</v>
      </c>
      <c r="R88" s="586">
        <v>28</v>
      </c>
      <c r="S88" s="586">
        <v>0</v>
      </c>
      <c r="T88" s="586">
        <v>0</v>
      </c>
      <c r="U88" s="586">
        <v>0</v>
      </c>
      <c r="V88" s="586">
        <v>0</v>
      </c>
      <c r="W88" s="586">
        <v>0</v>
      </c>
      <c r="X88" s="586">
        <v>0</v>
      </c>
      <c r="Y88" s="586">
        <v>0</v>
      </c>
      <c r="Z88" s="586">
        <v>0</v>
      </c>
      <c r="AA88" s="586">
        <v>0</v>
      </c>
      <c r="AB88" s="586">
        <v>0</v>
      </c>
      <c r="AC88" s="586">
        <v>0</v>
      </c>
    </row>
    <row r="89" spans="1:29" ht="10.5">
      <c r="A89" s="586" t="s">
        <v>312</v>
      </c>
      <c r="B89" s="586">
        <v>40</v>
      </c>
      <c r="C89" s="586">
        <v>4</v>
      </c>
      <c r="D89" s="590">
        <v>12</v>
      </c>
      <c r="E89" s="586" t="s">
        <v>312</v>
      </c>
      <c r="F89" s="586" t="s">
        <v>255</v>
      </c>
      <c r="G89" s="586">
        <v>0</v>
      </c>
      <c r="H89" s="586">
        <v>0</v>
      </c>
      <c r="I89" s="586">
        <v>0</v>
      </c>
      <c r="J89" s="586">
        <v>4</v>
      </c>
      <c r="K89" s="586">
        <v>5</v>
      </c>
      <c r="L89" s="586">
        <v>6</v>
      </c>
      <c r="M89" s="586">
        <v>8</v>
      </c>
      <c r="N89" s="586">
        <v>9</v>
      </c>
      <c r="O89" s="586">
        <v>10</v>
      </c>
      <c r="P89" s="586">
        <v>13</v>
      </c>
      <c r="Q89" s="586">
        <v>15</v>
      </c>
      <c r="R89" s="586">
        <v>16</v>
      </c>
      <c r="S89" s="586">
        <v>0</v>
      </c>
      <c r="T89" s="586">
        <v>0</v>
      </c>
      <c r="U89" s="586">
        <v>0</v>
      </c>
      <c r="V89" s="586">
        <v>0</v>
      </c>
      <c r="W89" s="586">
        <v>0</v>
      </c>
      <c r="X89" s="586">
        <v>0</v>
      </c>
      <c r="Y89" s="586">
        <v>0</v>
      </c>
      <c r="Z89" s="586">
        <v>0</v>
      </c>
      <c r="AA89" s="586">
        <v>0</v>
      </c>
      <c r="AB89" s="586">
        <v>0</v>
      </c>
      <c r="AC89" s="586">
        <v>0</v>
      </c>
    </row>
    <row r="90" spans="1:29" ht="10.5">
      <c r="A90" s="586" t="s">
        <v>313</v>
      </c>
      <c r="B90" s="586">
        <v>52</v>
      </c>
      <c r="C90" s="586">
        <v>10</v>
      </c>
      <c r="D90" s="590">
        <v>12</v>
      </c>
      <c r="E90" s="586" t="s">
        <v>313</v>
      </c>
      <c r="F90" s="586" t="s">
        <v>273</v>
      </c>
      <c r="G90" s="586">
        <v>0</v>
      </c>
      <c r="H90" s="586">
        <v>0</v>
      </c>
      <c r="I90" s="586">
        <v>0</v>
      </c>
      <c r="J90" s="587">
        <v>4</v>
      </c>
      <c r="K90" s="587">
        <v>5</v>
      </c>
      <c r="L90" s="587">
        <v>6</v>
      </c>
      <c r="M90" s="587">
        <v>10</v>
      </c>
      <c r="N90" s="587">
        <v>11</v>
      </c>
      <c r="O90" s="587">
        <v>14</v>
      </c>
      <c r="P90" s="587">
        <v>15</v>
      </c>
      <c r="Q90" s="587">
        <v>28</v>
      </c>
      <c r="R90" s="586">
        <v>0</v>
      </c>
      <c r="S90" s="586">
        <v>0</v>
      </c>
      <c r="T90" s="586">
        <v>0</v>
      </c>
      <c r="U90" s="586">
        <v>0</v>
      </c>
      <c r="V90" s="586">
        <v>0</v>
      </c>
      <c r="W90" s="586">
        <v>0</v>
      </c>
      <c r="X90" s="586">
        <v>0</v>
      </c>
      <c r="Y90" s="586">
        <v>0</v>
      </c>
      <c r="Z90" s="586">
        <v>0</v>
      </c>
      <c r="AA90" s="586">
        <v>0</v>
      </c>
      <c r="AB90" s="586">
        <v>0</v>
      </c>
      <c r="AC90" s="586">
        <v>0</v>
      </c>
    </row>
    <row r="91" spans="1:29" ht="10.5">
      <c r="A91" s="586" t="s">
        <v>313</v>
      </c>
      <c r="B91" s="586">
        <v>45</v>
      </c>
      <c r="C91" s="586">
        <v>2</v>
      </c>
      <c r="D91" s="590">
        <v>12</v>
      </c>
      <c r="E91" s="586" t="s">
        <v>313</v>
      </c>
      <c r="F91" s="586" t="s">
        <v>253</v>
      </c>
      <c r="G91" s="586">
        <v>0</v>
      </c>
      <c r="H91" s="586">
        <v>0</v>
      </c>
      <c r="I91" s="586">
        <v>0</v>
      </c>
      <c r="J91" s="586">
        <v>4</v>
      </c>
      <c r="K91" s="586">
        <v>5</v>
      </c>
      <c r="L91" s="586">
        <v>6</v>
      </c>
      <c r="M91" s="586">
        <v>8</v>
      </c>
      <c r="N91" s="586">
        <v>9</v>
      </c>
      <c r="O91" s="586">
        <v>10</v>
      </c>
      <c r="P91" s="586">
        <v>13</v>
      </c>
      <c r="Q91" s="586">
        <v>15</v>
      </c>
      <c r="R91" s="586">
        <v>16</v>
      </c>
      <c r="S91" s="586">
        <v>0</v>
      </c>
      <c r="T91" s="586">
        <v>0</v>
      </c>
      <c r="U91" s="586">
        <v>0</v>
      </c>
      <c r="V91" s="586">
        <v>0</v>
      </c>
      <c r="W91" s="586">
        <v>0</v>
      </c>
      <c r="X91" s="586">
        <v>0</v>
      </c>
      <c r="Y91" s="586">
        <v>0</v>
      </c>
      <c r="Z91" s="586">
        <v>0</v>
      </c>
      <c r="AA91" s="586">
        <v>0</v>
      </c>
      <c r="AB91" s="586">
        <v>0</v>
      </c>
      <c r="AC91" s="586">
        <v>0</v>
      </c>
    </row>
    <row r="92" spans="1:29" ht="10.5">
      <c r="A92" s="586" t="s">
        <v>313</v>
      </c>
      <c r="B92" s="586">
        <v>33</v>
      </c>
      <c r="C92" s="586">
        <v>7</v>
      </c>
      <c r="D92" s="586">
        <v>11</v>
      </c>
      <c r="E92" s="586" t="s">
        <v>313</v>
      </c>
      <c r="F92" s="586" t="s">
        <v>231</v>
      </c>
      <c r="G92" s="586">
        <v>0</v>
      </c>
      <c r="H92" s="586">
        <v>0</v>
      </c>
      <c r="I92" s="586">
        <v>0</v>
      </c>
      <c r="J92" s="586">
        <v>4</v>
      </c>
      <c r="K92" s="586">
        <v>5</v>
      </c>
      <c r="L92" s="586">
        <v>6</v>
      </c>
      <c r="M92" s="586">
        <v>7</v>
      </c>
      <c r="N92" s="586">
        <v>10</v>
      </c>
      <c r="O92" s="586">
        <v>11</v>
      </c>
      <c r="P92" s="586">
        <v>14</v>
      </c>
      <c r="Q92" s="586">
        <v>17</v>
      </c>
      <c r="R92" s="586">
        <v>28</v>
      </c>
      <c r="S92" s="586">
        <v>0</v>
      </c>
      <c r="T92" s="586">
        <v>0</v>
      </c>
      <c r="U92" s="586">
        <v>0</v>
      </c>
      <c r="V92" s="586">
        <v>0</v>
      </c>
      <c r="W92" s="586">
        <v>0</v>
      </c>
      <c r="X92" s="586">
        <v>0</v>
      </c>
      <c r="Y92" s="586">
        <v>0</v>
      </c>
      <c r="Z92" s="586">
        <v>0</v>
      </c>
      <c r="AA92" s="586">
        <v>0</v>
      </c>
      <c r="AB92" s="586">
        <v>0</v>
      </c>
      <c r="AC92" s="586">
        <v>0</v>
      </c>
    </row>
    <row r="93" spans="1:29" s="588" customFormat="1" ht="10.5">
      <c r="A93" s="586" t="s">
        <v>313</v>
      </c>
      <c r="B93" s="586">
        <v>67</v>
      </c>
      <c r="C93" s="586">
        <v>8</v>
      </c>
      <c r="D93" s="586">
        <v>11</v>
      </c>
      <c r="E93" s="586" t="s">
        <v>313</v>
      </c>
      <c r="F93" s="587" t="s">
        <v>299</v>
      </c>
      <c r="G93" s="586">
        <v>0</v>
      </c>
      <c r="H93" s="586">
        <v>0</v>
      </c>
      <c r="I93" s="586">
        <v>0</v>
      </c>
      <c r="J93" s="586">
        <v>4</v>
      </c>
      <c r="K93" s="586">
        <v>5</v>
      </c>
      <c r="L93" s="586">
        <v>6</v>
      </c>
      <c r="M93" s="586">
        <v>10</v>
      </c>
      <c r="N93" s="586">
        <v>11</v>
      </c>
      <c r="O93" s="586">
        <v>14</v>
      </c>
      <c r="P93" s="586">
        <v>16</v>
      </c>
      <c r="Q93" s="586">
        <v>28</v>
      </c>
      <c r="R93" s="586">
        <v>0</v>
      </c>
      <c r="S93" s="586">
        <v>0</v>
      </c>
      <c r="T93" s="586">
        <v>0</v>
      </c>
      <c r="U93" s="586">
        <v>0</v>
      </c>
      <c r="V93" s="586">
        <v>0</v>
      </c>
      <c r="W93" s="586">
        <v>0</v>
      </c>
      <c r="X93" s="586">
        <v>0</v>
      </c>
      <c r="Y93" s="586">
        <v>0</v>
      </c>
      <c r="Z93" s="586">
        <v>0</v>
      </c>
      <c r="AA93" s="586">
        <v>0</v>
      </c>
      <c r="AB93" s="586">
        <v>0</v>
      </c>
      <c r="AC93" s="586">
        <v>0</v>
      </c>
    </row>
    <row r="94" spans="1:29" ht="10.5">
      <c r="A94" s="586" t="s">
        <v>314</v>
      </c>
      <c r="B94" s="586">
        <v>52</v>
      </c>
      <c r="C94" s="586">
        <v>10</v>
      </c>
      <c r="D94" s="590">
        <v>12</v>
      </c>
      <c r="E94" s="586" t="s">
        <v>314</v>
      </c>
      <c r="F94" s="586" t="s">
        <v>279</v>
      </c>
      <c r="G94" s="586">
        <v>0</v>
      </c>
      <c r="H94" s="586">
        <v>0</v>
      </c>
      <c r="I94" s="586">
        <v>0</v>
      </c>
      <c r="J94" s="587">
        <v>4</v>
      </c>
      <c r="K94" s="587">
        <v>5</v>
      </c>
      <c r="L94" s="587">
        <v>6</v>
      </c>
      <c r="M94" s="587">
        <v>10</v>
      </c>
      <c r="N94" s="587">
        <v>11</v>
      </c>
      <c r="O94" s="587">
        <v>14</v>
      </c>
      <c r="P94" s="587">
        <v>15</v>
      </c>
      <c r="Q94" s="587">
        <v>28</v>
      </c>
      <c r="R94" s="586">
        <v>0</v>
      </c>
      <c r="S94" s="586">
        <v>0</v>
      </c>
      <c r="T94" s="586">
        <v>0</v>
      </c>
      <c r="U94" s="586">
        <v>0</v>
      </c>
      <c r="V94" s="586">
        <v>0</v>
      </c>
      <c r="W94" s="586">
        <v>0</v>
      </c>
      <c r="X94" s="586">
        <v>0</v>
      </c>
      <c r="Y94" s="586">
        <v>0</v>
      </c>
      <c r="Z94" s="586">
        <v>0</v>
      </c>
      <c r="AA94" s="586">
        <v>0</v>
      </c>
      <c r="AB94" s="586">
        <v>0</v>
      </c>
      <c r="AC94" s="586">
        <v>0</v>
      </c>
    </row>
    <row r="95" spans="1:29" ht="10.5">
      <c r="A95" s="586" t="s">
        <v>314</v>
      </c>
      <c r="B95" s="586">
        <v>45</v>
      </c>
      <c r="C95" s="586">
        <v>2</v>
      </c>
      <c r="D95" s="590">
        <v>12</v>
      </c>
      <c r="E95" s="586" t="s">
        <v>314</v>
      </c>
      <c r="F95" s="586" t="s">
        <v>241</v>
      </c>
      <c r="G95" s="586">
        <v>0</v>
      </c>
      <c r="H95" s="586">
        <v>0</v>
      </c>
      <c r="I95" s="586">
        <v>0</v>
      </c>
      <c r="J95" s="586">
        <v>4</v>
      </c>
      <c r="K95" s="586">
        <v>5</v>
      </c>
      <c r="L95" s="586">
        <v>6</v>
      </c>
      <c r="M95" s="586">
        <v>8</v>
      </c>
      <c r="N95" s="586">
        <v>9</v>
      </c>
      <c r="O95" s="586">
        <v>10</v>
      </c>
      <c r="P95" s="586">
        <v>13</v>
      </c>
      <c r="Q95" s="586">
        <v>15</v>
      </c>
      <c r="R95" s="586">
        <v>16</v>
      </c>
      <c r="S95" s="586">
        <v>0</v>
      </c>
      <c r="T95" s="586">
        <v>0</v>
      </c>
      <c r="U95" s="586">
        <v>0</v>
      </c>
      <c r="V95" s="586">
        <v>0</v>
      </c>
      <c r="W95" s="586">
        <v>0</v>
      </c>
      <c r="X95" s="586">
        <v>0</v>
      </c>
      <c r="Y95" s="586">
        <v>0</v>
      </c>
      <c r="Z95" s="586">
        <v>0</v>
      </c>
      <c r="AA95" s="586">
        <v>0</v>
      </c>
      <c r="AB95" s="586">
        <v>0</v>
      </c>
      <c r="AC95" s="586">
        <v>0</v>
      </c>
    </row>
    <row r="96" spans="1:29" ht="10.5">
      <c r="A96" s="586" t="s">
        <v>314</v>
      </c>
      <c r="B96" s="586">
        <v>33</v>
      </c>
      <c r="C96" s="586">
        <v>7</v>
      </c>
      <c r="D96" s="586">
        <v>11</v>
      </c>
      <c r="E96" s="586" t="s">
        <v>314</v>
      </c>
      <c r="F96" s="586" t="s">
        <v>217</v>
      </c>
      <c r="G96" s="586">
        <v>0</v>
      </c>
      <c r="H96" s="586">
        <v>0</v>
      </c>
      <c r="I96" s="586">
        <v>0</v>
      </c>
      <c r="J96" s="586">
        <v>4</v>
      </c>
      <c r="K96" s="586">
        <v>5</v>
      </c>
      <c r="L96" s="586">
        <v>6</v>
      </c>
      <c r="M96" s="586">
        <v>7</v>
      </c>
      <c r="N96" s="586">
        <v>10</v>
      </c>
      <c r="O96" s="586">
        <v>11</v>
      </c>
      <c r="P96" s="586">
        <v>14</v>
      </c>
      <c r="Q96" s="586">
        <v>17</v>
      </c>
      <c r="R96" s="586">
        <v>28</v>
      </c>
      <c r="S96" s="586">
        <v>0</v>
      </c>
      <c r="T96" s="586">
        <v>0</v>
      </c>
      <c r="U96" s="586">
        <v>0</v>
      </c>
      <c r="V96" s="586">
        <v>0</v>
      </c>
      <c r="W96" s="586">
        <v>0</v>
      </c>
      <c r="X96" s="586">
        <v>0</v>
      </c>
      <c r="Y96" s="586">
        <v>0</v>
      </c>
      <c r="Z96" s="586">
        <v>0</v>
      </c>
      <c r="AA96" s="586">
        <v>0</v>
      </c>
      <c r="AB96" s="586">
        <v>0</v>
      </c>
      <c r="AC96" s="586">
        <v>0</v>
      </c>
    </row>
    <row r="97" spans="1:29" s="588" customFormat="1" ht="10.5">
      <c r="A97" s="586" t="s">
        <v>314</v>
      </c>
      <c r="B97" s="586">
        <v>67</v>
      </c>
      <c r="C97" s="586">
        <v>8</v>
      </c>
      <c r="D97" s="586">
        <v>11</v>
      </c>
      <c r="E97" s="586" t="s">
        <v>314</v>
      </c>
      <c r="F97" s="587" t="s">
        <v>295</v>
      </c>
      <c r="G97" s="586">
        <v>0</v>
      </c>
      <c r="H97" s="586">
        <v>0</v>
      </c>
      <c r="I97" s="586">
        <v>0</v>
      </c>
      <c r="J97" s="586">
        <v>4</v>
      </c>
      <c r="K97" s="586">
        <v>5</v>
      </c>
      <c r="L97" s="586">
        <v>6</v>
      </c>
      <c r="M97" s="586">
        <v>10</v>
      </c>
      <c r="N97" s="586">
        <v>11</v>
      </c>
      <c r="O97" s="586">
        <v>14</v>
      </c>
      <c r="P97" s="586">
        <v>16</v>
      </c>
      <c r="Q97" s="586">
        <v>28</v>
      </c>
      <c r="R97" s="586">
        <v>0</v>
      </c>
      <c r="S97" s="586">
        <v>0</v>
      </c>
      <c r="T97" s="586">
        <v>0</v>
      </c>
      <c r="U97" s="586">
        <v>0</v>
      </c>
      <c r="V97" s="586">
        <v>0</v>
      </c>
      <c r="W97" s="586">
        <v>0</v>
      </c>
      <c r="X97" s="586">
        <v>0</v>
      </c>
      <c r="Y97" s="586">
        <v>0</v>
      </c>
      <c r="Z97" s="586">
        <v>0</v>
      </c>
      <c r="AA97" s="586">
        <v>0</v>
      </c>
      <c r="AB97" s="586">
        <v>0</v>
      </c>
      <c r="AC97" s="586">
        <v>0</v>
      </c>
    </row>
    <row r="98" spans="1:29" ht="10.5">
      <c r="A98" s="586" t="s">
        <v>315</v>
      </c>
      <c r="B98" s="586">
        <v>32</v>
      </c>
      <c r="C98" s="586">
        <v>4</v>
      </c>
      <c r="D98" s="586">
        <v>11</v>
      </c>
      <c r="E98" s="586" t="s">
        <v>315</v>
      </c>
      <c r="F98" s="586" t="s">
        <v>233</v>
      </c>
      <c r="G98" s="586">
        <v>0</v>
      </c>
      <c r="H98" s="586">
        <v>0</v>
      </c>
      <c r="I98" s="586">
        <v>0</v>
      </c>
      <c r="J98" s="586">
        <v>4</v>
      </c>
      <c r="K98" s="586">
        <v>5</v>
      </c>
      <c r="L98" s="586">
        <v>6</v>
      </c>
      <c r="M98" s="586">
        <v>7</v>
      </c>
      <c r="N98" s="586">
        <v>10</v>
      </c>
      <c r="O98" s="586">
        <v>11</v>
      </c>
      <c r="P98" s="586">
        <v>14</v>
      </c>
      <c r="Q98" s="586">
        <v>17</v>
      </c>
      <c r="R98" s="586">
        <v>28</v>
      </c>
      <c r="S98" s="586">
        <v>0</v>
      </c>
      <c r="T98" s="586">
        <v>0</v>
      </c>
      <c r="U98" s="586">
        <v>0</v>
      </c>
      <c r="V98" s="586">
        <v>0</v>
      </c>
      <c r="W98" s="586">
        <v>0</v>
      </c>
      <c r="X98" s="586">
        <v>0</v>
      </c>
      <c r="Y98" s="586">
        <v>0</v>
      </c>
      <c r="Z98" s="586">
        <v>0</v>
      </c>
      <c r="AA98" s="586">
        <v>0</v>
      </c>
      <c r="AB98" s="586">
        <v>0</v>
      </c>
      <c r="AC98" s="586">
        <v>0</v>
      </c>
    </row>
    <row r="99" spans="1:29" ht="10.5">
      <c r="A99" s="586" t="s">
        <v>316</v>
      </c>
      <c r="B99" s="586">
        <v>40</v>
      </c>
      <c r="C99" s="586">
        <v>4</v>
      </c>
      <c r="D99" s="586">
        <v>12</v>
      </c>
      <c r="E99" s="586" t="s">
        <v>316</v>
      </c>
      <c r="F99" s="586" t="s">
        <v>257</v>
      </c>
      <c r="G99" s="586">
        <v>0</v>
      </c>
      <c r="H99" s="586">
        <v>0</v>
      </c>
      <c r="I99" s="586">
        <v>0</v>
      </c>
      <c r="J99" s="586">
        <v>4</v>
      </c>
      <c r="K99" s="586">
        <v>5</v>
      </c>
      <c r="L99" s="586">
        <v>6</v>
      </c>
      <c r="M99" s="586">
        <v>8</v>
      </c>
      <c r="N99" s="586">
        <v>9</v>
      </c>
      <c r="O99" s="586">
        <v>10</v>
      </c>
      <c r="P99" s="586">
        <v>13</v>
      </c>
      <c r="Q99" s="586">
        <v>15</v>
      </c>
      <c r="R99" s="586">
        <v>16</v>
      </c>
      <c r="S99" s="586">
        <v>0</v>
      </c>
      <c r="T99" s="586">
        <v>0</v>
      </c>
      <c r="U99" s="586">
        <v>0</v>
      </c>
      <c r="V99" s="586">
        <v>0</v>
      </c>
      <c r="W99" s="586">
        <v>0</v>
      </c>
      <c r="X99" s="586">
        <v>0</v>
      </c>
      <c r="Y99" s="586">
        <v>0</v>
      </c>
      <c r="Z99" s="586">
        <v>0</v>
      </c>
      <c r="AA99" s="586">
        <v>0</v>
      </c>
      <c r="AB99" s="586">
        <v>0</v>
      </c>
      <c r="AC99" s="586">
        <v>0</v>
      </c>
    </row>
    <row r="100" spans="1:29" ht="10.5">
      <c r="A100" s="586" t="s">
        <v>317</v>
      </c>
      <c r="B100" s="586">
        <v>19</v>
      </c>
      <c r="C100" s="586">
        <v>24</v>
      </c>
      <c r="D100" s="590">
        <v>4</v>
      </c>
      <c r="E100" s="586" t="str">
        <f>"CAUSAS-VST-"&amp;$G$14</f>
        <v>CAUSAS-VST-12</v>
      </c>
      <c r="F100" s="586" t="s">
        <v>318</v>
      </c>
      <c r="G100" s="586">
        <v>3</v>
      </c>
      <c r="H100" s="586">
        <v>4</v>
      </c>
      <c r="I100" s="586">
        <v>5</v>
      </c>
      <c r="J100" s="586">
        <v>6</v>
      </c>
      <c r="K100" s="586">
        <v>7</v>
      </c>
      <c r="L100" s="586">
        <v>0</v>
      </c>
      <c r="M100" s="586">
        <v>0</v>
      </c>
      <c r="N100" s="586">
        <v>0</v>
      </c>
      <c r="O100" s="586">
        <v>0</v>
      </c>
      <c r="P100" s="586">
        <v>0</v>
      </c>
      <c r="Q100" s="586">
        <v>0</v>
      </c>
      <c r="R100" s="586">
        <v>0</v>
      </c>
      <c r="S100" s="586">
        <v>0</v>
      </c>
      <c r="T100" s="586">
        <v>0</v>
      </c>
      <c r="U100" s="586">
        <v>0</v>
      </c>
      <c r="V100" s="586">
        <v>0</v>
      </c>
      <c r="W100" s="586">
        <v>999</v>
      </c>
      <c r="X100" s="586">
        <v>999</v>
      </c>
      <c r="Y100" s="586">
        <v>0</v>
      </c>
      <c r="Z100" s="586">
        <v>0</v>
      </c>
      <c r="AA100" s="586">
        <v>0</v>
      </c>
      <c r="AB100" s="586">
        <v>0</v>
      </c>
      <c r="AC100" s="586">
        <v>0</v>
      </c>
    </row>
    <row r="101" spans="1:29" ht="10.5">
      <c r="A101" s="591"/>
      <c r="B101" s="591">
        <v>30</v>
      </c>
      <c r="C101" s="591">
        <v>10</v>
      </c>
      <c r="D101" s="592">
        <v>11</v>
      </c>
      <c r="E101" s="591" t="s">
        <v>319</v>
      </c>
      <c r="F101" s="593" t="s">
        <v>320</v>
      </c>
      <c r="G101" s="591">
        <v>3</v>
      </c>
      <c r="H101" s="591">
        <v>5</v>
      </c>
      <c r="I101" s="593">
        <v>0</v>
      </c>
      <c r="J101" s="593">
        <v>4</v>
      </c>
      <c r="K101" s="593">
        <v>5</v>
      </c>
      <c r="L101" s="593">
        <v>6</v>
      </c>
      <c r="M101" s="593">
        <v>8</v>
      </c>
      <c r="N101" s="593">
        <v>9</v>
      </c>
      <c r="O101" s="593">
        <v>10</v>
      </c>
      <c r="P101" s="593">
        <v>13</v>
      </c>
      <c r="Q101" s="593">
        <v>15</v>
      </c>
      <c r="R101" s="593">
        <v>16</v>
      </c>
      <c r="S101" s="593">
        <v>0</v>
      </c>
      <c r="T101" s="593">
        <v>0</v>
      </c>
      <c r="U101" s="593">
        <v>0</v>
      </c>
      <c r="V101" s="593">
        <v>0</v>
      </c>
      <c r="W101" s="591">
        <v>0</v>
      </c>
      <c r="X101" s="591">
        <v>0</v>
      </c>
      <c r="Y101" s="591">
        <v>0</v>
      </c>
      <c r="Z101" s="591">
        <v>0</v>
      </c>
      <c r="AA101" s="591">
        <v>0</v>
      </c>
      <c r="AB101" s="591">
        <v>0</v>
      </c>
      <c r="AC101" s="591">
        <v>0</v>
      </c>
    </row>
    <row r="104" spans="6:9" ht="12.75">
      <c r="F104" s="594"/>
      <c r="G104" s="594"/>
      <c r="H104" s="594"/>
      <c r="I104" s="594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="65" zoomScaleNormal="65" zoomScalePageLayoutView="0" workbookViewId="0" topLeftCell="A1">
      <selection activeCell="F55" sqref="F5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9.8515625" style="0" customWidth="1"/>
    <col min="5" max="5" width="45.7109375" style="0" customWidth="1"/>
    <col min="6" max="7" width="9.7109375" style="0" customWidth="1"/>
    <col min="8" max="8" width="3.7109375" style="0" customWidth="1"/>
    <col min="9" max="9" width="4.421875" style="0" hidden="1" customWidth="1"/>
    <col min="10" max="10" width="8.421875" style="0" hidden="1" customWidth="1"/>
    <col min="11" max="12" width="15.7109375" style="0" customWidth="1"/>
    <col min="13" max="15" width="9.7109375" style="0" customWidth="1"/>
    <col min="16" max="16" width="8.7109375" style="0" customWidth="1"/>
    <col min="17" max="17" width="5.421875" style="0" customWidth="1"/>
    <col min="18" max="18" width="5.8515625" style="0" customWidth="1"/>
    <col min="19" max="20" width="12.28125" style="0" hidden="1" customWidth="1"/>
    <col min="21" max="21" width="6.421875" style="0" hidden="1" customWidth="1"/>
    <col min="22" max="22" width="18.00390625" style="0" hidden="1" customWidth="1"/>
    <col min="23" max="26" width="5.7109375" style="0" hidden="1" customWidth="1"/>
    <col min="27" max="27" width="12.28125" style="0" hidden="1" customWidth="1"/>
    <col min="28" max="28" width="13.421875" style="0" hidden="1" customWidth="1"/>
    <col min="29" max="29" width="9.7109375" style="0" customWidth="1"/>
    <col min="30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2669" customFormat="1" ht="26.25">
      <c r="A1"/>
      <c r="C1"/>
      <c r="D1"/>
      <c r="F1"/>
      <c r="H1"/>
      <c r="J1"/>
      <c r="L1"/>
      <c r="N1"/>
      <c r="P1"/>
      <c r="R1"/>
      <c r="T1"/>
      <c r="V1"/>
      <c r="X1"/>
      <c r="Z1"/>
      <c r="AE1" s="2670"/>
    </row>
    <row r="2" spans="1:31" s="2669" customFormat="1" ht="26.25">
      <c r="A2" s="2671"/>
      <c r="B2" s="2672" t="str">
        <f>+'TOT-1215'!B2</f>
        <v>ANEXO I al Memorándum D.T.E.E. N°  231  / 2017</v>
      </c>
      <c r="C2" s="2672"/>
      <c r="D2" s="2672"/>
      <c r="E2" s="2672"/>
      <c r="F2" s="2672"/>
      <c r="G2" s="2672"/>
      <c r="H2" s="2672"/>
      <c r="I2" s="2672"/>
      <c r="J2" s="2672"/>
      <c r="K2" s="2672"/>
      <c r="L2" s="2672"/>
      <c r="M2" s="2672"/>
      <c r="N2" s="2672"/>
      <c r="O2" s="2672"/>
      <c r="P2" s="2672"/>
      <c r="Q2" s="2672"/>
      <c r="R2" s="2672"/>
      <c r="S2" s="2672"/>
      <c r="T2" s="2672"/>
      <c r="U2" s="2672"/>
      <c r="V2" s="2672"/>
      <c r="W2" s="2672"/>
      <c r="X2" s="2672"/>
      <c r="Y2" s="2672"/>
      <c r="Z2" s="2672"/>
      <c r="AA2" s="2672"/>
      <c r="AB2" s="2672"/>
      <c r="AC2" s="2672"/>
      <c r="AD2" s="2672"/>
      <c r="AE2" s="2672"/>
    </row>
    <row r="3" s="2674" customFormat="1" ht="12.75">
      <c r="A3" s="2673"/>
    </row>
    <row r="4" spans="1:2" s="2677" customFormat="1" ht="11.25">
      <c r="A4" s="2675" t="s">
        <v>2</v>
      </c>
      <c r="B4" s="2676"/>
    </row>
    <row r="5" spans="1:2" s="2677" customFormat="1" ht="11.25">
      <c r="A5" s="2675" t="s">
        <v>3</v>
      </c>
      <c r="B5" s="2676"/>
    </row>
    <row r="6" spans="1:2" s="2677" customFormat="1" ht="11.25">
      <c r="A6" s="2675"/>
      <c r="B6" s="2676"/>
    </row>
    <row r="7" spans="1:2" s="2677" customFormat="1" ht="11.25">
      <c r="A7" s="2675"/>
      <c r="B7" s="2676"/>
    </row>
    <row r="8" spans="1:2" s="2677" customFormat="1" ht="11.25">
      <c r="A8" s="2675"/>
      <c r="B8" s="2676"/>
    </row>
    <row r="9" spans="1:2" s="2677" customFormat="1" ht="11.25">
      <c r="A9" s="2675"/>
      <c r="B9" s="2676"/>
    </row>
    <row r="10" s="2674" customFormat="1" ht="13.5" thickBot="1"/>
    <row r="11" spans="2:31" s="2674" customFormat="1" ht="13.5" thickTop="1">
      <c r="B11" s="2678"/>
      <c r="C11" s="2679"/>
      <c r="D11" s="2679"/>
      <c r="E11" s="2679"/>
      <c r="F11" s="2680"/>
      <c r="G11" s="2679"/>
      <c r="H11" s="2679"/>
      <c r="I11" s="2679"/>
      <c r="J11" s="2679"/>
      <c r="K11" s="2679"/>
      <c r="L11" s="2679"/>
      <c r="M11" s="2679"/>
      <c r="N11" s="2679"/>
      <c r="O11" s="2679"/>
      <c r="P11" s="2679"/>
      <c r="Q11" s="2679"/>
      <c r="R11" s="2679"/>
      <c r="S11" s="2679"/>
      <c r="T11" s="2679"/>
      <c r="U11" s="2679"/>
      <c r="V11" s="2679"/>
      <c r="W11" s="2679"/>
      <c r="X11" s="2679"/>
      <c r="Y11" s="2679"/>
      <c r="Z11" s="2679"/>
      <c r="AA11" s="2679"/>
      <c r="AB11" s="2679"/>
      <c r="AC11" s="2679"/>
      <c r="AD11" s="2679"/>
      <c r="AE11" s="2681"/>
    </row>
    <row r="12" spans="2:31" s="2682" customFormat="1" ht="20.25">
      <c r="B12" s="2683"/>
      <c r="C12" s="2684"/>
      <c r="D12" s="2684"/>
      <c r="E12" s="2685" t="s">
        <v>20</v>
      </c>
      <c r="F12" s="2684"/>
      <c r="G12" s="2684"/>
      <c r="H12" s="2684"/>
      <c r="I12" s="2684"/>
      <c r="O12" s="2684"/>
      <c r="P12" s="2684"/>
      <c r="Q12" s="2686"/>
      <c r="R12" s="2686"/>
      <c r="S12" s="2684"/>
      <c r="T12" s="2684"/>
      <c r="U12" s="2684"/>
      <c r="V12" s="2684"/>
      <c r="W12" s="2684"/>
      <c r="X12" s="2684"/>
      <c r="Y12" s="2684"/>
      <c r="Z12" s="2684"/>
      <c r="AA12" s="2684"/>
      <c r="AB12" s="2684"/>
      <c r="AC12" s="2684"/>
      <c r="AD12" s="2684"/>
      <c r="AE12" s="2687"/>
    </row>
    <row r="13" spans="2:31" s="2674" customFormat="1" ht="12.75">
      <c r="B13" s="2688"/>
      <c r="C13" s="2689"/>
      <c r="D13" s="2689"/>
      <c r="E13" s="2689"/>
      <c r="F13" s="2689"/>
      <c r="G13" s="2689"/>
      <c r="H13" s="2689"/>
      <c r="I13" s="2689"/>
      <c r="J13" s="2689"/>
      <c r="K13" s="2689"/>
      <c r="L13" s="2689"/>
      <c r="M13" s="2689"/>
      <c r="N13" s="2689"/>
      <c r="O13" s="2689"/>
      <c r="P13" s="2689"/>
      <c r="Q13" s="2689"/>
      <c r="R13" s="2689"/>
      <c r="S13" s="2689"/>
      <c r="T13" s="2689"/>
      <c r="U13" s="2689"/>
      <c r="V13" s="2689"/>
      <c r="W13" s="2689"/>
      <c r="X13" s="2689"/>
      <c r="Y13" s="2689"/>
      <c r="Z13" s="2689"/>
      <c r="AA13" s="2689"/>
      <c r="AB13" s="2689"/>
      <c r="AC13" s="2689"/>
      <c r="AD13" s="2689"/>
      <c r="AE13" s="2690"/>
    </row>
    <row r="14" spans="2:31" s="2682" customFormat="1" ht="20.25">
      <c r="B14" s="2683"/>
      <c r="C14" s="2684"/>
      <c r="D14" s="2684"/>
      <c r="E14" s="2686" t="s">
        <v>21</v>
      </c>
      <c r="F14" s="2684"/>
      <c r="G14" s="2684"/>
      <c r="H14" s="2684"/>
      <c r="I14" s="2684"/>
      <c r="J14" s="2684"/>
      <c r="K14" s="2684"/>
      <c r="L14" s="2684"/>
      <c r="M14" s="2684"/>
      <c r="N14" s="2684"/>
      <c r="O14" s="2684"/>
      <c r="P14" s="2684"/>
      <c r="Q14" s="2684"/>
      <c r="R14" s="2684"/>
      <c r="S14" s="2684"/>
      <c r="T14" s="2684"/>
      <c r="U14" s="2684"/>
      <c r="V14" s="2684"/>
      <c r="W14" s="2684"/>
      <c r="X14" s="2684"/>
      <c r="Y14" s="2684"/>
      <c r="Z14" s="2684"/>
      <c r="AA14" s="2684"/>
      <c r="AB14" s="2684"/>
      <c r="AC14" s="2684"/>
      <c r="AD14" s="2684"/>
      <c r="AE14" s="2687"/>
    </row>
    <row r="15" spans="2:31" s="2674" customFormat="1" ht="12.75">
      <c r="B15" s="2688"/>
      <c r="C15" s="2689"/>
      <c r="D15" s="2689"/>
      <c r="E15" s="2689"/>
      <c r="F15" s="2689"/>
      <c r="G15" s="2689"/>
      <c r="H15" s="2689"/>
      <c r="I15" s="2689"/>
      <c r="J15" s="2689"/>
      <c r="K15" s="2689"/>
      <c r="L15" s="2689"/>
      <c r="M15" s="2689"/>
      <c r="N15" s="2689"/>
      <c r="O15" s="2689"/>
      <c r="P15" s="2689"/>
      <c r="Q15" s="2689"/>
      <c r="R15" s="2689"/>
      <c r="S15" s="2689"/>
      <c r="T15" s="2689"/>
      <c r="U15" s="2689"/>
      <c r="V15" s="2689"/>
      <c r="W15" s="2689"/>
      <c r="X15" s="2689"/>
      <c r="Y15" s="2689"/>
      <c r="Z15" s="2689"/>
      <c r="AA15" s="2689"/>
      <c r="AB15" s="2689"/>
      <c r="AC15" s="2689"/>
      <c r="AD15" s="2689"/>
      <c r="AE15" s="2690"/>
    </row>
    <row r="16" spans="2:31" s="2682" customFormat="1" ht="20.25">
      <c r="B16" s="2683"/>
      <c r="C16" s="2684"/>
      <c r="D16" s="2684"/>
      <c r="E16" s="2686" t="s">
        <v>481</v>
      </c>
      <c r="F16" s="2684"/>
      <c r="G16" s="2684"/>
      <c r="H16" s="2684"/>
      <c r="J16" s="2684"/>
      <c r="K16" s="2684"/>
      <c r="L16" s="2684"/>
      <c r="M16" s="2684"/>
      <c r="N16" s="2684"/>
      <c r="O16" s="2684"/>
      <c r="P16" s="2684"/>
      <c r="Q16" s="2686"/>
      <c r="R16" s="2686"/>
      <c r="S16" s="2684"/>
      <c r="T16" s="2684"/>
      <c r="U16" s="2684"/>
      <c r="V16" s="2684"/>
      <c r="W16" s="2684"/>
      <c r="X16" s="2684"/>
      <c r="Y16" s="2684"/>
      <c r="Z16" s="2684"/>
      <c r="AA16" s="2684"/>
      <c r="AB16" s="2684"/>
      <c r="AC16" s="2684"/>
      <c r="AD16" s="2684"/>
      <c r="AE16" s="2687"/>
    </row>
    <row r="17" spans="2:31" s="2674" customFormat="1" ht="12.75">
      <c r="B17" s="2688"/>
      <c r="C17" s="2689"/>
      <c r="D17" s="2689"/>
      <c r="E17" s="2689"/>
      <c r="I17" s="2691"/>
      <c r="J17" s="2691"/>
      <c r="K17" s="2691"/>
      <c r="L17" s="2691"/>
      <c r="M17" s="2691"/>
      <c r="N17" s="2691"/>
      <c r="O17" s="2691"/>
      <c r="P17" s="2691"/>
      <c r="Q17" s="2691"/>
      <c r="R17" s="2691"/>
      <c r="S17" s="2689"/>
      <c r="T17" s="2689"/>
      <c r="U17" s="2689"/>
      <c r="V17" s="2689"/>
      <c r="W17" s="2689"/>
      <c r="X17" s="2689"/>
      <c r="Y17" s="2689"/>
      <c r="Z17" s="2689"/>
      <c r="AA17" s="2689"/>
      <c r="AB17" s="2689"/>
      <c r="AC17" s="2689"/>
      <c r="AD17" s="2689"/>
      <c r="AE17" s="2690"/>
    </row>
    <row r="18" spans="2:31" s="2696" customFormat="1" ht="19.5">
      <c r="B18" s="2692" t="str">
        <f>+'TOT-1215'!B14</f>
        <v>Desde el 01 al 31 de diciembre de 2015</v>
      </c>
      <c r="C18" s="2693"/>
      <c r="D18" s="2693"/>
      <c r="E18" s="2693"/>
      <c r="F18" s="2693"/>
      <c r="G18" s="2693"/>
      <c r="H18" s="2693"/>
      <c r="I18" s="2693"/>
      <c r="J18" s="2693"/>
      <c r="K18" s="2693"/>
      <c r="L18" s="2693"/>
      <c r="M18" s="2693"/>
      <c r="N18" s="2693"/>
      <c r="O18" s="2694"/>
      <c r="P18" s="2694"/>
      <c r="Q18" s="2693"/>
      <c r="R18" s="2693"/>
      <c r="S18" s="2693"/>
      <c r="T18" s="2693"/>
      <c r="U18" s="2693"/>
      <c r="V18" s="2693"/>
      <c r="W18" s="2693"/>
      <c r="X18" s="2693"/>
      <c r="Y18" s="2693"/>
      <c r="Z18" s="2693"/>
      <c r="AA18" s="2693"/>
      <c r="AB18" s="2693"/>
      <c r="AC18" s="2693"/>
      <c r="AD18" s="2693"/>
      <c r="AE18" s="2695"/>
    </row>
    <row r="19" spans="2:31" s="2674" customFormat="1" ht="16.5" customHeight="1" thickBot="1">
      <c r="B19" s="2688"/>
      <c r="C19" s="2689"/>
      <c r="D19" s="2689"/>
      <c r="E19" s="2689"/>
      <c r="F19" s="2697"/>
      <c r="G19" s="2697"/>
      <c r="H19" s="2689"/>
      <c r="I19" s="2689"/>
      <c r="J19" s="2689"/>
      <c r="K19" s="2698"/>
      <c r="L19" s="2689"/>
      <c r="M19" s="2689"/>
      <c r="N19" s="2689"/>
      <c r="Q19" s="2689"/>
      <c r="R19" s="2689"/>
      <c r="S19" s="2689"/>
      <c r="T19" s="2689"/>
      <c r="U19" s="2689"/>
      <c r="V19" s="2689"/>
      <c r="W19" s="2689"/>
      <c r="X19" s="2689"/>
      <c r="Y19" s="2689"/>
      <c r="Z19" s="2689"/>
      <c r="AA19" s="2689"/>
      <c r="AB19" s="2689"/>
      <c r="AC19" s="2689"/>
      <c r="AD19" s="2689"/>
      <c r="AE19" s="2690"/>
    </row>
    <row r="20" spans="2:31" s="2674" customFormat="1" ht="16.5" customHeight="1" thickBot="1" thickTop="1">
      <c r="B20" s="2688"/>
      <c r="C20" s="2689"/>
      <c r="D20" s="2689"/>
      <c r="E20" s="2699" t="s">
        <v>23</v>
      </c>
      <c r="F20" s="2700">
        <v>506.119</v>
      </c>
      <c r="G20" s="2701"/>
      <c r="H20" s="2689"/>
      <c r="I20" s="2689"/>
      <c r="J20" s="2689"/>
      <c r="K20" s="2689"/>
      <c r="L20" s="2689"/>
      <c r="M20" s="2689"/>
      <c r="N20" s="2689"/>
      <c r="O20" s="2689"/>
      <c r="P20" s="2689"/>
      <c r="Q20" s="2689"/>
      <c r="R20" s="2689"/>
      <c r="S20" s="2689"/>
      <c r="T20" s="2689"/>
      <c r="U20" s="2689"/>
      <c r="V20" s="2689"/>
      <c r="W20" s="2689"/>
      <c r="X20" s="2689"/>
      <c r="Y20" s="2689"/>
      <c r="Z20" s="2689"/>
      <c r="AA20" s="2689"/>
      <c r="AB20" s="2689"/>
      <c r="AC20" s="2689"/>
      <c r="AD20" s="2689"/>
      <c r="AE20" s="2690"/>
    </row>
    <row r="21" spans="2:31" s="2674" customFormat="1" ht="16.5" customHeight="1" thickBot="1" thickTop="1">
      <c r="B21" s="2688"/>
      <c r="C21" s="2689"/>
      <c r="D21" s="2689"/>
      <c r="E21" s="2699" t="s">
        <v>24</v>
      </c>
      <c r="F21" s="2700">
        <v>421.774</v>
      </c>
      <c r="G21" s="2701"/>
      <c r="H21" s="2689"/>
      <c r="I21" s="2689"/>
      <c r="J21" s="2689"/>
      <c r="K21" s="2702"/>
      <c r="L21" s="2703"/>
      <c r="M21" s="2689"/>
      <c r="N21" s="2689"/>
      <c r="O21" s="2689"/>
      <c r="P21" s="2689"/>
      <c r="Q21" s="2689"/>
      <c r="R21" s="2689"/>
      <c r="S21" s="2689"/>
      <c r="T21" s="2689"/>
      <c r="U21" s="2689"/>
      <c r="V21" s="2689"/>
      <c r="W21" s="2704"/>
      <c r="X21" s="2704"/>
      <c r="Y21" s="2704"/>
      <c r="Z21" s="2704"/>
      <c r="AA21" s="2704"/>
      <c r="AB21" s="2704"/>
      <c r="AC21" s="2704"/>
      <c r="AE21" s="2690"/>
    </row>
    <row r="22" spans="2:31" s="2674" customFormat="1" ht="16.5" customHeight="1" thickBot="1" thickTop="1">
      <c r="B22" s="2688"/>
      <c r="C22" s="2689"/>
      <c r="D22" s="2689"/>
      <c r="E22" s="2689"/>
      <c r="F22" s="2705"/>
      <c r="G22" s="2689"/>
      <c r="H22" s="2689"/>
      <c r="I22" s="2689"/>
      <c r="J22" s="2689"/>
      <c r="K22" s="2689"/>
      <c r="L22" s="2689"/>
      <c r="M22" s="2689"/>
      <c r="N22" s="2689"/>
      <c r="O22" s="2706"/>
      <c r="P22" s="2689"/>
      <c r="Q22" s="2689"/>
      <c r="R22" s="2689"/>
      <c r="S22" s="2689"/>
      <c r="T22" s="2689"/>
      <c r="U22" s="2689"/>
      <c r="V22" s="2689"/>
      <c r="W22" s="2689"/>
      <c r="X22" s="2689"/>
      <c r="Y22" s="2689"/>
      <c r="Z22" s="2689"/>
      <c r="AA22" s="2689"/>
      <c r="AB22" s="2689"/>
      <c r="AC22" s="2689"/>
      <c r="AD22" s="2689"/>
      <c r="AE22" s="2690"/>
    </row>
    <row r="23" spans="2:31" s="2674" customFormat="1" ht="33.75" customHeight="1" thickBot="1" thickTop="1">
      <c r="B23" s="2688"/>
      <c r="C23" s="2707" t="s">
        <v>25</v>
      </c>
      <c r="D23" s="2707" t="s">
        <v>26</v>
      </c>
      <c r="E23" s="2708" t="s">
        <v>5</v>
      </c>
      <c r="F23" s="2709" t="s">
        <v>28</v>
      </c>
      <c r="G23" s="2710" t="s">
        <v>29</v>
      </c>
      <c r="H23" s="2711" t="s">
        <v>30</v>
      </c>
      <c r="I23" s="2712" t="s">
        <v>31</v>
      </c>
      <c r="J23" s="2713" t="s">
        <v>32</v>
      </c>
      <c r="K23" s="2708" t="s">
        <v>33</v>
      </c>
      <c r="L23" s="2714" t="s">
        <v>34</v>
      </c>
      <c r="M23" s="2715" t="s">
        <v>35</v>
      </c>
      <c r="N23" s="2710" t="s">
        <v>36</v>
      </c>
      <c r="O23" s="2715" t="s">
        <v>321</v>
      </c>
      <c r="P23" s="2710" t="s">
        <v>37</v>
      </c>
      <c r="Q23" s="2714" t="s">
        <v>38</v>
      </c>
      <c r="R23" s="2708" t="s">
        <v>39</v>
      </c>
      <c r="S23" s="2716" t="s">
        <v>40</v>
      </c>
      <c r="T23" s="2717" t="s">
        <v>41</v>
      </c>
      <c r="U23" s="2718" t="s">
        <v>42</v>
      </c>
      <c r="V23" s="2719"/>
      <c r="W23" s="2720"/>
      <c r="X23" s="2721" t="s">
        <v>43</v>
      </c>
      <c r="Y23" s="2722"/>
      <c r="Z23" s="2723"/>
      <c r="AA23" s="2724" t="s">
        <v>44</v>
      </c>
      <c r="AB23" s="2725" t="s">
        <v>45</v>
      </c>
      <c r="AC23" s="2726" t="s">
        <v>46</v>
      </c>
      <c r="AD23" s="2726" t="s">
        <v>47</v>
      </c>
      <c r="AE23" s="2727"/>
    </row>
    <row r="24" spans="2:31" s="2674" customFormat="1" ht="16.5" customHeight="1" thickTop="1">
      <c r="B24" s="2688"/>
      <c r="C24" s="2728"/>
      <c r="D24" s="2728"/>
      <c r="E24" s="194"/>
      <c r="F24" s="195"/>
      <c r="G24" s="196"/>
      <c r="H24" s="195"/>
      <c r="I24" s="2729"/>
      <c r="J24" s="2730"/>
      <c r="K24" s="197"/>
      <c r="L24" s="198"/>
      <c r="M24" s="2731"/>
      <c r="N24" s="2732"/>
      <c r="O24" s="2733"/>
      <c r="P24" s="2734"/>
      <c r="Q24" s="2735"/>
      <c r="R24" s="2735"/>
      <c r="S24" s="2736"/>
      <c r="T24" s="2737"/>
      <c r="U24" s="2738"/>
      <c r="V24" s="2739"/>
      <c r="W24" s="2740"/>
      <c r="X24" s="2741"/>
      <c r="Y24" s="2742"/>
      <c r="Z24" s="2743"/>
      <c r="AA24" s="2744"/>
      <c r="AB24" s="2745"/>
      <c r="AC24" s="2746"/>
      <c r="AD24" s="2747"/>
      <c r="AE24" s="2748"/>
    </row>
    <row r="25" spans="2:31" s="2674" customFormat="1" ht="16.5" customHeight="1">
      <c r="B25" s="2688"/>
      <c r="C25" s="2749">
        <v>7</v>
      </c>
      <c r="D25" s="2749">
        <v>295623</v>
      </c>
      <c r="E25" s="2728" t="s">
        <v>433</v>
      </c>
      <c r="F25" s="2750">
        <v>500</v>
      </c>
      <c r="G25" s="2751">
        <v>194</v>
      </c>
      <c r="H25" s="2750" t="s">
        <v>333</v>
      </c>
      <c r="I25" s="2806">
        <f>IF(H25="A",200,IF(H25="B",60,20))</f>
        <v>20</v>
      </c>
      <c r="J25" s="2807">
        <f>IF(F25=500,IF(G25&lt;100,100*$F$20/100,G25*$F$20/100),IF(G25&lt;100,100*$F$21/100,G25*$F$21/100))</f>
        <v>981.8708600000001</v>
      </c>
      <c r="K25" s="2752">
        <v>42349.69097222222</v>
      </c>
      <c r="L25" s="2753">
        <v>42349.71944444445</v>
      </c>
      <c r="M25" s="2731">
        <f>IF(E25="","",(L25-K25)*24)</f>
        <v>0.6833333334652707</v>
      </c>
      <c r="N25" s="2732">
        <f>IF(E25="","",ROUND((L25-K25)*24*60,0))</f>
        <v>41</v>
      </c>
      <c r="O25" s="2733" t="s">
        <v>335</v>
      </c>
      <c r="P25" s="2734" t="str">
        <f>IF(E25="","","--")</f>
        <v>--</v>
      </c>
      <c r="Q25" s="2735" t="str">
        <f>IF(E25="","","NO")</f>
        <v>NO</v>
      </c>
      <c r="R25" s="2735" t="str">
        <f>IF(E25="","",IF(OR(O25="P",O25="RP"),"--","NO"))</f>
        <v>NO</v>
      </c>
      <c r="S25" s="2736" t="str">
        <f>IF(O25="P",J25*I25*ROUND(N25/60,2)*0.01,"--")</f>
        <v>--</v>
      </c>
      <c r="T25" s="2737" t="str">
        <f>IF(O25="RP",J25*I25*ROUND(N25/60,2)*0.01*P25/100,"--")</f>
        <v>--</v>
      </c>
      <c r="U25" s="2738"/>
      <c r="V25" s="2739">
        <f>IF(AND(O25="F",N25&gt;=10),J25*I25*IF(Q25="SI",1.2,1)*IF(N25&lt;=300,ROUND(N25/60,2),5),"--")</f>
        <v>13353.443696000004</v>
      </c>
      <c r="W25" s="2740" t="str">
        <f>IF(AND(O25="F",N25&gt;300),(ROUND(N25/60,2)-5)*J25*I25*0.1*IF(Q25="SI",1.2,1),"--")</f>
        <v>--</v>
      </c>
      <c r="X25" s="2741" t="str">
        <f>IF(AND(O25="R",R25="NO"),J25*I25*P25/100*IF(Q25="SI",1.2,1),"--")</f>
        <v>--</v>
      </c>
      <c r="Y25" s="2742" t="str">
        <f>IF(AND(O25="R",N25&gt;=10),J25*I25*P25/100*IF(Q25="SI",1.2,1)*IF(N25&lt;=300,ROUND(N25/60,2),5),"--")</f>
        <v>--</v>
      </c>
      <c r="Z25" s="2743" t="str">
        <f>IF(AND(O25="R",N25&gt;300),(ROUND(N25/60,2)-5)*J25*I25*0.1*P25/100*IF(Q25="SI",1.2,1),"--")</f>
        <v>--</v>
      </c>
      <c r="AA25" s="2744" t="str">
        <f>IF(O25="RF",ROUND(N25/60,2)*J25*I25*0.1*IF(Q25="SI",1.2,1),"--")</f>
        <v>--</v>
      </c>
      <c r="AB25" s="2745" t="str">
        <f>IF(O25="RR",ROUND(N25/60,2)*J25*I25*0.1*P25/100*IF(Q25="SI",1.2,1),"--")</f>
        <v>--</v>
      </c>
      <c r="AC25" s="2835" t="str">
        <f>IF(E25="","","SI")</f>
        <v>SI</v>
      </c>
      <c r="AD25" s="2747">
        <f>IF(E25="","",SUM(S25:AB25)*IF(AC25="SI",1,2))</f>
        <v>13353.443696000004</v>
      </c>
      <c r="AE25" s="2748"/>
    </row>
    <row r="26" spans="2:31" s="2674" customFormat="1" ht="16.5" customHeight="1">
      <c r="B26" s="2688"/>
      <c r="C26" s="2749"/>
      <c r="D26" s="2749"/>
      <c r="E26" s="2728"/>
      <c r="F26" s="2750"/>
      <c r="G26" s="2751"/>
      <c r="H26" s="2750"/>
      <c r="I26" s="2729"/>
      <c r="J26" s="2730"/>
      <c r="K26" s="2752"/>
      <c r="L26" s="2753"/>
      <c r="M26" s="2731"/>
      <c r="N26" s="2732"/>
      <c r="O26" s="2733"/>
      <c r="P26" s="2734"/>
      <c r="Q26" s="2735"/>
      <c r="R26" s="2735"/>
      <c r="S26" s="2736"/>
      <c r="T26" s="2737"/>
      <c r="U26" s="2738"/>
      <c r="V26" s="2739"/>
      <c r="W26" s="2740"/>
      <c r="X26" s="2741"/>
      <c r="Y26" s="2742"/>
      <c r="Z26" s="2743"/>
      <c r="AA26" s="2744"/>
      <c r="AB26" s="2745"/>
      <c r="AC26" s="2746"/>
      <c r="AD26" s="2747"/>
      <c r="AE26" s="2748"/>
    </row>
    <row r="27" spans="2:31" s="2674" customFormat="1" ht="16.5" customHeight="1">
      <c r="B27" s="2688"/>
      <c r="C27" s="2749"/>
      <c r="D27" s="2749"/>
      <c r="E27" s="2728"/>
      <c r="F27" s="2750"/>
      <c r="G27" s="2751"/>
      <c r="H27" s="2750"/>
      <c r="I27" s="2729"/>
      <c r="J27" s="2730"/>
      <c r="K27" s="2752"/>
      <c r="L27" s="2753"/>
      <c r="M27" s="2731"/>
      <c r="N27" s="2732"/>
      <c r="O27" s="2733"/>
      <c r="P27" s="2734"/>
      <c r="Q27" s="2735"/>
      <c r="R27" s="2735"/>
      <c r="S27" s="2736"/>
      <c r="T27" s="2737"/>
      <c r="U27" s="2738"/>
      <c r="V27" s="2739"/>
      <c r="W27" s="2740"/>
      <c r="X27" s="2741"/>
      <c r="Y27" s="2742"/>
      <c r="Z27" s="2743"/>
      <c r="AA27" s="2744"/>
      <c r="AB27" s="2745"/>
      <c r="AC27" s="2746"/>
      <c r="AD27" s="2747"/>
      <c r="AE27" s="2748"/>
    </row>
    <row r="28" spans="2:31" s="2674" customFormat="1" ht="16.5" customHeight="1">
      <c r="B28" s="2688"/>
      <c r="C28" s="2749"/>
      <c r="D28" s="2749"/>
      <c r="E28" s="2728"/>
      <c r="F28" s="2750"/>
      <c r="G28" s="2751"/>
      <c r="H28" s="2750"/>
      <c r="I28" s="2729"/>
      <c r="J28" s="2730"/>
      <c r="K28" s="2752"/>
      <c r="L28" s="2753"/>
      <c r="M28" s="2731"/>
      <c r="N28" s="2732"/>
      <c r="O28" s="2733"/>
      <c r="P28" s="2734"/>
      <c r="Q28" s="2735"/>
      <c r="R28" s="2735"/>
      <c r="S28" s="2736"/>
      <c r="T28" s="2737"/>
      <c r="U28" s="2738"/>
      <c r="V28" s="2739"/>
      <c r="W28" s="2740"/>
      <c r="X28" s="2741"/>
      <c r="Y28" s="2742"/>
      <c r="Z28" s="2743"/>
      <c r="AA28" s="2744"/>
      <c r="AB28" s="2745"/>
      <c r="AC28" s="2746"/>
      <c r="AD28" s="2747"/>
      <c r="AE28" s="2748"/>
    </row>
    <row r="29" spans="2:31" s="2674" customFormat="1" ht="16.5" customHeight="1">
      <c r="B29" s="2688"/>
      <c r="C29" s="2754"/>
      <c r="D29" s="2754"/>
      <c r="E29" s="2728"/>
      <c r="F29" s="2750"/>
      <c r="G29" s="2751"/>
      <c r="H29" s="2750"/>
      <c r="I29" s="2729"/>
      <c r="J29" s="2730"/>
      <c r="K29" s="2752"/>
      <c r="L29" s="2753"/>
      <c r="M29" s="2731"/>
      <c r="N29" s="2732"/>
      <c r="O29" s="2733"/>
      <c r="P29" s="2734"/>
      <c r="Q29" s="2735"/>
      <c r="R29" s="2735"/>
      <c r="S29" s="2736"/>
      <c r="T29" s="2737"/>
      <c r="U29" s="2738"/>
      <c r="V29" s="2739"/>
      <c r="W29" s="2740"/>
      <c r="X29" s="2741"/>
      <c r="Y29" s="2742"/>
      <c r="Z29" s="2743"/>
      <c r="AA29" s="2744"/>
      <c r="AB29" s="2745"/>
      <c r="AC29" s="2746"/>
      <c r="AD29" s="2747"/>
      <c r="AE29" s="2748"/>
    </row>
    <row r="30" spans="2:31" s="2674" customFormat="1" ht="16.5" customHeight="1">
      <c r="B30" s="2688"/>
      <c r="C30" s="2728"/>
      <c r="D30" s="2728"/>
      <c r="E30" s="2728"/>
      <c r="F30" s="2750"/>
      <c r="G30" s="2751"/>
      <c r="H30" s="2750"/>
      <c r="I30" s="2729"/>
      <c r="J30" s="2730"/>
      <c r="K30" s="2752"/>
      <c r="L30" s="2753"/>
      <c r="M30" s="2731">
        <f>IF(E30="","",(L30-K30)*24)</f>
      </c>
      <c r="N30" s="2732">
        <f>IF(E30="","",ROUND((L30-K30)*24*60,0))</f>
      </c>
      <c r="O30" s="2733"/>
      <c r="P30" s="2734">
        <f>IF(E30="","","--")</f>
      </c>
      <c r="Q30" s="2735">
        <f>IF(E30="","","NO")</f>
      </c>
      <c r="R30" s="2735">
        <f>IF(E30="","",IF(OR(O30="P",O30="RP"),"--","NO"))</f>
      </c>
      <c r="S30" s="2736" t="str">
        <f>IF(O30="P",J30*I30*ROUND(N30/60,2)*0.01,"--")</f>
        <v>--</v>
      </c>
      <c r="T30" s="2737" t="str">
        <f>IF(O30="RP",J30*I30*ROUND(N30/60,2)*0.01*P30/100,"--")</f>
        <v>--</v>
      </c>
      <c r="U30" s="2738"/>
      <c r="V30" s="2739" t="str">
        <f>IF(AND(O30="F",N30&gt;=10),J30*I30*IF(Q30="SI",1.2,1)*IF(N30&lt;=300,ROUND(N30/60,2),5),"--")</f>
        <v>--</v>
      </c>
      <c r="W30" s="2740" t="str">
        <f>IF(AND(O30="F",N30&gt;300),(ROUND(N30/60,2)-5)*J30*I30*0.1*IF(Q30="SI",1.2,1),"--")</f>
        <v>--</v>
      </c>
      <c r="X30" s="2741" t="str">
        <f>IF(AND(O30="R",R30="NO"),J30*I30*P30/100*IF(Q30="SI",1.2,1),"--")</f>
        <v>--</v>
      </c>
      <c r="Y30" s="2742" t="str">
        <f>IF(AND(O30="R",N30&gt;=10),J30*I30*P30/100*IF(Q30="SI",1.2,1)*IF(N30&lt;=300,ROUND(N30/60,2),5),"--")</f>
        <v>--</v>
      </c>
      <c r="Z30" s="2743" t="str">
        <f>IF(AND(O30="R",N30&gt;300),(ROUND(N30/60,2)-5)*J30*I30*0.1*P30/100*IF(Q30="SI",1.2,1),"--")</f>
        <v>--</v>
      </c>
      <c r="AA30" s="2744" t="str">
        <f>IF(O30="RF",ROUND(N30/60,2)*J30*I30*0.1*IF(Q30="SI",1.2,1),"--")</f>
        <v>--</v>
      </c>
      <c r="AB30" s="2745" t="str">
        <f>IF(O30="RR",ROUND(N30/60,2)*J30*I30*0.1*P30/100*IF(Q30="SI",1.2,1),"--")</f>
        <v>--</v>
      </c>
      <c r="AC30" s="2746">
        <f>IF(E30="","","SI")</f>
      </c>
      <c r="AD30" s="2747">
        <f>IF(E30="","",SUM(S30:AB30)*IF(AC30="SI",1,2))</f>
      </c>
      <c r="AE30" s="2748"/>
    </row>
    <row r="31" spans="2:31" s="2674" customFormat="1" ht="16.5" customHeight="1" thickBot="1">
      <c r="B31" s="2688"/>
      <c r="C31" s="2728"/>
      <c r="D31" s="2755"/>
      <c r="E31" s="2755"/>
      <c r="F31" s="2756"/>
      <c r="G31" s="2757"/>
      <c r="H31" s="2758"/>
      <c r="I31" s="2759"/>
      <c r="J31" s="2760"/>
      <c r="K31" s="2761"/>
      <c r="L31" s="2761"/>
      <c r="M31" s="2762"/>
      <c r="N31" s="2762"/>
      <c r="O31" s="2763"/>
      <c r="P31" s="2764"/>
      <c r="Q31" s="2763"/>
      <c r="R31" s="2763"/>
      <c r="S31" s="2765"/>
      <c r="T31" s="2766"/>
      <c r="U31" s="2767"/>
      <c r="V31" s="2768"/>
      <c r="W31" s="2769"/>
      <c r="X31" s="2770"/>
      <c r="Y31" s="2771"/>
      <c r="Z31" s="2772"/>
      <c r="AA31" s="2773"/>
      <c r="AB31" s="2774"/>
      <c r="AC31" s="2775"/>
      <c r="AD31" s="2776"/>
      <c r="AE31" s="2748"/>
    </row>
    <row r="32" spans="2:31" s="2674" customFormat="1" ht="16.5" customHeight="1" thickBot="1" thickTop="1">
      <c r="B32" s="2688"/>
      <c r="C32" s="2777" t="s">
        <v>322</v>
      </c>
      <c r="D32" s="2778" t="s">
        <v>363</v>
      </c>
      <c r="F32" s="2779"/>
      <c r="G32" s="2705"/>
      <c r="H32" s="2780"/>
      <c r="I32" s="2705"/>
      <c r="J32" s="2781"/>
      <c r="K32" s="2781"/>
      <c r="L32" s="2781"/>
      <c r="M32" s="2781"/>
      <c r="N32" s="2781"/>
      <c r="O32" s="2781"/>
      <c r="P32" s="2782"/>
      <c r="Q32" s="2781"/>
      <c r="R32" s="2781"/>
      <c r="S32" s="2783">
        <f aca="true" t="shared" si="0" ref="S32:AB32">SUM(S24:S31)</f>
        <v>0</v>
      </c>
      <c r="T32" s="2784">
        <f t="shared" si="0"/>
        <v>0</v>
      </c>
      <c r="U32" s="2785">
        <f t="shared" si="0"/>
        <v>0</v>
      </c>
      <c r="V32" s="2785">
        <f t="shared" si="0"/>
        <v>13353.443696000004</v>
      </c>
      <c r="W32" s="2785">
        <f t="shared" si="0"/>
        <v>0</v>
      </c>
      <c r="X32" s="2786">
        <f t="shared" si="0"/>
        <v>0</v>
      </c>
      <c r="Y32" s="2786">
        <f t="shared" si="0"/>
        <v>0</v>
      </c>
      <c r="Z32" s="2786">
        <f t="shared" si="0"/>
        <v>0</v>
      </c>
      <c r="AA32" s="2787">
        <f t="shared" si="0"/>
        <v>0</v>
      </c>
      <c r="AB32" s="2788">
        <f t="shared" si="0"/>
        <v>0</v>
      </c>
      <c r="AC32" s="2789"/>
      <c r="AD32" s="2790">
        <f>ROUND(SUM(AD24:AD31),2)</f>
        <v>13353.44</v>
      </c>
      <c r="AE32" s="2748"/>
    </row>
    <row r="33" spans="2:31" s="2793" customFormat="1" ht="9.75" thickTop="1">
      <c r="B33" s="2791"/>
      <c r="C33" s="2792"/>
      <c r="D33" s="2778"/>
      <c r="F33" s="2794"/>
      <c r="G33" s="2795"/>
      <c r="H33" s="2796"/>
      <c r="I33" s="2795"/>
      <c r="J33" s="2797"/>
      <c r="K33" s="2797"/>
      <c r="L33" s="2797"/>
      <c r="M33" s="2797"/>
      <c r="N33" s="2797"/>
      <c r="O33" s="2797"/>
      <c r="P33" s="2798"/>
      <c r="Q33" s="2797"/>
      <c r="R33" s="2797"/>
      <c r="S33" s="2799"/>
      <c r="T33" s="2799"/>
      <c r="U33" s="2799"/>
      <c r="V33" s="2799"/>
      <c r="W33" s="2799"/>
      <c r="X33" s="2799"/>
      <c r="Y33" s="2799"/>
      <c r="Z33" s="2799"/>
      <c r="AA33" s="2799"/>
      <c r="AB33" s="2799"/>
      <c r="AC33" s="2799"/>
      <c r="AD33" s="2800"/>
      <c r="AE33" s="2801"/>
    </row>
    <row r="34" spans="2:31" s="2674" customFormat="1" ht="16.5" customHeight="1" thickBot="1">
      <c r="B34" s="2802"/>
      <c r="C34" s="2803"/>
      <c r="D34" s="2803"/>
      <c r="E34" s="2803"/>
      <c r="F34" s="2803"/>
      <c r="G34" s="2803"/>
      <c r="H34" s="2803"/>
      <c r="I34" s="2803"/>
      <c r="J34" s="2803"/>
      <c r="K34" s="2803"/>
      <c r="L34" s="2803"/>
      <c r="M34" s="2803"/>
      <c r="N34" s="2803"/>
      <c r="O34" s="2803"/>
      <c r="P34" s="2803"/>
      <c r="Q34" s="2803"/>
      <c r="R34" s="2803"/>
      <c r="S34" s="2803"/>
      <c r="T34" s="2803"/>
      <c r="U34" s="2803"/>
      <c r="V34" s="2803"/>
      <c r="W34" s="2803"/>
      <c r="X34" s="2803"/>
      <c r="Y34" s="2803"/>
      <c r="Z34" s="2803"/>
      <c r="AA34" s="2803"/>
      <c r="AB34" s="2803"/>
      <c r="AC34" s="2803"/>
      <c r="AD34" s="2803"/>
      <c r="AE34" s="2804"/>
    </row>
    <row r="35" spans="2:31" ht="16.5" customHeight="1" thickTop="1">
      <c r="B35" s="2805"/>
      <c r="AE35" s="2805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AF45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+'TOT-1215'!B2</f>
        <v>ANEXO I al Memorándum D.T.E.E. N°  231  / 2017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20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18" customFormat="1" ht="20.25">
      <c r="B10" s="95"/>
      <c r="C10" s="23"/>
      <c r="D10" s="23"/>
      <c r="E10" s="23"/>
      <c r="F10" s="97" t="s">
        <v>21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8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9"/>
    </row>
    <row r="12" spans="2:32" s="18" customFormat="1" ht="20.25">
      <c r="B12" s="95"/>
      <c r="C12" s="23"/>
      <c r="D12" s="23"/>
      <c r="E12" s="23"/>
      <c r="F12" s="97" t="s">
        <v>22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7"/>
      <c r="S12" s="9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8"/>
    </row>
    <row r="13" spans="2:32" s="8" customFormat="1" ht="12.75">
      <c r="B13" s="55"/>
      <c r="C13" s="11"/>
      <c r="D13" s="11"/>
      <c r="E13" s="11"/>
      <c r="F13" s="1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34" customFormat="1" ht="19.5">
      <c r="B14" s="35" t="str">
        <f>'TOT-1215'!B14</f>
        <v>Desde el 01 al 31 de diciembre de 2015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1"/>
      <c r="Q14" s="10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2"/>
    </row>
    <row r="15" spans="2:32" s="8" customFormat="1" ht="16.5" customHeight="1" thickBot="1">
      <c r="B15" s="55"/>
      <c r="C15" s="11"/>
      <c r="D15" s="11"/>
      <c r="E15" s="11"/>
      <c r="F15" s="11"/>
      <c r="G15" s="85"/>
      <c r="H15" s="85"/>
      <c r="I15" s="11"/>
      <c r="J15" s="11"/>
      <c r="K15" s="11"/>
      <c r="L15" s="103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9"/>
    </row>
    <row r="16" spans="2:32" s="8" customFormat="1" ht="16.5" customHeight="1" thickBot="1" thickTop="1">
      <c r="B16" s="55"/>
      <c r="C16" s="11"/>
      <c r="D16" s="11"/>
      <c r="E16" s="11"/>
      <c r="F16" s="104" t="s">
        <v>23</v>
      </c>
      <c r="G16" s="105">
        <v>506.119</v>
      </c>
      <c r="H16" s="10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9"/>
    </row>
    <row r="17" spans="2:32" s="8" customFormat="1" ht="16.5" customHeight="1" thickBot="1" thickTop="1">
      <c r="B17" s="55"/>
      <c r="C17" s="11"/>
      <c r="D17" s="11"/>
      <c r="E17" s="11"/>
      <c r="F17" s="104" t="s">
        <v>24</v>
      </c>
      <c r="G17" s="105">
        <v>421.774</v>
      </c>
      <c r="H17" s="106"/>
      <c r="I17" s="11"/>
      <c r="J17" s="11"/>
      <c r="K17" s="11"/>
      <c r="L17" s="107"/>
      <c r="M17" s="10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9"/>
      <c r="Y17" s="109"/>
      <c r="Z17" s="109"/>
      <c r="AA17" s="109"/>
      <c r="AB17" s="109"/>
      <c r="AC17" s="109"/>
      <c r="AD17" s="109"/>
      <c r="AF17" s="99"/>
    </row>
    <row r="18" spans="2:32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110">
        <v>27</v>
      </c>
      <c r="AB18" s="110">
        <v>28</v>
      </c>
      <c r="AC18" s="110">
        <v>29</v>
      </c>
      <c r="AD18" s="110">
        <v>30</v>
      </c>
      <c r="AE18" s="110">
        <v>31</v>
      </c>
      <c r="AF18" s="99"/>
    </row>
    <row r="19" spans="2:32" s="8" customFormat="1" ht="33.75" customHeight="1" thickBot="1" thickTop="1">
      <c r="B19" s="55"/>
      <c r="C19" s="111" t="s">
        <v>25</v>
      </c>
      <c r="D19" s="111" t="s">
        <v>26</v>
      </c>
      <c r="E19" s="111" t="s">
        <v>27</v>
      </c>
      <c r="F19" s="112" t="s">
        <v>5</v>
      </c>
      <c r="G19" s="113" t="s">
        <v>28</v>
      </c>
      <c r="H19" s="114" t="s">
        <v>29</v>
      </c>
      <c r="I19" s="115" t="s">
        <v>30</v>
      </c>
      <c r="J19" s="116" t="s">
        <v>31</v>
      </c>
      <c r="K19" s="117" t="s">
        <v>32</v>
      </c>
      <c r="L19" s="112" t="s">
        <v>33</v>
      </c>
      <c r="M19" s="118" t="s">
        <v>34</v>
      </c>
      <c r="N19" s="119" t="s">
        <v>35</v>
      </c>
      <c r="O19" s="114" t="s">
        <v>36</v>
      </c>
      <c r="P19" s="119" t="s">
        <v>321</v>
      </c>
      <c r="Q19" s="114" t="s">
        <v>37</v>
      </c>
      <c r="R19" s="118" t="s">
        <v>38</v>
      </c>
      <c r="S19" s="112" t="s">
        <v>39</v>
      </c>
      <c r="T19" s="120" t="s">
        <v>40</v>
      </c>
      <c r="U19" s="121" t="s">
        <v>41</v>
      </c>
      <c r="V19" s="122" t="s">
        <v>42</v>
      </c>
      <c r="W19" s="123"/>
      <c r="X19" s="124"/>
      <c r="Y19" s="125" t="s">
        <v>43</v>
      </c>
      <c r="Z19" s="126"/>
      <c r="AA19" s="127"/>
      <c r="AB19" s="128" t="s">
        <v>44</v>
      </c>
      <c r="AC19" s="129" t="s">
        <v>45</v>
      </c>
      <c r="AD19" s="130" t="s">
        <v>46</v>
      </c>
      <c r="AE19" s="130" t="s">
        <v>47</v>
      </c>
      <c r="AF19" s="131"/>
    </row>
    <row r="20" spans="2:32" s="8" customFormat="1" ht="16.5" customHeight="1" thickTop="1">
      <c r="B20" s="55"/>
      <c r="C20" s="132"/>
      <c r="D20" s="132"/>
      <c r="E20" s="132"/>
      <c r="F20" s="133"/>
      <c r="G20" s="133"/>
      <c r="H20" s="134"/>
      <c r="I20" s="135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9"/>
      <c r="U20" s="140"/>
      <c r="V20" s="141"/>
      <c r="W20" s="142"/>
      <c r="X20" s="143"/>
      <c r="Y20" s="144"/>
      <c r="Z20" s="145"/>
      <c r="AA20" s="146"/>
      <c r="AB20" s="147"/>
      <c r="AC20" s="148"/>
      <c r="AD20" s="135"/>
      <c r="AE20" s="149">
        <f>'LI-12 (1)'!AE43</f>
        <v>30205.58</v>
      </c>
      <c r="AF20" s="99"/>
    </row>
    <row r="21" spans="2:32" s="8" customFormat="1" ht="16.5" customHeight="1">
      <c r="B21" s="55"/>
      <c r="C21" s="150"/>
      <c r="D21" s="150"/>
      <c r="E21" s="150"/>
      <c r="F21" s="151"/>
      <c r="G21" s="152"/>
      <c r="H21" s="153"/>
      <c r="I21" s="151"/>
      <c r="J21" s="154"/>
      <c r="K21" s="155"/>
      <c r="L21" s="156"/>
      <c r="M21" s="109"/>
      <c r="N21" s="151"/>
      <c r="O21" s="151"/>
      <c r="P21" s="157"/>
      <c r="Q21" s="151"/>
      <c r="R21" s="151"/>
      <c r="S21" s="151"/>
      <c r="T21" s="158"/>
      <c r="U21" s="159"/>
      <c r="V21" s="160"/>
      <c r="W21" s="161"/>
      <c r="X21" s="162"/>
      <c r="Y21" s="163"/>
      <c r="Z21" s="164"/>
      <c r="AA21" s="165"/>
      <c r="AB21" s="166"/>
      <c r="AC21" s="167"/>
      <c r="AD21" s="151"/>
      <c r="AE21" s="168"/>
      <c r="AF21" s="99"/>
    </row>
    <row r="22" spans="2:32" s="8" customFormat="1" ht="16.5" customHeight="1">
      <c r="B22" s="55"/>
      <c r="C22" s="169">
        <v>20</v>
      </c>
      <c r="D22" s="169">
        <v>296018</v>
      </c>
      <c r="E22" s="169">
        <v>5551</v>
      </c>
      <c r="F22" s="169" t="s">
        <v>442</v>
      </c>
      <c r="G22" s="170">
        <v>500</v>
      </c>
      <c r="H22" s="171">
        <v>315</v>
      </c>
      <c r="I22" s="170" t="s">
        <v>336</v>
      </c>
      <c r="J22" s="172">
        <f aca="true" t="shared" si="0" ref="J22:J41">IF(I22="A",200,IF(I22="B",60,20))</f>
        <v>60</v>
      </c>
      <c r="K22" s="173">
        <f aca="true" t="shared" si="1" ref="K22:K41">IF(G22=500,IF(H22&lt;100,100*$G$16/100,H22*$G$16/100),IF(H22&lt;100,100*$G$17/100,H22*$G$17/100))</f>
        <v>1594.2748500000002</v>
      </c>
      <c r="L22" s="174">
        <v>42358.35902777778</v>
      </c>
      <c r="M22" s="175">
        <v>42358.68680555555</v>
      </c>
      <c r="N22" s="176">
        <f aca="true" t="shared" si="2" ref="N22:N41">IF(F22="","",(M22-L22)*24)</f>
        <v>7.866666666639503</v>
      </c>
      <c r="O22" s="177">
        <f aca="true" t="shared" si="3" ref="O22:O41">IF(F22="","",ROUND((M22-L22)*24*60,0))</f>
        <v>472</v>
      </c>
      <c r="P22" s="178" t="s">
        <v>332</v>
      </c>
      <c r="Q22" s="179" t="str">
        <f aca="true" t="shared" si="4" ref="Q22:Q41">IF(F22="","","--")</f>
        <v>--</v>
      </c>
      <c r="R22" s="180" t="str">
        <f aca="true" t="shared" si="5" ref="R22:R41">IF(F22="","","NO")</f>
        <v>NO</v>
      </c>
      <c r="S22" s="180" t="str">
        <f aca="true" t="shared" si="6" ref="S22:S41">IF(F22="","",IF(OR(P22="P",P22="RP"),"--","NO"))</f>
        <v>--</v>
      </c>
      <c r="T22" s="181">
        <f aca="true" t="shared" si="7" ref="T22:T41">IF(P22="P",K22*J22*ROUND(O22/60,2)*0.01,"--")</f>
        <v>7528.165841700001</v>
      </c>
      <c r="U22" s="182" t="str">
        <f aca="true" t="shared" si="8" ref="U22:U41">IF(P22="RP",K22*J22*ROUND(O22/60,2)*0.01*Q22/100,"--")</f>
        <v>--</v>
      </c>
      <c r="V22" s="183" t="str">
        <f aca="true" t="shared" si="9" ref="V22:V41">IF(AND(P22="F",S22="NO"),K22*J22*IF(R22="SI",1.2,1),"--")</f>
        <v>--</v>
      </c>
      <c r="W22" s="184" t="str">
        <f aca="true" t="shared" si="10" ref="W22:W41">IF(AND(P22="F",O22&gt;=10),K22*J22*IF(R22="SI",1.2,1)*IF(O22&lt;=300,ROUND(O22/60,2),5),"--")</f>
        <v>--</v>
      </c>
      <c r="X22" s="185" t="str">
        <f aca="true" t="shared" si="11" ref="X22:X41">IF(AND(P22="F",O22&gt;300),(ROUND(O22/60,2)-5)*K22*J22*0.1*IF(R22="SI",1.2,1),"--")</f>
        <v>--</v>
      </c>
      <c r="Y22" s="186" t="str">
        <f aca="true" t="shared" si="12" ref="Y22:Y41">IF(AND(P22="R",S22="NO"),K22*J22*Q22/100*IF(R22="SI",1.2,1),"--")</f>
        <v>--</v>
      </c>
      <c r="Z22" s="187" t="str">
        <f aca="true" t="shared" si="13" ref="Z22:Z41">IF(AND(P22="R",O22&gt;=10),K22*J22*Q22/100*IF(R22="SI",1.2,1)*IF(O22&lt;=300,ROUND(O22/60,2),5),"--")</f>
        <v>--</v>
      </c>
      <c r="AA22" s="188" t="str">
        <f aca="true" t="shared" si="14" ref="AA22:AA41">IF(AND(P22="R",O22&gt;300),(ROUND(O22/60,2)-5)*K22*J22*0.1*Q22/100*IF(R22="SI",1.2,1),"--")</f>
        <v>--</v>
      </c>
      <c r="AB22" s="189" t="str">
        <f aca="true" t="shared" si="15" ref="AB22:AB41">IF(P22="RF",ROUND(O22/60,2)*K22*J22*0.1*IF(R22="SI",1.2,1),"--")</f>
        <v>--</v>
      </c>
      <c r="AC22" s="190" t="str">
        <f aca="true" t="shared" si="16" ref="AC22:AC41">IF(P22="RR",ROUND(O22/60,2)*K22*J22*0.1*Q22/100*IF(R22="SI",1.2,1),"--")</f>
        <v>--</v>
      </c>
      <c r="AD22" s="191" t="str">
        <f aca="true" t="shared" si="17" ref="AD22:AD41">IF(F22="","","SI")</f>
        <v>SI</v>
      </c>
      <c r="AE22" s="192">
        <f aca="true" t="shared" si="18" ref="AE22:AE41">IF(F22="","",SUM(T22:AC22)*IF(AD22="SI",1,2))</f>
        <v>7528.165841700001</v>
      </c>
      <c r="AF22" s="193"/>
    </row>
    <row r="23" spans="2:32" s="8" customFormat="1" ht="16.5" customHeight="1">
      <c r="B23" s="55"/>
      <c r="C23" s="150">
        <v>21</v>
      </c>
      <c r="D23" s="150">
        <v>296021</v>
      </c>
      <c r="E23" s="150">
        <v>4821</v>
      </c>
      <c r="F23" s="169" t="s">
        <v>443</v>
      </c>
      <c r="G23" s="170">
        <v>500</v>
      </c>
      <c r="H23" s="171">
        <v>137.94</v>
      </c>
      <c r="I23" s="170" t="s">
        <v>333</v>
      </c>
      <c r="J23" s="172">
        <f t="shared" si="0"/>
        <v>20</v>
      </c>
      <c r="K23" s="173">
        <f t="shared" si="1"/>
        <v>698.1405486</v>
      </c>
      <c r="L23" s="174">
        <v>42358.751388888886</v>
      </c>
      <c r="M23" s="175">
        <v>42358.78611111111</v>
      </c>
      <c r="N23" s="176">
        <f t="shared" si="2"/>
        <v>0.8333333334303461</v>
      </c>
      <c r="O23" s="177">
        <f t="shared" si="3"/>
        <v>50</v>
      </c>
      <c r="P23" s="178" t="s">
        <v>335</v>
      </c>
      <c r="Q23" s="179" t="str">
        <f t="shared" si="4"/>
        <v>--</v>
      </c>
      <c r="R23" s="180" t="str">
        <f t="shared" si="5"/>
        <v>NO</v>
      </c>
      <c r="S23" s="180" t="str">
        <f t="shared" si="6"/>
        <v>NO</v>
      </c>
      <c r="T23" s="181" t="str">
        <f t="shared" si="7"/>
        <v>--</v>
      </c>
      <c r="U23" s="182" t="str">
        <f t="shared" si="8"/>
        <v>--</v>
      </c>
      <c r="V23" s="183">
        <f t="shared" si="9"/>
        <v>13962.810972</v>
      </c>
      <c r="W23" s="184">
        <f t="shared" si="10"/>
        <v>11589.133106759999</v>
      </c>
      <c r="X23" s="185" t="str">
        <f t="shared" si="11"/>
        <v>--</v>
      </c>
      <c r="Y23" s="186" t="str">
        <f t="shared" si="12"/>
        <v>--</v>
      </c>
      <c r="Z23" s="187" t="str">
        <f t="shared" si="13"/>
        <v>--</v>
      </c>
      <c r="AA23" s="188" t="str">
        <f t="shared" si="14"/>
        <v>--</v>
      </c>
      <c r="AB23" s="189" t="str">
        <f t="shared" si="15"/>
        <v>--</v>
      </c>
      <c r="AC23" s="190" t="str">
        <f t="shared" si="16"/>
        <v>--</v>
      </c>
      <c r="AD23" s="191" t="str">
        <f t="shared" si="17"/>
        <v>SI</v>
      </c>
      <c r="AE23" s="192">
        <f t="shared" si="18"/>
        <v>25551.944078759996</v>
      </c>
      <c r="AF23" s="193"/>
    </row>
    <row r="24" spans="2:32" s="8" customFormat="1" ht="16.5" customHeight="1">
      <c r="B24" s="55"/>
      <c r="C24" s="169"/>
      <c r="D24" s="169"/>
      <c r="E24" s="169"/>
      <c r="F24" s="194"/>
      <c r="G24" s="195"/>
      <c r="H24" s="196"/>
      <c r="I24" s="195"/>
      <c r="J24" s="172">
        <f t="shared" si="0"/>
        <v>20</v>
      </c>
      <c r="K24" s="173">
        <f t="shared" si="1"/>
        <v>421.774</v>
      </c>
      <c r="L24" s="197"/>
      <c r="M24" s="198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181" t="str">
        <f t="shared" si="7"/>
        <v>--</v>
      </c>
      <c r="U24" s="182" t="str">
        <f t="shared" si="8"/>
        <v>--</v>
      </c>
      <c r="V24" s="183" t="str">
        <f t="shared" si="9"/>
        <v>--</v>
      </c>
      <c r="W24" s="184" t="str">
        <f t="shared" si="10"/>
        <v>--</v>
      </c>
      <c r="X24" s="185" t="str">
        <f t="shared" si="11"/>
        <v>--</v>
      </c>
      <c r="Y24" s="186" t="str">
        <f t="shared" si="12"/>
        <v>--</v>
      </c>
      <c r="Z24" s="187" t="str">
        <f t="shared" si="13"/>
        <v>--</v>
      </c>
      <c r="AA24" s="188" t="str">
        <f t="shared" si="14"/>
        <v>--</v>
      </c>
      <c r="AB24" s="189" t="str">
        <f t="shared" si="15"/>
        <v>--</v>
      </c>
      <c r="AC24" s="190" t="str">
        <f t="shared" si="16"/>
        <v>--</v>
      </c>
      <c r="AD24" s="191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150"/>
      <c r="D25" s="150"/>
      <c r="E25" s="150"/>
      <c r="F25" s="194"/>
      <c r="G25" s="195"/>
      <c r="H25" s="196"/>
      <c r="I25" s="195"/>
      <c r="J25" s="172">
        <f t="shared" si="0"/>
        <v>20</v>
      </c>
      <c r="K25" s="173">
        <f t="shared" si="1"/>
        <v>421.774</v>
      </c>
      <c r="L25" s="197"/>
      <c r="M25" s="198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181" t="str">
        <f t="shared" si="7"/>
        <v>--</v>
      </c>
      <c r="U25" s="182" t="str">
        <f t="shared" si="8"/>
        <v>--</v>
      </c>
      <c r="V25" s="183" t="str">
        <f t="shared" si="9"/>
        <v>--</v>
      </c>
      <c r="W25" s="184" t="str">
        <f t="shared" si="10"/>
        <v>--</v>
      </c>
      <c r="X25" s="185" t="str">
        <f t="shared" si="11"/>
        <v>--</v>
      </c>
      <c r="Y25" s="186" t="str">
        <f t="shared" si="12"/>
        <v>--</v>
      </c>
      <c r="Z25" s="187" t="str">
        <f t="shared" si="13"/>
        <v>--</v>
      </c>
      <c r="AA25" s="188" t="str">
        <f t="shared" si="14"/>
        <v>--</v>
      </c>
      <c r="AB25" s="189" t="str">
        <f t="shared" si="15"/>
        <v>--</v>
      </c>
      <c r="AC25" s="190" t="str">
        <f t="shared" si="16"/>
        <v>--</v>
      </c>
      <c r="AD25" s="191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69"/>
      <c r="G26" s="170"/>
      <c r="H26" s="171"/>
      <c r="I26" s="170"/>
      <c r="J26" s="172">
        <f t="shared" si="0"/>
        <v>20</v>
      </c>
      <c r="K26" s="173">
        <f t="shared" si="1"/>
        <v>421.774</v>
      </c>
      <c r="L26" s="174"/>
      <c r="M26" s="175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181" t="str">
        <f t="shared" si="7"/>
        <v>--</v>
      </c>
      <c r="U26" s="182" t="str">
        <f t="shared" si="8"/>
        <v>--</v>
      </c>
      <c r="V26" s="183" t="str">
        <f t="shared" si="9"/>
        <v>--</v>
      </c>
      <c r="W26" s="184" t="str">
        <f t="shared" si="10"/>
        <v>--</v>
      </c>
      <c r="X26" s="185" t="str">
        <f t="shared" si="11"/>
        <v>--</v>
      </c>
      <c r="Y26" s="186" t="str">
        <f t="shared" si="12"/>
        <v>--</v>
      </c>
      <c r="Z26" s="187" t="str">
        <f t="shared" si="13"/>
        <v>--</v>
      </c>
      <c r="AA26" s="188" t="str">
        <f t="shared" si="14"/>
        <v>--</v>
      </c>
      <c r="AB26" s="189" t="str">
        <f t="shared" si="15"/>
        <v>--</v>
      </c>
      <c r="AC26" s="190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150"/>
      <c r="E27" s="150"/>
      <c r="F27" s="169"/>
      <c r="G27" s="170"/>
      <c r="H27" s="171"/>
      <c r="I27" s="170"/>
      <c r="J27" s="172">
        <f t="shared" si="0"/>
        <v>20</v>
      </c>
      <c r="K27" s="173">
        <f t="shared" si="1"/>
        <v>421.774</v>
      </c>
      <c r="L27" s="174"/>
      <c r="M27" s="175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181" t="str">
        <f t="shared" si="7"/>
        <v>--</v>
      </c>
      <c r="U27" s="182" t="str">
        <f t="shared" si="8"/>
        <v>--</v>
      </c>
      <c r="V27" s="183" t="str">
        <f t="shared" si="9"/>
        <v>--</v>
      </c>
      <c r="W27" s="184" t="str">
        <f t="shared" si="10"/>
        <v>--</v>
      </c>
      <c r="X27" s="185" t="str">
        <f t="shared" si="11"/>
        <v>--</v>
      </c>
      <c r="Y27" s="186" t="str">
        <f t="shared" si="12"/>
        <v>--</v>
      </c>
      <c r="Z27" s="187" t="str">
        <f t="shared" si="13"/>
        <v>--</v>
      </c>
      <c r="AA27" s="188" t="str">
        <f t="shared" si="14"/>
        <v>--</v>
      </c>
      <c r="AB27" s="189" t="str">
        <f t="shared" si="15"/>
        <v>--</v>
      </c>
      <c r="AC27" s="190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>
        <f t="shared" si="1"/>
        <v>421.774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181" t="str">
        <f t="shared" si="7"/>
        <v>--</v>
      </c>
      <c r="U28" s="182" t="str">
        <f t="shared" si="8"/>
        <v>--</v>
      </c>
      <c r="V28" s="183" t="str">
        <f t="shared" si="9"/>
        <v>--</v>
      </c>
      <c r="W28" s="184" t="str">
        <f t="shared" si="10"/>
        <v>--</v>
      </c>
      <c r="X28" s="185" t="str">
        <f t="shared" si="11"/>
        <v>--</v>
      </c>
      <c r="Y28" s="186" t="str">
        <f t="shared" si="12"/>
        <v>--</v>
      </c>
      <c r="Z28" s="187" t="str">
        <f t="shared" si="13"/>
        <v>--</v>
      </c>
      <c r="AA28" s="188" t="str">
        <f t="shared" si="14"/>
        <v>--</v>
      </c>
      <c r="AB28" s="189" t="str">
        <f t="shared" si="15"/>
        <v>--</v>
      </c>
      <c r="AC28" s="190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>
        <f t="shared" si="1"/>
        <v>421.774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181" t="str">
        <f t="shared" si="7"/>
        <v>--</v>
      </c>
      <c r="U29" s="182" t="str">
        <f t="shared" si="8"/>
        <v>--</v>
      </c>
      <c r="V29" s="183" t="str">
        <f t="shared" si="9"/>
        <v>--</v>
      </c>
      <c r="W29" s="184" t="str">
        <f t="shared" si="10"/>
        <v>--</v>
      </c>
      <c r="X29" s="185" t="str">
        <f t="shared" si="11"/>
        <v>--</v>
      </c>
      <c r="Y29" s="186" t="str">
        <f t="shared" si="12"/>
        <v>--</v>
      </c>
      <c r="Z29" s="187" t="str">
        <f t="shared" si="13"/>
        <v>--</v>
      </c>
      <c r="AA29" s="188" t="str">
        <f t="shared" si="14"/>
        <v>--</v>
      </c>
      <c r="AB29" s="189" t="str">
        <f t="shared" si="15"/>
        <v>--</v>
      </c>
      <c r="AC29" s="190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>
        <f t="shared" si="1"/>
        <v>421.774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181" t="str">
        <f t="shared" si="7"/>
        <v>--</v>
      </c>
      <c r="U30" s="182" t="str">
        <f t="shared" si="8"/>
        <v>--</v>
      </c>
      <c r="V30" s="183" t="str">
        <f t="shared" si="9"/>
        <v>--</v>
      </c>
      <c r="W30" s="184" t="str">
        <f t="shared" si="10"/>
        <v>--</v>
      </c>
      <c r="X30" s="185" t="str">
        <f t="shared" si="11"/>
        <v>--</v>
      </c>
      <c r="Y30" s="186" t="str">
        <f t="shared" si="12"/>
        <v>--</v>
      </c>
      <c r="Z30" s="187" t="str">
        <f t="shared" si="13"/>
        <v>--</v>
      </c>
      <c r="AA30" s="188" t="str">
        <f t="shared" si="14"/>
        <v>--</v>
      </c>
      <c r="AB30" s="189" t="str">
        <f t="shared" si="15"/>
        <v>--</v>
      </c>
      <c r="AC30" s="190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>
        <f t="shared" si="1"/>
        <v>421.774</v>
      </c>
      <c r="L31" s="202"/>
      <c r="M31" s="203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181" t="str">
        <f t="shared" si="7"/>
        <v>--</v>
      </c>
      <c r="U31" s="182" t="str">
        <f t="shared" si="8"/>
        <v>--</v>
      </c>
      <c r="V31" s="183" t="str">
        <f t="shared" si="9"/>
        <v>--</v>
      </c>
      <c r="W31" s="184" t="str">
        <f t="shared" si="10"/>
        <v>--</v>
      </c>
      <c r="X31" s="185" t="str">
        <f t="shared" si="11"/>
        <v>--</v>
      </c>
      <c r="Y31" s="186" t="str">
        <f t="shared" si="12"/>
        <v>--</v>
      </c>
      <c r="Z31" s="187" t="str">
        <f t="shared" si="13"/>
        <v>--</v>
      </c>
      <c r="AA31" s="188" t="str">
        <f t="shared" si="14"/>
        <v>--</v>
      </c>
      <c r="AB31" s="189" t="str">
        <f t="shared" si="15"/>
        <v>--</v>
      </c>
      <c r="AC31" s="190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>
        <f t="shared" si="1"/>
        <v>421.774</v>
      </c>
      <c r="L32" s="202"/>
      <c r="M32" s="203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181" t="str">
        <f t="shared" si="7"/>
        <v>--</v>
      </c>
      <c r="U32" s="182" t="str">
        <f t="shared" si="8"/>
        <v>--</v>
      </c>
      <c r="V32" s="183" t="str">
        <f t="shared" si="9"/>
        <v>--</v>
      </c>
      <c r="W32" s="184" t="str">
        <f t="shared" si="10"/>
        <v>--</v>
      </c>
      <c r="X32" s="185" t="str">
        <f t="shared" si="11"/>
        <v>--</v>
      </c>
      <c r="Y32" s="186" t="str">
        <f t="shared" si="12"/>
        <v>--</v>
      </c>
      <c r="Z32" s="187" t="str">
        <f t="shared" si="13"/>
        <v>--</v>
      </c>
      <c r="AA32" s="188" t="str">
        <f t="shared" si="14"/>
        <v>--</v>
      </c>
      <c r="AB32" s="189" t="str">
        <f t="shared" si="15"/>
        <v>--</v>
      </c>
      <c r="AC32" s="190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>
        <f t="shared" si="1"/>
        <v>421.774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181" t="str">
        <f t="shared" si="7"/>
        <v>--</v>
      </c>
      <c r="U33" s="182" t="str">
        <f t="shared" si="8"/>
        <v>--</v>
      </c>
      <c r="V33" s="183" t="str">
        <f t="shared" si="9"/>
        <v>--</v>
      </c>
      <c r="W33" s="184" t="str">
        <f t="shared" si="10"/>
        <v>--</v>
      </c>
      <c r="X33" s="185" t="str">
        <f t="shared" si="11"/>
        <v>--</v>
      </c>
      <c r="Y33" s="186" t="str">
        <f t="shared" si="12"/>
        <v>--</v>
      </c>
      <c r="Z33" s="187" t="str">
        <f t="shared" si="13"/>
        <v>--</v>
      </c>
      <c r="AA33" s="188" t="str">
        <f t="shared" si="14"/>
        <v>--</v>
      </c>
      <c r="AB33" s="189" t="str">
        <f t="shared" si="15"/>
        <v>--</v>
      </c>
      <c r="AC33" s="190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>
        <f t="shared" si="1"/>
        <v>421.774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181" t="str">
        <f t="shared" si="7"/>
        <v>--</v>
      </c>
      <c r="U34" s="182" t="str">
        <f t="shared" si="8"/>
        <v>--</v>
      </c>
      <c r="V34" s="183" t="str">
        <f t="shared" si="9"/>
        <v>--</v>
      </c>
      <c r="W34" s="184" t="str">
        <f t="shared" si="10"/>
        <v>--</v>
      </c>
      <c r="X34" s="185" t="str">
        <f t="shared" si="11"/>
        <v>--</v>
      </c>
      <c r="Y34" s="186" t="str">
        <f t="shared" si="12"/>
        <v>--</v>
      </c>
      <c r="Z34" s="187" t="str">
        <f t="shared" si="13"/>
        <v>--</v>
      </c>
      <c r="AA34" s="188" t="str">
        <f t="shared" si="14"/>
        <v>--</v>
      </c>
      <c r="AB34" s="189" t="str">
        <f t="shared" si="15"/>
        <v>--</v>
      </c>
      <c r="AC34" s="190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>
        <f t="shared" si="1"/>
        <v>421.774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181" t="str">
        <f t="shared" si="7"/>
        <v>--</v>
      </c>
      <c r="U35" s="182" t="str">
        <f t="shared" si="8"/>
        <v>--</v>
      </c>
      <c r="V35" s="183" t="str">
        <f t="shared" si="9"/>
        <v>--</v>
      </c>
      <c r="W35" s="184" t="str">
        <f t="shared" si="10"/>
        <v>--</v>
      </c>
      <c r="X35" s="185" t="str">
        <f t="shared" si="11"/>
        <v>--</v>
      </c>
      <c r="Y35" s="186" t="str">
        <f t="shared" si="12"/>
        <v>--</v>
      </c>
      <c r="Z35" s="187" t="str">
        <f t="shared" si="13"/>
        <v>--</v>
      </c>
      <c r="AA35" s="188" t="str">
        <f t="shared" si="14"/>
        <v>--</v>
      </c>
      <c r="AB35" s="189" t="str">
        <f t="shared" si="15"/>
        <v>--</v>
      </c>
      <c r="AC35" s="190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>
        <f t="shared" si="1"/>
        <v>421.774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181" t="str">
        <f t="shared" si="7"/>
        <v>--</v>
      </c>
      <c r="U36" s="182" t="str">
        <f t="shared" si="8"/>
        <v>--</v>
      </c>
      <c r="V36" s="183" t="str">
        <f t="shared" si="9"/>
        <v>--</v>
      </c>
      <c r="W36" s="184" t="str">
        <f t="shared" si="10"/>
        <v>--</v>
      </c>
      <c r="X36" s="185" t="str">
        <f t="shared" si="11"/>
        <v>--</v>
      </c>
      <c r="Y36" s="186" t="str">
        <f t="shared" si="12"/>
        <v>--</v>
      </c>
      <c r="Z36" s="187" t="str">
        <f t="shared" si="13"/>
        <v>--</v>
      </c>
      <c r="AA36" s="188" t="str">
        <f t="shared" si="14"/>
        <v>--</v>
      </c>
      <c r="AB36" s="189" t="str">
        <f t="shared" si="15"/>
        <v>--</v>
      </c>
      <c r="AC36" s="190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>
        <f t="shared" si="1"/>
        <v>421.774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181" t="str">
        <f t="shared" si="7"/>
        <v>--</v>
      </c>
      <c r="U37" s="182" t="str">
        <f t="shared" si="8"/>
        <v>--</v>
      </c>
      <c r="V37" s="183" t="str">
        <f t="shared" si="9"/>
        <v>--</v>
      </c>
      <c r="W37" s="184" t="str">
        <f t="shared" si="10"/>
        <v>--</v>
      </c>
      <c r="X37" s="185" t="str">
        <f t="shared" si="11"/>
        <v>--</v>
      </c>
      <c r="Y37" s="186" t="str">
        <f t="shared" si="12"/>
        <v>--</v>
      </c>
      <c r="Z37" s="187" t="str">
        <f t="shared" si="13"/>
        <v>--</v>
      </c>
      <c r="AA37" s="188" t="str">
        <f t="shared" si="14"/>
        <v>--</v>
      </c>
      <c r="AB37" s="189" t="str">
        <f t="shared" si="15"/>
        <v>--</v>
      </c>
      <c r="AC37" s="190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>
        <f t="shared" si="1"/>
        <v>421.774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181" t="str">
        <f t="shared" si="7"/>
        <v>--</v>
      </c>
      <c r="U38" s="182" t="str">
        <f t="shared" si="8"/>
        <v>--</v>
      </c>
      <c r="V38" s="183" t="str">
        <f t="shared" si="9"/>
        <v>--</v>
      </c>
      <c r="W38" s="184" t="str">
        <f t="shared" si="10"/>
        <v>--</v>
      </c>
      <c r="X38" s="185" t="str">
        <f t="shared" si="11"/>
        <v>--</v>
      </c>
      <c r="Y38" s="186" t="str">
        <f t="shared" si="12"/>
        <v>--</v>
      </c>
      <c r="Z38" s="187" t="str">
        <f t="shared" si="13"/>
        <v>--</v>
      </c>
      <c r="AA38" s="188" t="str">
        <f t="shared" si="14"/>
        <v>--</v>
      </c>
      <c r="AB38" s="189" t="str">
        <f t="shared" si="15"/>
        <v>--</v>
      </c>
      <c r="AC38" s="190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>
        <f t="shared" si="1"/>
        <v>421.774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181" t="str">
        <f t="shared" si="7"/>
        <v>--</v>
      </c>
      <c r="U39" s="182" t="str">
        <f t="shared" si="8"/>
        <v>--</v>
      </c>
      <c r="V39" s="183" t="str">
        <f t="shared" si="9"/>
        <v>--</v>
      </c>
      <c r="W39" s="184" t="str">
        <f t="shared" si="10"/>
        <v>--</v>
      </c>
      <c r="X39" s="185" t="str">
        <f t="shared" si="11"/>
        <v>--</v>
      </c>
      <c r="Y39" s="186" t="str">
        <f t="shared" si="12"/>
        <v>--</v>
      </c>
      <c r="Z39" s="187" t="str">
        <f t="shared" si="13"/>
        <v>--</v>
      </c>
      <c r="AA39" s="188" t="str">
        <f t="shared" si="14"/>
        <v>--</v>
      </c>
      <c r="AB39" s="189" t="str">
        <f t="shared" si="15"/>
        <v>--</v>
      </c>
      <c r="AC39" s="190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>
      <c r="B40" s="55"/>
      <c r="C40" s="169"/>
      <c r="D40" s="169"/>
      <c r="E40" s="169"/>
      <c r="F40" s="199"/>
      <c r="G40" s="200"/>
      <c r="H40" s="201"/>
      <c r="I40" s="200"/>
      <c r="J40" s="172">
        <f t="shared" si="0"/>
        <v>20</v>
      </c>
      <c r="K40" s="173">
        <f t="shared" si="1"/>
        <v>421.774</v>
      </c>
      <c r="L40" s="202"/>
      <c r="M40" s="204"/>
      <c r="N40" s="176">
        <f t="shared" si="2"/>
      </c>
      <c r="O40" s="177">
        <f t="shared" si="3"/>
      </c>
      <c r="P40" s="178"/>
      <c r="Q40" s="179">
        <f t="shared" si="4"/>
      </c>
      <c r="R40" s="180">
        <f t="shared" si="5"/>
      </c>
      <c r="S40" s="180">
        <f t="shared" si="6"/>
      </c>
      <c r="T40" s="181" t="str">
        <f t="shared" si="7"/>
        <v>--</v>
      </c>
      <c r="U40" s="182" t="str">
        <f t="shared" si="8"/>
        <v>--</v>
      </c>
      <c r="V40" s="183" t="str">
        <f t="shared" si="9"/>
        <v>--</v>
      </c>
      <c r="W40" s="184" t="str">
        <f t="shared" si="10"/>
        <v>--</v>
      </c>
      <c r="X40" s="185" t="str">
        <f t="shared" si="11"/>
        <v>--</v>
      </c>
      <c r="Y40" s="186" t="str">
        <f t="shared" si="12"/>
        <v>--</v>
      </c>
      <c r="Z40" s="187" t="str">
        <f t="shared" si="13"/>
        <v>--</v>
      </c>
      <c r="AA40" s="188" t="str">
        <f t="shared" si="14"/>
        <v>--</v>
      </c>
      <c r="AB40" s="189" t="str">
        <f t="shared" si="15"/>
        <v>--</v>
      </c>
      <c r="AC40" s="190" t="str">
        <f t="shared" si="16"/>
        <v>--</v>
      </c>
      <c r="AD40" s="191">
        <f t="shared" si="17"/>
      </c>
      <c r="AE40" s="192">
        <f t="shared" si="18"/>
      </c>
      <c r="AF40" s="193"/>
    </row>
    <row r="41" spans="2:32" s="8" customFormat="1" ht="16.5" customHeight="1">
      <c r="B41" s="55"/>
      <c r="C41" s="150"/>
      <c r="D41" s="150"/>
      <c r="E41" s="150"/>
      <c r="F41" s="199"/>
      <c r="G41" s="200"/>
      <c r="H41" s="201"/>
      <c r="I41" s="200"/>
      <c r="J41" s="172">
        <f t="shared" si="0"/>
        <v>20</v>
      </c>
      <c r="K41" s="173">
        <f t="shared" si="1"/>
        <v>421.774</v>
      </c>
      <c r="L41" s="202"/>
      <c r="M41" s="204"/>
      <c r="N41" s="176">
        <f t="shared" si="2"/>
      </c>
      <c r="O41" s="177">
        <f t="shared" si="3"/>
      </c>
      <c r="P41" s="178"/>
      <c r="Q41" s="179">
        <f t="shared" si="4"/>
      </c>
      <c r="R41" s="180">
        <f t="shared" si="5"/>
      </c>
      <c r="S41" s="180">
        <f t="shared" si="6"/>
      </c>
      <c r="T41" s="181" t="str">
        <f t="shared" si="7"/>
        <v>--</v>
      </c>
      <c r="U41" s="182" t="str">
        <f t="shared" si="8"/>
        <v>--</v>
      </c>
      <c r="V41" s="183" t="str">
        <f t="shared" si="9"/>
        <v>--</v>
      </c>
      <c r="W41" s="184" t="str">
        <f t="shared" si="10"/>
        <v>--</v>
      </c>
      <c r="X41" s="185" t="str">
        <f t="shared" si="11"/>
        <v>--</v>
      </c>
      <c r="Y41" s="186" t="str">
        <f t="shared" si="12"/>
        <v>--</v>
      </c>
      <c r="Z41" s="187" t="str">
        <f t="shared" si="13"/>
        <v>--</v>
      </c>
      <c r="AA41" s="188" t="str">
        <f t="shared" si="14"/>
        <v>--</v>
      </c>
      <c r="AB41" s="189" t="str">
        <f t="shared" si="15"/>
        <v>--</v>
      </c>
      <c r="AC41" s="190" t="str">
        <f t="shared" si="16"/>
        <v>--</v>
      </c>
      <c r="AD41" s="191">
        <f t="shared" si="17"/>
      </c>
      <c r="AE41" s="192">
        <f t="shared" si="18"/>
      </c>
      <c r="AF41" s="193"/>
    </row>
    <row r="42" spans="2:32" s="8" customFormat="1" ht="16.5" customHeight="1" thickBot="1">
      <c r="B42" s="55"/>
      <c r="C42" s="205"/>
      <c r="D42" s="206"/>
      <c r="E42" s="169"/>
      <c r="F42" s="207"/>
      <c r="G42" s="208"/>
      <c r="H42" s="209"/>
      <c r="I42" s="210"/>
      <c r="J42" s="211"/>
      <c r="K42" s="212"/>
      <c r="L42" s="213"/>
      <c r="M42" s="213"/>
      <c r="N42" s="214"/>
      <c r="O42" s="214"/>
      <c r="P42" s="215"/>
      <c r="Q42" s="216"/>
      <c r="R42" s="215"/>
      <c r="S42" s="215"/>
      <c r="T42" s="217"/>
      <c r="U42" s="218"/>
      <c r="V42" s="219"/>
      <c r="W42" s="220"/>
      <c r="X42" s="221"/>
      <c r="Y42" s="222"/>
      <c r="Z42" s="223"/>
      <c r="AA42" s="224"/>
      <c r="AB42" s="225"/>
      <c r="AC42" s="226"/>
      <c r="AD42" s="227"/>
      <c r="AE42" s="228"/>
      <c r="AF42" s="193"/>
    </row>
    <row r="43" spans="2:32" s="8" customFormat="1" ht="16.5" customHeight="1" thickBot="1" thickTop="1">
      <c r="B43" s="55"/>
      <c r="C43" s="229" t="s">
        <v>322</v>
      </c>
      <c r="D43" s="1338" t="s">
        <v>479</v>
      </c>
      <c r="E43" s="229"/>
      <c r="F43" s="230"/>
      <c r="G43" s="231"/>
      <c r="H43" s="232"/>
      <c r="I43" s="233"/>
      <c r="J43" s="232"/>
      <c r="K43" s="234"/>
      <c r="L43" s="234"/>
      <c r="M43" s="234"/>
      <c r="N43" s="234"/>
      <c r="O43" s="234"/>
      <c r="P43" s="234"/>
      <c r="Q43" s="235"/>
      <c r="R43" s="234"/>
      <c r="S43" s="234"/>
      <c r="T43" s="236">
        <f aca="true" t="shared" si="19" ref="T43:AC43">SUM(T20:T42)</f>
        <v>7528.165841700001</v>
      </c>
      <c r="U43" s="237">
        <f t="shared" si="19"/>
        <v>0</v>
      </c>
      <c r="V43" s="238">
        <f t="shared" si="19"/>
        <v>13962.810972</v>
      </c>
      <c r="W43" s="238">
        <f t="shared" si="19"/>
        <v>11589.133106759999</v>
      </c>
      <c r="X43" s="238">
        <f t="shared" si="19"/>
        <v>0</v>
      </c>
      <c r="Y43" s="239">
        <f t="shared" si="19"/>
        <v>0</v>
      </c>
      <c r="Z43" s="239">
        <f t="shared" si="19"/>
        <v>0</v>
      </c>
      <c r="AA43" s="239">
        <f t="shared" si="19"/>
        <v>0</v>
      </c>
      <c r="AB43" s="240">
        <f t="shared" si="19"/>
        <v>0</v>
      </c>
      <c r="AC43" s="241">
        <f t="shared" si="19"/>
        <v>0</v>
      </c>
      <c r="AD43" s="242"/>
      <c r="AE43" s="243">
        <f>ROUND(SUM(AE20:AE42),2)</f>
        <v>63285.69</v>
      </c>
      <c r="AF43" s="193"/>
    </row>
    <row r="44" spans="2:32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6"/>
    </row>
    <row r="45" spans="2:32" ht="16.5" customHeight="1" thickTop="1">
      <c r="B45" s="247"/>
      <c r="C45" s="247"/>
      <c r="D45" s="247"/>
      <c r="AF45" s="247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AF43"/>
  <sheetViews>
    <sheetView zoomScale="85" zoomScaleNormal="85" zoomScalePageLayoutView="0" workbookViewId="0" topLeftCell="B1">
      <selection activeCell="F55" sqref="F5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274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+'TOT-1215'!B2</f>
        <v>ANEXO I al Memorándum D.T.E.E. N°  231  / 2017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20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8" customFormat="1" ht="33" customHeight="1">
      <c r="B10" s="249"/>
      <c r="C10" s="250"/>
      <c r="D10" s="250"/>
      <c r="E10" s="250"/>
      <c r="F10" s="251" t="s">
        <v>21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71" t="s">
        <v>356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tr">
        <f>'TOT-1215'!B14</f>
        <v>Desde el 01 al 31 de diciembre de 2015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23</v>
      </c>
      <c r="G14" s="105">
        <f>0.6*506.119</f>
        <v>303.6714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24</v>
      </c>
      <c r="G15" s="105" t="s">
        <v>360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25</v>
      </c>
      <c r="D17" s="111" t="s">
        <v>26</v>
      </c>
      <c r="E17" s="111" t="s">
        <v>27</v>
      </c>
      <c r="F17" s="112" t="s">
        <v>5</v>
      </c>
      <c r="G17" s="113" t="s">
        <v>28</v>
      </c>
      <c r="H17" s="114" t="s">
        <v>29</v>
      </c>
      <c r="I17" s="115" t="s">
        <v>30</v>
      </c>
      <c r="J17" s="116" t="s">
        <v>31</v>
      </c>
      <c r="K17" s="117" t="s">
        <v>32</v>
      </c>
      <c r="L17" s="112" t="s">
        <v>33</v>
      </c>
      <c r="M17" s="118" t="s">
        <v>34</v>
      </c>
      <c r="N17" s="119" t="s">
        <v>35</v>
      </c>
      <c r="O17" s="114" t="s">
        <v>36</v>
      </c>
      <c r="P17" s="119" t="s">
        <v>321</v>
      </c>
      <c r="Q17" s="114" t="s">
        <v>37</v>
      </c>
      <c r="R17" s="118" t="s">
        <v>38</v>
      </c>
      <c r="S17" s="112" t="s">
        <v>39</v>
      </c>
      <c r="T17" s="120" t="s">
        <v>40</v>
      </c>
      <c r="U17" s="121" t="s">
        <v>41</v>
      </c>
      <c r="V17" s="122" t="s">
        <v>42</v>
      </c>
      <c r="W17" s="123"/>
      <c r="X17" s="124"/>
      <c r="Y17" s="125" t="s">
        <v>43</v>
      </c>
      <c r="Z17" s="126"/>
      <c r="AA17" s="127"/>
      <c r="AB17" s="128" t="s">
        <v>44</v>
      </c>
      <c r="AC17" s="129" t="s">
        <v>45</v>
      </c>
      <c r="AD17" s="130" t="s">
        <v>46</v>
      </c>
      <c r="AE17" s="130" t="s">
        <v>47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8"/>
      <c r="D19" s="258"/>
      <c r="E19" s="258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 t="e">
        <f aca="true" t="shared" si="1" ref="K19:K39">IF(G19=500,IF(H19&lt;100,100*$G$14/100,H19*$G$14/100),IF(H19&lt;100,100*$G$15/100,H19*$G$15/100))</f>
        <v>#VALUE!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59" t="str">
        <f aca="true" t="shared" si="7" ref="T19:T39">IF(P19="P",K19*J19*ROUND(O19/60,2)*0.01,"--")</f>
        <v>--</v>
      </c>
      <c r="U19" s="260" t="str">
        <f aca="true" t="shared" si="8" ref="U19:U39">IF(P19="RP",K19*J19*ROUND(O19/60,2)*0.01*Q19/100,"--")</f>
        <v>--</v>
      </c>
      <c r="V19" s="261" t="str">
        <f aca="true" t="shared" si="9" ref="V19:V39">IF(AND(P19="F",S19="NO"),K19*J19*IF(R19="SI",1.2,1),"--")</f>
        <v>--</v>
      </c>
      <c r="W19" s="262" t="str">
        <f aca="true" t="shared" si="10" ref="W19:W39">IF(AND(P19="F",O19&gt;=10),K19*J19*IF(R19="SI",1.2,1)*IF(O19&lt;=300,ROUND(O19/60,2),5),"--")</f>
        <v>--</v>
      </c>
      <c r="X19" s="263" t="str">
        <f aca="true" t="shared" si="11" ref="X19:X39">IF(AND(P19="F",O19&gt;300),(ROUND(O19/60,2)-5)*K19*J19*0.1*IF(R19="SI",1.2,1),"--")</f>
        <v>--</v>
      </c>
      <c r="Y19" s="264" t="str">
        <f aca="true" t="shared" si="12" ref="Y19:Y39">IF(AND(P19="R",S19="NO"),K19*J19*Q19/100*IF(R19="SI",1.2,1),"--")</f>
        <v>--</v>
      </c>
      <c r="Z19" s="265" t="str">
        <f aca="true" t="shared" si="13" ref="Z19:Z39">IF(AND(P19="R",O19&gt;=10),K19*J19*Q19/100*IF(R19="SI",1.2,1)*IF(O19&lt;=300,ROUND(O19/60,2),5),"--")</f>
        <v>--</v>
      </c>
      <c r="AA19" s="266" t="str">
        <f aca="true" t="shared" si="14" ref="AA19:AA39">IF(AND(P19="R",O19&gt;300),(ROUND(O19/60,2)-5)*K19*J19*0.1*Q19/100*IF(R19="SI",1.2,1),"--")</f>
        <v>--</v>
      </c>
      <c r="AB19" s="267" t="str">
        <f aca="true" t="shared" si="15" ref="AB19:AB39">IF(P19="RF",ROUND(O19/60,2)*K19*J19*0.1*IF(R19="SI",1.2,1),"--")</f>
        <v>--</v>
      </c>
      <c r="AC19" s="268" t="str">
        <f aca="true" t="shared" si="16" ref="AC19:AC39">IF(P19="RR",ROUND(O19/60,2)*K19*J19*0.1*Q19/100*IF(R19="SI",1.2,1),"--")</f>
        <v>--</v>
      </c>
      <c r="AD19" s="269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8">
        <v>22</v>
      </c>
      <c r="D20" s="258">
        <v>295437</v>
      </c>
      <c r="E20" s="258">
        <v>5039</v>
      </c>
      <c r="F20" s="194" t="s">
        <v>364</v>
      </c>
      <c r="G20" s="195">
        <v>500</v>
      </c>
      <c r="H20" s="196">
        <v>285</v>
      </c>
      <c r="I20" s="195" t="s">
        <v>333</v>
      </c>
      <c r="J20" s="172">
        <f t="shared" si="0"/>
        <v>20</v>
      </c>
      <c r="K20" s="173">
        <f t="shared" si="1"/>
        <v>865.46349</v>
      </c>
      <c r="L20" s="174">
        <v>42344.21944444445</v>
      </c>
      <c r="M20" s="175">
        <v>42344.36111111111</v>
      </c>
      <c r="N20" s="176">
        <f t="shared" si="2"/>
        <v>3.3999999999068677</v>
      </c>
      <c r="O20" s="177">
        <f t="shared" si="3"/>
        <v>204</v>
      </c>
      <c r="P20" s="178" t="s">
        <v>332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59">
        <f t="shared" si="7"/>
        <v>588.5151731999999</v>
      </c>
      <c r="U20" s="260" t="str">
        <f t="shared" si="8"/>
        <v>--</v>
      </c>
      <c r="V20" s="261" t="str">
        <f t="shared" si="9"/>
        <v>--</v>
      </c>
      <c r="W20" s="262" t="str">
        <f t="shared" si="10"/>
        <v>--</v>
      </c>
      <c r="X20" s="263" t="str">
        <f t="shared" si="11"/>
        <v>--</v>
      </c>
      <c r="Y20" s="264" t="str">
        <f t="shared" si="12"/>
        <v>--</v>
      </c>
      <c r="Z20" s="265" t="str">
        <f t="shared" si="13"/>
        <v>--</v>
      </c>
      <c r="AA20" s="266" t="str">
        <f t="shared" si="14"/>
        <v>--</v>
      </c>
      <c r="AB20" s="267" t="str">
        <f t="shared" si="15"/>
        <v>--</v>
      </c>
      <c r="AC20" s="268" t="str">
        <f t="shared" si="16"/>
        <v>--</v>
      </c>
      <c r="AD20" s="191" t="str">
        <f t="shared" si="17"/>
        <v>SI</v>
      </c>
      <c r="AE20" s="192">
        <f t="shared" si="18"/>
        <v>588.5151731999999</v>
      </c>
      <c r="AF20" s="193"/>
    </row>
    <row r="21" spans="2:32" s="8" customFormat="1" ht="16.5" customHeight="1">
      <c r="B21" s="55"/>
      <c r="C21" s="150"/>
      <c r="D21" s="150"/>
      <c r="E21" s="150"/>
      <c r="F21" s="194"/>
      <c r="G21" s="195"/>
      <c r="H21" s="196"/>
      <c r="I21" s="195"/>
      <c r="J21" s="172">
        <f t="shared" si="0"/>
        <v>20</v>
      </c>
      <c r="K21" s="173" t="e">
        <f t="shared" si="1"/>
        <v>#VALUE!</v>
      </c>
      <c r="L21" s="174"/>
      <c r="M21" s="175"/>
      <c r="N21" s="176">
        <f t="shared" si="2"/>
      </c>
      <c r="O21" s="177">
        <f t="shared" si="3"/>
      </c>
      <c r="P21" s="178"/>
      <c r="Q21" s="179">
        <f t="shared" si="4"/>
      </c>
      <c r="R21" s="180">
        <f t="shared" si="5"/>
      </c>
      <c r="S21" s="180">
        <f t="shared" si="6"/>
      </c>
      <c r="T21" s="259" t="str">
        <f t="shared" si="7"/>
        <v>--</v>
      </c>
      <c r="U21" s="260" t="str">
        <f t="shared" si="8"/>
        <v>--</v>
      </c>
      <c r="V21" s="261" t="str">
        <f t="shared" si="9"/>
        <v>--</v>
      </c>
      <c r="W21" s="262" t="str">
        <f t="shared" si="10"/>
        <v>--</v>
      </c>
      <c r="X21" s="263" t="str">
        <f t="shared" si="11"/>
        <v>--</v>
      </c>
      <c r="Y21" s="264" t="str">
        <f t="shared" si="12"/>
        <v>--</v>
      </c>
      <c r="Z21" s="265" t="str">
        <f t="shared" si="13"/>
        <v>--</v>
      </c>
      <c r="AA21" s="266" t="str">
        <f t="shared" si="14"/>
        <v>--</v>
      </c>
      <c r="AB21" s="267" t="str">
        <f t="shared" si="15"/>
        <v>--</v>
      </c>
      <c r="AC21" s="268" t="str">
        <f t="shared" si="16"/>
        <v>--</v>
      </c>
      <c r="AD21" s="191">
        <f t="shared" si="17"/>
      </c>
      <c r="AE21" s="192">
        <f t="shared" si="18"/>
      </c>
      <c r="AF21" s="193"/>
    </row>
    <row r="22" spans="2:32" s="8" customFormat="1" ht="16.5" customHeight="1">
      <c r="B22" s="55"/>
      <c r="C22" s="169"/>
      <c r="D22" s="169"/>
      <c r="E22" s="169"/>
      <c r="F22" s="194"/>
      <c r="G22" s="195"/>
      <c r="H22" s="196"/>
      <c r="I22" s="195"/>
      <c r="J22" s="172">
        <f t="shared" si="0"/>
        <v>20</v>
      </c>
      <c r="K22" s="173" t="e">
        <f t="shared" si="1"/>
        <v>#VALUE!</v>
      </c>
      <c r="L22" s="197"/>
      <c r="M22" s="198"/>
      <c r="N22" s="176">
        <f t="shared" si="2"/>
      </c>
      <c r="O22" s="177">
        <f t="shared" si="3"/>
      </c>
      <c r="P22" s="178"/>
      <c r="Q22" s="179">
        <f t="shared" si="4"/>
      </c>
      <c r="R22" s="180">
        <f t="shared" si="5"/>
      </c>
      <c r="S22" s="180">
        <f t="shared" si="6"/>
      </c>
      <c r="T22" s="259" t="str">
        <f t="shared" si="7"/>
        <v>--</v>
      </c>
      <c r="U22" s="260" t="str">
        <f t="shared" si="8"/>
        <v>--</v>
      </c>
      <c r="V22" s="261" t="str">
        <f t="shared" si="9"/>
        <v>--</v>
      </c>
      <c r="W22" s="262" t="str">
        <f t="shared" si="10"/>
        <v>--</v>
      </c>
      <c r="X22" s="263" t="str">
        <f t="shared" si="11"/>
        <v>--</v>
      </c>
      <c r="Y22" s="264" t="str">
        <f t="shared" si="12"/>
        <v>--</v>
      </c>
      <c r="Z22" s="265" t="str">
        <f t="shared" si="13"/>
        <v>--</v>
      </c>
      <c r="AA22" s="266" t="str">
        <f t="shared" si="14"/>
        <v>--</v>
      </c>
      <c r="AB22" s="267" t="str">
        <f t="shared" si="15"/>
        <v>--</v>
      </c>
      <c r="AC22" s="268" t="str">
        <f t="shared" si="16"/>
        <v>--</v>
      </c>
      <c r="AD22" s="191">
        <f t="shared" si="17"/>
      </c>
      <c r="AE22" s="192">
        <f t="shared" si="18"/>
      </c>
      <c r="AF22" s="193"/>
    </row>
    <row r="23" spans="2:32" s="8" customFormat="1" ht="16.5" customHeight="1">
      <c r="B23" s="55"/>
      <c r="C23" s="150"/>
      <c r="D23" s="150"/>
      <c r="E23" s="150"/>
      <c r="F23" s="194"/>
      <c r="G23" s="195"/>
      <c r="H23" s="196"/>
      <c r="I23" s="195"/>
      <c r="J23" s="172">
        <f t="shared" si="0"/>
        <v>20</v>
      </c>
      <c r="K23" s="173" t="e">
        <f t="shared" si="1"/>
        <v>#VALUE!</v>
      </c>
      <c r="L23" s="197"/>
      <c r="M23" s="198"/>
      <c r="N23" s="176">
        <f t="shared" si="2"/>
      </c>
      <c r="O23" s="177">
        <f t="shared" si="3"/>
      </c>
      <c r="P23" s="178"/>
      <c r="Q23" s="179">
        <f t="shared" si="4"/>
      </c>
      <c r="R23" s="180">
        <f t="shared" si="5"/>
      </c>
      <c r="S23" s="180">
        <f t="shared" si="6"/>
      </c>
      <c r="T23" s="259" t="str">
        <f t="shared" si="7"/>
        <v>--</v>
      </c>
      <c r="U23" s="260" t="str">
        <f t="shared" si="8"/>
        <v>--</v>
      </c>
      <c r="V23" s="261" t="str">
        <f t="shared" si="9"/>
        <v>--</v>
      </c>
      <c r="W23" s="262" t="str">
        <f t="shared" si="10"/>
        <v>--</v>
      </c>
      <c r="X23" s="263" t="str">
        <f t="shared" si="11"/>
        <v>--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191">
        <f t="shared" si="17"/>
      </c>
      <c r="AE23" s="192">
        <f t="shared" si="18"/>
      </c>
      <c r="AF23" s="193"/>
    </row>
    <row r="24" spans="2:32" s="8" customFormat="1" ht="16.5" customHeight="1">
      <c r="B24" s="55"/>
      <c r="C24" s="169"/>
      <c r="D24" s="169"/>
      <c r="E24" s="169"/>
      <c r="F24" s="169"/>
      <c r="G24" s="170"/>
      <c r="H24" s="171"/>
      <c r="I24" s="170"/>
      <c r="J24" s="172">
        <f t="shared" si="0"/>
        <v>20</v>
      </c>
      <c r="K24" s="173" t="e">
        <f t="shared" si="1"/>
        <v>#VALUE!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59" t="str">
        <f t="shared" si="7"/>
        <v>--</v>
      </c>
      <c r="U24" s="260" t="str">
        <f t="shared" si="8"/>
        <v>--</v>
      </c>
      <c r="V24" s="261" t="str">
        <f t="shared" si="9"/>
        <v>--</v>
      </c>
      <c r="W24" s="262" t="str">
        <f t="shared" si="10"/>
        <v>--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191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150"/>
      <c r="D25" s="150"/>
      <c r="E25" s="150"/>
      <c r="F25" s="169"/>
      <c r="G25" s="170"/>
      <c r="H25" s="171"/>
      <c r="I25" s="170"/>
      <c r="J25" s="172">
        <f t="shared" si="0"/>
        <v>20</v>
      </c>
      <c r="K25" s="173" t="e">
        <f t="shared" si="1"/>
        <v>#VALUE!</v>
      </c>
      <c r="L25" s="174"/>
      <c r="M25" s="175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191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 t="e">
        <f t="shared" si="1"/>
        <v>#VALUE!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150"/>
      <c r="E27" s="150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5"/>
      <c r="E40" s="169"/>
      <c r="F40" s="207"/>
      <c r="G40" s="208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229" t="s">
        <v>322</v>
      </c>
      <c r="D41" s="270" t="s">
        <v>365</v>
      </c>
      <c r="E41" s="229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588.5151731999999</v>
      </c>
      <c r="U41" s="237">
        <f t="shared" si="19"/>
        <v>0</v>
      </c>
      <c r="V41" s="238">
        <f t="shared" si="19"/>
        <v>0</v>
      </c>
      <c r="W41" s="238">
        <f t="shared" si="19"/>
        <v>0</v>
      </c>
      <c r="X41" s="238">
        <f t="shared" si="19"/>
        <v>0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588.52</v>
      </c>
      <c r="AF41" s="193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C43" s="247"/>
      <c r="D43" s="247"/>
      <c r="AF43" s="247"/>
    </row>
  </sheetData>
  <sheetProtection password="CC12"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1200" verticalDpi="12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6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76"/>
    </row>
    <row r="2" spans="1:30" s="3" customFormat="1" ht="26.25">
      <c r="A2" s="88"/>
      <c r="B2" s="277" t="str">
        <f>+'TOT-1215'!B2</f>
        <v>ANEXO I al Memorándum D.T.E.E. N°  231  / 2017</v>
      </c>
      <c r="C2" s="277"/>
      <c r="D2" s="277"/>
      <c r="E2" s="277"/>
      <c r="F2" s="277"/>
      <c r="G2" s="2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78" t="s">
        <v>49</v>
      </c>
      <c r="B4" s="279"/>
      <c r="C4" s="279"/>
      <c r="D4" s="279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</row>
    <row r="5" spans="1:30" s="14" customFormat="1" ht="11.25">
      <c r="A5" s="278" t="s">
        <v>3</v>
      </c>
      <c r="B5" s="279"/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81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94"/>
    </row>
    <row r="8" spans="1:30" s="18" customFormat="1" ht="20.25">
      <c r="A8" s="283"/>
      <c r="B8" s="284"/>
      <c r="C8" s="285"/>
      <c r="D8" s="285"/>
      <c r="E8" s="283"/>
      <c r="F8" s="286" t="s">
        <v>20</v>
      </c>
      <c r="G8" s="283"/>
      <c r="H8" s="283"/>
      <c r="I8" s="287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98"/>
    </row>
    <row r="9" spans="1:30" s="8" customFormat="1" ht="12.75">
      <c r="A9" s="89"/>
      <c r="B9" s="288"/>
      <c r="C9" s="83"/>
      <c r="D9" s="83"/>
      <c r="E9" s="89"/>
      <c r="F9" s="83"/>
      <c r="G9" s="289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296" customFormat="1" ht="30" customHeight="1">
      <c r="A10" s="290"/>
      <c r="B10" s="291"/>
      <c r="C10" s="292"/>
      <c r="D10" s="292"/>
      <c r="E10" s="290"/>
      <c r="F10" s="293" t="s">
        <v>50</v>
      </c>
      <c r="G10" s="290"/>
      <c r="H10" s="294"/>
      <c r="I10" s="292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5"/>
    </row>
    <row r="11" spans="1:30" s="300" customFormat="1" ht="9.75" customHeight="1">
      <c r="A11" s="297"/>
      <c r="B11" s="298"/>
      <c r="C11" s="299"/>
      <c r="D11" s="299"/>
      <c r="E11" s="297"/>
      <c r="G11" s="299"/>
      <c r="H11" s="299"/>
      <c r="I11" s="299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301"/>
    </row>
    <row r="12" spans="1:30" s="300" customFormat="1" ht="21" customHeight="1">
      <c r="A12" s="290"/>
      <c r="B12" s="291"/>
      <c r="C12" s="292"/>
      <c r="D12" s="292"/>
      <c r="E12" s="290"/>
      <c r="F12" s="302" t="s">
        <v>51</v>
      </c>
      <c r="G12" s="290"/>
      <c r="H12" s="290"/>
      <c r="I12" s="290"/>
      <c r="J12" s="303"/>
      <c r="K12" s="303"/>
      <c r="L12" s="303"/>
      <c r="M12" s="303"/>
      <c r="N12" s="303"/>
      <c r="O12" s="297"/>
      <c r="P12" s="297"/>
      <c r="Q12" s="297"/>
      <c r="R12" s="297"/>
      <c r="S12" s="297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301"/>
    </row>
    <row r="13" spans="1:30" s="8" customFormat="1" ht="12.75">
      <c r="A13" s="89"/>
      <c r="B13" s="288"/>
      <c r="C13" s="83"/>
      <c r="D13" s="83"/>
      <c r="E13" s="89"/>
      <c r="F13" s="83"/>
      <c r="G13" s="83"/>
      <c r="H13" s="83"/>
      <c r="I13" s="304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34" customFormat="1" ht="19.5">
      <c r="A14" s="305"/>
      <c r="B14" s="35" t="str">
        <f>'TOT-1215'!B14</f>
        <v>Desde el 01 al 31 de diciembre de 2015</v>
      </c>
      <c r="C14" s="39"/>
      <c r="D14" s="39"/>
      <c r="E14" s="306"/>
      <c r="F14" s="307"/>
      <c r="G14" s="307"/>
      <c r="H14" s="307"/>
      <c r="I14" s="307"/>
      <c r="J14" s="307"/>
      <c r="K14" s="307"/>
      <c r="L14" s="307"/>
      <c r="M14" s="307"/>
      <c r="N14" s="307"/>
      <c r="O14" s="306"/>
      <c r="P14" s="306"/>
      <c r="Q14" s="306"/>
      <c r="R14" s="306"/>
      <c r="S14" s="306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8"/>
    </row>
    <row r="15" spans="1:30" s="8" customFormat="1" ht="13.5" thickBot="1">
      <c r="A15" s="89"/>
      <c r="B15" s="288"/>
      <c r="C15" s="83"/>
      <c r="D15" s="83"/>
      <c r="E15" s="89"/>
      <c r="F15" s="83"/>
      <c r="G15" s="83"/>
      <c r="H15" s="83"/>
      <c r="I15" s="304"/>
      <c r="J15" s="83"/>
      <c r="K15" s="83"/>
      <c r="L15" s="83"/>
      <c r="M15" s="83"/>
      <c r="N15" s="83"/>
      <c r="O15" s="89"/>
      <c r="P15" s="89"/>
      <c r="Q15" s="89"/>
      <c r="R15" s="89"/>
      <c r="S15" s="89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99"/>
    </row>
    <row r="16" spans="1:30" s="8" customFormat="1" ht="16.5" customHeight="1" thickBot="1" thickTop="1">
      <c r="A16" s="89"/>
      <c r="B16" s="288"/>
      <c r="C16" s="83"/>
      <c r="D16" s="83"/>
      <c r="E16" s="89"/>
      <c r="F16" s="309" t="s">
        <v>52</v>
      </c>
      <c r="G16" s="310"/>
      <c r="H16" s="311">
        <v>1.391</v>
      </c>
      <c r="J16" s="89"/>
      <c r="K16" s="89"/>
      <c r="L16" s="89"/>
      <c r="M16" s="89"/>
      <c r="N16" s="89"/>
      <c r="O16" s="89"/>
      <c r="P16" s="8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99"/>
    </row>
    <row r="17" spans="1:30" s="8" customFormat="1" ht="16.5" customHeight="1" thickBot="1" thickTop="1">
      <c r="A17" s="89"/>
      <c r="B17" s="288"/>
      <c r="C17" s="83"/>
      <c r="D17" s="83"/>
      <c r="E17" s="89"/>
      <c r="F17" s="312" t="s">
        <v>53</v>
      </c>
      <c r="G17" s="313"/>
      <c r="H17" s="314">
        <v>200</v>
      </c>
      <c r="I17" s="9"/>
      <c r="J17" s="83"/>
      <c r="K17" s="107"/>
      <c r="L17" s="108"/>
      <c r="M17" s="11"/>
      <c r="N17" s="83"/>
      <c r="O17" s="83"/>
      <c r="P17" s="83"/>
      <c r="Q17" s="83"/>
      <c r="R17" s="83"/>
      <c r="S17" s="83"/>
      <c r="T17" s="83"/>
      <c r="U17" s="83"/>
      <c r="V17" s="83"/>
      <c r="W17" s="315"/>
      <c r="X17" s="315"/>
      <c r="Y17" s="315"/>
      <c r="Z17" s="315"/>
      <c r="AA17" s="315"/>
      <c r="AB17" s="315"/>
      <c r="AC17" s="89"/>
      <c r="AD17" s="99"/>
    </row>
    <row r="18" spans="1:30" s="8" customFormat="1" ht="16.5" customHeight="1" thickBot="1" thickTop="1">
      <c r="A18" s="89"/>
      <c r="B18" s="288"/>
      <c r="C18" s="316">
        <v>3</v>
      </c>
      <c r="D18" s="316">
        <v>4</v>
      </c>
      <c r="E18" s="316">
        <v>5</v>
      </c>
      <c r="F18" s="316">
        <v>6</v>
      </c>
      <c r="G18" s="316">
        <v>7</v>
      </c>
      <c r="H18" s="316">
        <v>8</v>
      </c>
      <c r="I18" s="316">
        <v>9</v>
      </c>
      <c r="J18" s="316">
        <v>10</v>
      </c>
      <c r="K18" s="316">
        <v>11</v>
      </c>
      <c r="L18" s="316">
        <v>12</v>
      </c>
      <c r="M18" s="316">
        <v>13</v>
      </c>
      <c r="N18" s="316">
        <v>14</v>
      </c>
      <c r="O18" s="316">
        <v>15</v>
      </c>
      <c r="P18" s="316">
        <v>16</v>
      </c>
      <c r="Q18" s="316">
        <v>17</v>
      </c>
      <c r="R18" s="316">
        <v>18</v>
      </c>
      <c r="S18" s="316">
        <v>19</v>
      </c>
      <c r="T18" s="316">
        <v>20</v>
      </c>
      <c r="U18" s="316">
        <v>21</v>
      </c>
      <c r="V18" s="316">
        <v>22</v>
      </c>
      <c r="W18" s="316">
        <v>23</v>
      </c>
      <c r="X18" s="316">
        <v>24</v>
      </c>
      <c r="Y18" s="316">
        <v>25</v>
      </c>
      <c r="Z18" s="316">
        <v>26</v>
      </c>
      <c r="AA18" s="316">
        <v>27</v>
      </c>
      <c r="AB18" s="316">
        <v>28</v>
      </c>
      <c r="AC18" s="316">
        <v>29</v>
      </c>
      <c r="AD18" s="99"/>
    </row>
    <row r="19" spans="1:30" s="8" customFormat="1" ht="33.75" customHeight="1" thickBot="1" thickTop="1">
      <c r="A19" s="89"/>
      <c r="B19" s="288"/>
      <c r="C19" s="317" t="s">
        <v>25</v>
      </c>
      <c r="D19" s="111" t="s">
        <v>26</v>
      </c>
      <c r="E19" s="111" t="s">
        <v>27</v>
      </c>
      <c r="F19" s="318" t="s">
        <v>54</v>
      </c>
      <c r="G19" s="319" t="s">
        <v>55</v>
      </c>
      <c r="H19" s="320" t="s">
        <v>56</v>
      </c>
      <c r="I19" s="321" t="s">
        <v>28</v>
      </c>
      <c r="J19" s="322" t="s">
        <v>32</v>
      </c>
      <c r="K19" s="319" t="s">
        <v>33</v>
      </c>
      <c r="L19" s="319" t="s">
        <v>34</v>
      </c>
      <c r="M19" s="318" t="s">
        <v>57</v>
      </c>
      <c r="N19" s="318" t="s">
        <v>36</v>
      </c>
      <c r="O19" s="119" t="s">
        <v>321</v>
      </c>
      <c r="P19" s="119" t="s">
        <v>37</v>
      </c>
      <c r="Q19" s="323" t="s">
        <v>39</v>
      </c>
      <c r="R19" s="319" t="s">
        <v>58</v>
      </c>
      <c r="S19" s="324" t="s">
        <v>31</v>
      </c>
      <c r="T19" s="325" t="s">
        <v>40</v>
      </c>
      <c r="U19" s="326" t="s">
        <v>41</v>
      </c>
      <c r="V19" s="122" t="s">
        <v>59</v>
      </c>
      <c r="W19" s="124"/>
      <c r="X19" s="327" t="s">
        <v>60</v>
      </c>
      <c r="Y19" s="328"/>
      <c r="Z19" s="329" t="s">
        <v>44</v>
      </c>
      <c r="AA19" s="330" t="s">
        <v>45</v>
      </c>
      <c r="AB19" s="130" t="s">
        <v>46</v>
      </c>
      <c r="AC19" s="321" t="s">
        <v>47</v>
      </c>
      <c r="AD19" s="99"/>
    </row>
    <row r="20" spans="1:30" s="8" customFormat="1" ht="16.5" customHeight="1" thickTop="1">
      <c r="A20" s="89"/>
      <c r="B20" s="288"/>
      <c r="C20" s="331"/>
      <c r="D20" s="331"/>
      <c r="E20" s="331"/>
      <c r="F20" s="331"/>
      <c r="G20" s="331"/>
      <c r="H20" s="331"/>
      <c r="I20" s="332"/>
      <c r="J20" s="333"/>
      <c r="K20" s="331"/>
      <c r="L20" s="331"/>
      <c r="M20" s="331"/>
      <c r="N20" s="331"/>
      <c r="O20" s="331"/>
      <c r="P20" s="132"/>
      <c r="Q20" s="334"/>
      <c r="R20" s="331"/>
      <c r="S20" s="335"/>
      <c r="T20" s="336"/>
      <c r="U20" s="337"/>
      <c r="V20" s="338"/>
      <c r="W20" s="339"/>
      <c r="X20" s="340"/>
      <c r="Y20" s="341"/>
      <c r="Z20" s="342"/>
      <c r="AA20" s="343"/>
      <c r="AB20" s="334"/>
      <c r="AC20" s="344"/>
      <c r="AD20" s="99"/>
    </row>
    <row r="21" spans="1:30" s="8" customFormat="1" ht="16.5" customHeight="1">
      <c r="A21" s="89"/>
      <c r="B21" s="288"/>
      <c r="C21" s="150"/>
      <c r="D21" s="150"/>
      <c r="E21" s="150"/>
      <c r="F21" s="150"/>
      <c r="G21" s="150"/>
      <c r="H21" s="150"/>
      <c r="I21" s="345"/>
      <c r="J21" s="346"/>
      <c r="K21" s="150"/>
      <c r="L21" s="150"/>
      <c r="M21" s="150"/>
      <c r="N21" s="150"/>
      <c r="O21" s="150"/>
      <c r="P21" s="157"/>
      <c r="Q21" s="347"/>
      <c r="R21" s="150"/>
      <c r="S21" s="348"/>
      <c r="T21" s="349"/>
      <c r="U21" s="350"/>
      <c r="V21" s="351"/>
      <c r="W21" s="352"/>
      <c r="X21" s="353"/>
      <c r="Y21" s="354"/>
      <c r="Z21" s="355"/>
      <c r="AA21" s="356"/>
      <c r="AB21" s="347"/>
      <c r="AC21" s="357"/>
      <c r="AD21" s="99"/>
    </row>
    <row r="22" spans="1:30" s="8" customFormat="1" ht="16.5" customHeight="1">
      <c r="A22" s="89"/>
      <c r="B22" s="288"/>
      <c r="C22" s="169">
        <v>23</v>
      </c>
      <c r="D22" s="169">
        <v>295428</v>
      </c>
      <c r="E22" s="169">
        <v>82</v>
      </c>
      <c r="F22" s="358" t="s">
        <v>411</v>
      </c>
      <c r="G22" s="359" t="s">
        <v>341</v>
      </c>
      <c r="H22" s="360">
        <v>300</v>
      </c>
      <c r="I22" s="595" t="s">
        <v>149</v>
      </c>
      <c r="J22" s="362">
        <f aca="true" t="shared" si="0" ref="J22:J41">H22*$H$16</f>
        <v>417.3</v>
      </c>
      <c r="K22" s="363">
        <v>42340.330555555556</v>
      </c>
      <c r="L22" s="363">
        <v>42340.524305555555</v>
      </c>
      <c r="M22" s="364">
        <f aca="true" t="shared" si="1" ref="M22:M41">IF(F22="","",(L22-K22)*24)</f>
        <v>4.649999999965075</v>
      </c>
      <c r="N22" s="365">
        <f aca="true" t="shared" si="2" ref="N22:N41">IF(F22="","",ROUND((L22-K22)*24*60,0))</f>
        <v>279</v>
      </c>
      <c r="O22" s="366" t="s">
        <v>332</v>
      </c>
      <c r="P22" s="273" t="str">
        <f aca="true" t="shared" si="3" ref="P22:P41">IF(F22="","","--")</f>
        <v>--</v>
      </c>
      <c r="Q22" s="367" t="str">
        <f aca="true" t="shared" si="4" ref="Q22:Q41">IF(F22="","",IF(OR(O22="P",O22="RP"),"--","NO"))</f>
        <v>--</v>
      </c>
      <c r="R22" s="180" t="str">
        <f aca="true" t="shared" si="5" ref="R22:R41">IF(F22="","","NO")</f>
        <v>NO</v>
      </c>
      <c r="S22" s="368">
        <f aca="true" t="shared" si="6" ref="S22:S41">$H$17*IF(OR(O22="P",O22="RP"),0.1,1)*IF(R22="SI",1,0.1)</f>
        <v>2</v>
      </c>
      <c r="T22" s="369">
        <f aca="true" t="shared" si="7" ref="T22:T41">IF(O22="P",J22*S22*ROUND(N22/60,2),"--")</f>
        <v>3880.8900000000003</v>
      </c>
      <c r="U22" s="370" t="str">
        <f aca="true" t="shared" si="8" ref="U22:U41">IF(O22="RP",J22*S22*P22/100*ROUND(N22/60,2),"--")</f>
        <v>--</v>
      </c>
      <c r="V22" s="371" t="str">
        <f aca="true" t="shared" si="9" ref="V22:V41">IF(AND(O22="F",Q22="NO"),J22*S22,"--")</f>
        <v>--</v>
      </c>
      <c r="W22" s="372" t="str">
        <f aca="true" t="shared" si="10" ref="W22:W41">IF(O22="F",J22*S22*ROUND(N22/60,2),"--")</f>
        <v>--</v>
      </c>
      <c r="X22" s="373" t="str">
        <f aca="true" t="shared" si="11" ref="X22:X41">IF(AND(O22="R",Q22="NO"),J22*S22*P22/100,"--")</f>
        <v>--</v>
      </c>
      <c r="Y22" s="374" t="str">
        <f aca="true" t="shared" si="12" ref="Y22:Y41">IF(O22="R",J22*S22*P22/100*ROUND(N22/60,2),"--")</f>
        <v>--</v>
      </c>
      <c r="Z22" s="375" t="str">
        <f aca="true" t="shared" si="13" ref="Z22:Z41">IF(O22="RF",J22*S22*ROUND(N22/60,2),"--")</f>
        <v>--</v>
      </c>
      <c r="AA22" s="376" t="str">
        <f aca="true" t="shared" si="14" ref="AA22:AA41">IF(O22="RR",J22*S22*P22/100*ROUND(N22/60,2),"--")</f>
        <v>--</v>
      </c>
      <c r="AB22" s="377" t="s">
        <v>77</v>
      </c>
      <c r="AC22" s="192">
        <f aca="true" t="shared" si="15" ref="AC22:AC41">IF(F22="","",(SUM(T22:AA22)*IF(AB22="SI",1,2)*IF(AND(P22&lt;&gt;"--",O22="RF"),P22/100,1)))</f>
        <v>3880.8900000000003</v>
      </c>
      <c r="AD22" s="99"/>
    </row>
    <row r="23" spans="1:30" s="8" customFormat="1" ht="16.5" customHeight="1">
      <c r="A23" s="89"/>
      <c r="B23" s="288"/>
      <c r="C23" s="169">
        <v>24</v>
      </c>
      <c r="D23" s="150">
        <v>295431</v>
      </c>
      <c r="E23" s="150">
        <v>76</v>
      </c>
      <c r="F23" s="358" t="s">
        <v>340</v>
      </c>
      <c r="G23" s="359" t="s">
        <v>341</v>
      </c>
      <c r="H23" s="360">
        <v>150</v>
      </c>
      <c r="I23" s="595" t="s">
        <v>412</v>
      </c>
      <c r="J23" s="362">
        <f t="shared" si="0"/>
        <v>208.65</v>
      </c>
      <c r="K23" s="363">
        <v>42341.342361111114</v>
      </c>
      <c r="L23" s="363">
        <v>42341.74236111111</v>
      </c>
      <c r="M23" s="364">
        <f t="shared" si="1"/>
        <v>9.599999999860302</v>
      </c>
      <c r="N23" s="365">
        <f t="shared" si="2"/>
        <v>576</v>
      </c>
      <c r="O23" s="366" t="s">
        <v>332</v>
      </c>
      <c r="P23" s="273" t="str">
        <f t="shared" si="3"/>
        <v>--</v>
      </c>
      <c r="Q23" s="367" t="str">
        <f t="shared" si="4"/>
        <v>--</v>
      </c>
      <c r="R23" s="180" t="str">
        <f t="shared" si="5"/>
        <v>NO</v>
      </c>
      <c r="S23" s="368">
        <f t="shared" si="6"/>
        <v>2</v>
      </c>
      <c r="T23" s="369">
        <f t="shared" si="7"/>
        <v>4006.08</v>
      </c>
      <c r="U23" s="370" t="str">
        <f t="shared" si="8"/>
        <v>--</v>
      </c>
      <c r="V23" s="371" t="str">
        <f t="shared" si="9"/>
        <v>--</v>
      </c>
      <c r="W23" s="372" t="str">
        <f t="shared" si="10"/>
        <v>--</v>
      </c>
      <c r="X23" s="373" t="str">
        <f t="shared" si="11"/>
        <v>--</v>
      </c>
      <c r="Y23" s="374" t="str">
        <f t="shared" si="12"/>
        <v>--</v>
      </c>
      <c r="Z23" s="375" t="str">
        <f t="shared" si="13"/>
        <v>--</v>
      </c>
      <c r="AA23" s="376" t="str">
        <f t="shared" si="14"/>
        <v>--</v>
      </c>
      <c r="AB23" s="377" t="s">
        <v>77</v>
      </c>
      <c r="AC23" s="192">
        <f t="shared" si="15"/>
        <v>4006.08</v>
      </c>
      <c r="AD23" s="99"/>
    </row>
    <row r="24" spans="1:30" s="8" customFormat="1" ht="16.5" customHeight="1">
      <c r="A24" s="89"/>
      <c r="B24" s="288"/>
      <c r="C24" s="169">
        <v>25</v>
      </c>
      <c r="D24" s="169">
        <v>295433</v>
      </c>
      <c r="E24" s="169">
        <v>76</v>
      </c>
      <c r="F24" s="358" t="s">
        <v>340</v>
      </c>
      <c r="G24" s="359" t="s">
        <v>341</v>
      </c>
      <c r="H24" s="360">
        <v>150</v>
      </c>
      <c r="I24" s="595" t="s">
        <v>412</v>
      </c>
      <c r="J24" s="362">
        <f t="shared" si="0"/>
        <v>208.65</v>
      </c>
      <c r="K24" s="363">
        <v>42342.31597222222</v>
      </c>
      <c r="L24" s="363">
        <v>42342.657638888886</v>
      </c>
      <c r="M24" s="364">
        <f t="shared" si="1"/>
        <v>8.200000000011642</v>
      </c>
      <c r="N24" s="365">
        <f t="shared" si="2"/>
        <v>492</v>
      </c>
      <c r="O24" s="366" t="s">
        <v>332</v>
      </c>
      <c r="P24" s="273" t="str">
        <f t="shared" si="3"/>
        <v>--</v>
      </c>
      <c r="Q24" s="367" t="str">
        <f t="shared" si="4"/>
        <v>--</v>
      </c>
      <c r="R24" s="180" t="str">
        <f t="shared" si="5"/>
        <v>NO</v>
      </c>
      <c r="S24" s="368">
        <f t="shared" si="6"/>
        <v>2</v>
      </c>
      <c r="T24" s="369">
        <f t="shared" si="7"/>
        <v>3421.8599999999997</v>
      </c>
      <c r="U24" s="370" t="str">
        <f t="shared" si="8"/>
        <v>--</v>
      </c>
      <c r="V24" s="371" t="str">
        <f t="shared" si="9"/>
        <v>--</v>
      </c>
      <c r="W24" s="372" t="str">
        <f t="shared" si="10"/>
        <v>--</v>
      </c>
      <c r="X24" s="373" t="str">
        <f t="shared" si="11"/>
        <v>--</v>
      </c>
      <c r="Y24" s="374" t="str">
        <f t="shared" si="12"/>
        <v>--</v>
      </c>
      <c r="Z24" s="375" t="str">
        <f t="shared" si="13"/>
        <v>--</v>
      </c>
      <c r="AA24" s="376" t="str">
        <f t="shared" si="14"/>
        <v>--</v>
      </c>
      <c r="AB24" s="377" t="s">
        <v>77</v>
      </c>
      <c r="AC24" s="192">
        <f t="shared" si="15"/>
        <v>3421.8599999999997</v>
      </c>
      <c r="AD24" s="99"/>
    </row>
    <row r="25" spans="1:30" s="8" customFormat="1" ht="16.5" customHeight="1">
      <c r="A25" s="89"/>
      <c r="B25" s="288"/>
      <c r="C25" s="169">
        <v>26</v>
      </c>
      <c r="D25" s="150">
        <v>295613</v>
      </c>
      <c r="E25" s="150">
        <v>57</v>
      </c>
      <c r="F25" s="358" t="s">
        <v>444</v>
      </c>
      <c r="G25" s="359" t="s">
        <v>339</v>
      </c>
      <c r="H25" s="360">
        <v>800</v>
      </c>
      <c r="I25" s="595" t="s">
        <v>445</v>
      </c>
      <c r="J25" s="362">
        <f t="shared" si="0"/>
        <v>1112.8</v>
      </c>
      <c r="K25" s="363">
        <v>42346.12430555555</v>
      </c>
      <c r="L25" s="363">
        <v>42346.720138888886</v>
      </c>
      <c r="M25" s="364">
        <f t="shared" si="1"/>
        <v>14.299999999988358</v>
      </c>
      <c r="N25" s="365">
        <f t="shared" si="2"/>
        <v>858</v>
      </c>
      <c r="O25" s="366" t="s">
        <v>332</v>
      </c>
      <c r="P25" s="273" t="str">
        <f t="shared" si="3"/>
        <v>--</v>
      </c>
      <c r="Q25" s="367" t="str">
        <f t="shared" si="4"/>
        <v>--</v>
      </c>
      <c r="R25" s="180" t="str">
        <f t="shared" si="5"/>
        <v>NO</v>
      </c>
      <c r="S25" s="368">
        <f t="shared" si="6"/>
        <v>2</v>
      </c>
      <c r="T25" s="369">
        <f t="shared" si="7"/>
        <v>31826.08</v>
      </c>
      <c r="U25" s="370" t="str">
        <f t="shared" si="8"/>
        <v>--</v>
      </c>
      <c r="V25" s="371" t="str">
        <f t="shared" si="9"/>
        <v>--</v>
      </c>
      <c r="W25" s="372" t="str">
        <f t="shared" si="10"/>
        <v>--</v>
      </c>
      <c r="X25" s="373" t="str">
        <f t="shared" si="11"/>
        <v>--</v>
      </c>
      <c r="Y25" s="374" t="str">
        <f t="shared" si="12"/>
        <v>--</v>
      </c>
      <c r="Z25" s="375" t="str">
        <f t="shared" si="13"/>
        <v>--</v>
      </c>
      <c r="AA25" s="376" t="str">
        <f t="shared" si="14"/>
        <v>--</v>
      </c>
      <c r="AB25" s="377" t="s">
        <v>77</v>
      </c>
      <c r="AC25" s="192">
        <v>0</v>
      </c>
      <c r="AD25" s="99"/>
    </row>
    <row r="26" spans="1:30" s="8" customFormat="1" ht="16.5" customHeight="1">
      <c r="A26" s="89"/>
      <c r="B26" s="288"/>
      <c r="C26" s="169">
        <v>27</v>
      </c>
      <c r="D26" s="169">
        <v>295615</v>
      </c>
      <c r="E26" s="169">
        <v>4566</v>
      </c>
      <c r="F26" s="358" t="s">
        <v>342</v>
      </c>
      <c r="G26" s="359" t="s">
        <v>339</v>
      </c>
      <c r="H26" s="360">
        <v>300</v>
      </c>
      <c r="I26" s="595" t="s">
        <v>149</v>
      </c>
      <c r="J26" s="362">
        <f t="shared" si="0"/>
        <v>417.3</v>
      </c>
      <c r="K26" s="363">
        <v>42346.34930555556</v>
      </c>
      <c r="L26" s="363">
        <v>42346.48055555556</v>
      </c>
      <c r="M26" s="364">
        <f t="shared" si="1"/>
        <v>3.1499999999650754</v>
      </c>
      <c r="N26" s="365">
        <f t="shared" si="2"/>
        <v>189</v>
      </c>
      <c r="O26" s="366" t="s">
        <v>332</v>
      </c>
      <c r="P26" s="273" t="str">
        <f t="shared" si="3"/>
        <v>--</v>
      </c>
      <c r="Q26" s="367" t="str">
        <f t="shared" si="4"/>
        <v>--</v>
      </c>
      <c r="R26" s="180" t="str">
        <f t="shared" si="5"/>
        <v>NO</v>
      </c>
      <c r="S26" s="368">
        <f t="shared" si="6"/>
        <v>2</v>
      </c>
      <c r="T26" s="369">
        <f t="shared" si="7"/>
        <v>2628.99</v>
      </c>
      <c r="U26" s="370" t="str">
        <f t="shared" si="8"/>
        <v>--</v>
      </c>
      <c r="V26" s="371" t="str">
        <f t="shared" si="9"/>
        <v>--</v>
      </c>
      <c r="W26" s="372" t="str">
        <f t="shared" si="10"/>
        <v>--</v>
      </c>
      <c r="X26" s="373" t="str">
        <f t="shared" si="11"/>
        <v>--</v>
      </c>
      <c r="Y26" s="374" t="str">
        <f t="shared" si="12"/>
        <v>--</v>
      </c>
      <c r="Z26" s="375" t="str">
        <f t="shared" si="13"/>
        <v>--</v>
      </c>
      <c r="AA26" s="376" t="str">
        <f t="shared" si="14"/>
        <v>--</v>
      </c>
      <c r="AB26" s="377" t="s">
        <v>77</v>
      </c>
      <c r="AC26" s="192">
        <f t="shared" si="15"/>
        <v>2628.99</v>
      </c>
      <c r="AD26" s="99"/>
    </row>
    <row r="27" spans="1:30" s="8" customFormat="1" ht="16.5" customHeight="1">
      <c r="A27" s="89"/>
      <c r="B27" s="288"/>
      <c r="C27" s="169">
        <v>28</v>
      </c>
      <c r="D27" s="150">
        <v>295616</v>
      </c>
      <c r="E27" s="150">
        <v>77</v>
      </c>
      <c r="F27" s="358" t="s">
        <v>340</v>
      </c>
      <c r="G27" s="359" t="s">
        <v>339</v>
      </c>
      <c r="H27" s="360">
        <v>300</v>
      </c>
      <c r="I27" s="595" t="s">
        <v>149</v>
      </c>
      <c r="J27" s="362">
        <f t="shared" si="0"/>
        <v>417.3</v>
      </c>
      <c r="K27" s="363">
        <v>42346.34930555556</v>
      </c>
      <c r="L27" s="363">
        <v>42346.66875</v>
      </c>
      <c r="M27" s="364">
        <f t="shared" si="1"/>
        <v>7.666666666511446</v>
      </c>
      <c r="N27" s="365">
        <f t="shared" si="2"/>
        <v>460</v>
      </c>
      <c r="O27" s="366" t="s">
        <v>332</v>
      </c>
      <c r="P27" s="273" t="str">
        <f t="shared" si="3"/>
        <v>--</v>
      </c>
      <c r="Q27" s="367" t="str">
        <f t="shared" si="4"/>
        <v>--</v>
      </c>
      <c r="R27" s="180" t="str">
        <f t="shared" si="5"/>
        <v>NO</v>
      </c>
      <c r="S27" s="368">
        <f t="shared" si="6"/>
        <v>2</v>
      </c>
      <c r="T27" s="369">
        <f t="shared" si="7"/>
        <v>6401.3820000000005</v>
      </c>
      <c r="U27" s="370" t="str">
        <f t="shared" si="8"/>
        <v>--</v>
      </c>
      <c r="V27" s="371" t="str">
        <f t="shared" si="9"/>
        <v>--</v>
      </c>
      <c r="W27" s="372" t="str">
        <f t="shared" si="10"/>
        <v>--</v>
      </c>
      <c r="X27" s="373" t="str">
        <f t="shared" si="11"/>
        <v>--</v>
      </c>
      <c r="Y27" s="374" t="str">
        <f t="shared" si="12"/>
        <v>--</v>
      </c>
      <c r="Z27" s="375" t="str">
        <f t="shared" si="13"/>
        <v>--</v>
      </c>
      <c r="AA27" s="376" t="str">
        <f t="shared" si="14"/>
        <v>--</v>
      </c>
      <c r="AB27" s="377" t="s">
        <v>77</v>
      </c>
      <c r="AC27" s="192">
        <f t="shared" si="15"/>
        <v>6401.3820000000005</v>
      </c>
      <c r="AD27" s="99"/>
    </row>
    <row r="28" spans="1:31" s="8" customFormat="1" ht="16.5" customHeight="1">
      <c r="A28" s="89"/>
      <c r="B28" s="288"/>
      <c r="C28" s="169">
        <v>29</v>
      </c>
      <c r="D28" s="169">
        <v>295630</v>
      </c>
      <c r="E28" s="169">
        <v>5230</v>
      </c>
      <c r="F28" s="358" t="s">
        <v>346</v>
      </c>
      <c r="G28" s="359" t="s">
        <v>341</v>
      </c>
      <c r="H28" s="360">
        <v>150</v>
      </c>
      <c r="I28" s="595" t="s">
        <v>149</v>
      </c>
      <c r="J28" s="362">
        <f t="shared" si="0"/>
        <v>208.65</v>
      </c>
      <c r="K28" s="363">
        <v>42350.525</v>
      </c>
      <c r="L28" s="363">
        <v>42350.552777777775</v>
      </c>
      <c r="M28" s="364">
        <f t="shared" si="1"/>
        <v>0.6666666665696539</v>
      </c>
      <c r="N28" s="365">
        <f t="shared" si="2"/>
        <v>40</v>
      </c>
      <c r="O28" s="366" t="s">
        <v>335</v>
      </c>
      <c r="P28" s="273" t="str">
        <f t="shared" si="3"/>
        <v>--</v>
      </c>
      <c r="Q28" s="367" t="str">
        <f t="shared" si="4"/>
        <v>NO</v>
      </c>
      <c r="R28" s="180" t="str">
        <f t="shared" si="5"/>
        <v>NO</v>
      </c>
      <c r="S28" s="368">
        <f t="shared" si="6"/>
        <v>20</v>
      </c>
      <c r="T28" s="369" t="str">
        <f t="shared" si="7"/>
        <v>--</v>
      </c>
      <c r="U28" s="370" t="str">
        <f t="shared" si="8"/>
        <v>--</v>
      </c>
      <c r="V28" s="371">
        <f t="shared" si="9"/>
        <v>4173</v>
      </c>
      <c r="W28" s="372">
        <f t="shared" si="10"/>
        <v>2795.9100000000003</v>
      </c>
      <c r="X28" s="373" t="str">
        <f t="shared" si="11"/>
        <v>--</v>
      </c>
      <c r="Y28" s="374" t="str">
        <f t="shared" si="12"/>
        <v>--</v>
      </c>
      <c r="Z28" s="375" t="str">
        <f t="shared" si="13"/>
        <v>--</v>
      </c>
      <c r="AA28" s="376" t="str">
        <f t="shared" si="14"/>
        <v>--</v>
      </c>
      <c r="AB28" s="377" t="s">
        <v>77</v>
      </c>
      <c r="AC28" s="192">
        <f t="shared" si="15"/>
        <v>6968.91</v>
      </c>
      <c r="AD28" s="99"/>
      <c r="AE28" s="83"/>
    </row>
    <row r="29" spans="1:30" s="8" customFormat="1" ht="16.5" customHeight="1">
      <c r="A29" s="89"/>
      <c r="B29" s="288"/>
      <c r="C29" s="169">
        <v>30</v>
      </c>
      <c r="D29" s="150">
        <v>295631</v>
      </c>
      <c r="E29" s="150">
        <v>3559</v>
      </c>
      <c r="F29" s="358" t="s">
        <v>340</v>
      </c>
      <c r="G29" s="359" t="s">
        <v>446</v>
      </c>
      <c r="H29" s="360">
        <v>300</v>
      </c>
      <c r="I29" s="595" t="s">
        <v>149</v>
      </c>
      <c r="J29" s="362">
        <f t="shared" si="0"/>
        <v>417.3</v>
      </c>
      <c r="K29" s="363">
        <v>42351.30694444444</v>
      </c>
      <c r="L29" s="363">
        <v>42351.7125</v>
      </c>
      <c r="M29" s="364">
        <f t="shared" si="1"/>
        <v>9.73333333345363</v>
      </c>
      <c r="N29" s="365">
        <f t="shared" si="2"/>
        <v>584</v>
      </c>
      <c r="O29" s="366" t="s">
        <v>332</v>
      </c>
      <c r="P29" s="273" t="str">
        <f t="shared" si="3"/>
        <v>--</v>
      </c>
      <c r="Q29" s="367" t="str">
        <f t="shared" si="4"/>
        <v>--</v>
      </c>
      <c r="R29" s="180" t="str">
        <f t="shared" si="5"/>
        <v>NO</v>
      </c>
      <c r="S29" s="368">
        <f t="shared" si="6"/>
        <v>2</v>
      </c>
      <c r="T29" s="369">
        <f t="shared" si="7"/>
        <v>8120.658</v>
      </c>
      <c r="U29" s="370" t="str">
        <f t="shared" si="8"/>
        <v>--</v>
      </c>
      <c r="V29" s="371" t="str">
        <f t="shared" si="9"/>
        <v>--</v>
      </c>
      <c r="W29" s="372" t="str">
        <f t="shared" si="10"/>
        <v>--</v>
      </c>
      <c r="X29" s="373" t="str">
        <f t="shared" si="11"/>
        <v>--</v>
      </c>
      <c r="Y29" s="374" t="str">
        <f t="shared" si="12"/>
        <v>--</v>
      </c>
      <c r="Z29" s="375" t="str">
        <f t="shared" si="13"/>
        <v>--</v>
      </c>
      <c r="AA29" s="376" t="str">
        <f t="shared" si="14"/>
        <v>--</v>
      </c>
      <c r="AB29" s="377" t="s">
        <v>77</v>
      </c>
      <c r="AC29" s="192">
        <f t="shared" si="15"/>
        <v>8120.658</v>
      </c>
      <c r="AD29" s="99"/>
    </row>
    <row r="30" spans="1:30" s="8" customFormat="1" ht="16.5" customHeight="1">
      <c r="A30" s="89"/>
      <c r="B30" s="288"/>
      <c r="C30" s="169">
        <v>31</v>
      </c>
      <c r="D30" s="169">
        <v>296019</v>
      </c>
      <c r="E30" s="169">
        <v>79</v>
      </c>
      <c r="F30" s="358" t="s">
        <v>338</v>
      </c>
      <c r="G30" s="359" t="s">
        <v>341</v>
      </c>
      <c r="H30" s="360">
        <v>300</v>
      </c>
      <c r="I30" s="595" t="s">
        <v>149</v>
      </c>
      <c r="J30" s="362">
        <f t="shared" si="0"/>
        <v>417.3</v>
      </c>
      <c r="K30" s="363">
        <v>42358.751388888886</v>
      </c>
      <c r="L30" s="363">
        <v>42358.83125</v>
      </c>
      <c r="M30" s="364">
        <f t="shared" si="1"/>
        <v>1.9166666668024845</v>
      </c>
      <c r="N30" s="365">
        <f t="shared" si="2"/>
        <v>115</v>
      </c>
      <c r="O30" s="366" t="s">
        <v>335</v>
      </c>
      <c r="P30" s="273" t="str">
        <f t="shared" si="3"/>
        <v>--</v>
      </c>
      <c r="Q30" s="367" t="str">
        <f t="shared" si="4"/>
        <v>NO</v>
      </c>
      <c r="R30" s="180" t="str">
        <f t="shared" si="5"/>
        <v>NO</v>
      </c>
      <c r="S30" s="368">
        <f t="shared" si="6"/>
        <v>20</v>
      </c>
      <c r="T30" s="369" t="str">
        <f t="shared" si="7"/>
        <v>--</v>
      </c>
      <c r="U30" s="370" t="str">
        <f t="shared" si="8"/>
        <v>--</v>
      </c>
      <c r="V30" s="371">
        <f t="shared" si="9"/>
        <v>8346</v>
      </c>
      <c r="W30" s="372">
        <f t="shared" si="10"/>
        <v>16024.32</v>
      </c>
      <c r="X30" s="373" t="str">
        <f t="shared" si="11"/>
        <v>--</v>
      </c>
      <c r="Y30" s="374" t="str">
        <f t="shared" si="12"/>
        <v>--</v>
      </c>
      <c r="Z30" s="375" t="str">
        <f t="shared" si="13"/>
        <v>--</v>
      </c>
      <c r="AA30" s="376" t="str">
        <f t="shared" si="14"/>
        <v>--</v>
      </c>
      <c r="AB30" s="377" t="s">
        <v>77</v>
      </c>
      <c r="AC30" s="192">
        <f t="shared" si="15"/>
        <v>24370.32</v>
      </c>
      <c r="AD30" s="99"/>
    </row>
    <row r="31" spans="1:30" s="8" customFormat="1" ht="16.5" customHeight="1">
      <c r="A31" s="89"/>
      <c r="B31" s="288"/>
      <c r="C31" s="169">
        <v>32</v>
      </c>
      <c r="D31" s="150">
        <v>296020</v>
      </c>
      <c r="E31" s="169">
        <v>4666</v>
      </c>
      <c r="F31" s="358" t="s">
        <v>338</v>
      </c>
      <c r="G31" s="359" t="s">
        <v>339</v>
      </c>
      <c r="H31" s="360">
        <v>300</v>
      </c>
      <c r="I31" s="595" t="s">
        <v>149</v>
      </c>
      <c r="J31" s="362">
        <f t="shared" si="0"/>
        <v>417.3</v>
      </c>
      <c r="K31" s="363">
        <v>42358.751388888886</v>
      </c>
      <c r="L31" s="363">
        <v>42358.75763888889</v>
      </c>
      <c r="M31" s="364">
        <f t="shared" si="1"/>
        <v>0.1500000001396984</v>
      </c>
      <c r="N31" s="365">
        <f t="shared" si="2"/>
        <v>9</v>
      </c>
      <c r="O31" s="366" t="s">
        <v>335</v>
      </c>
      <c r="P31" s="273" t="str">
        <f t="shared" si="3"/>
        <v>--</v>
      </c>
      <c r="Q31" s="367" t="str">
        <f t="shared" si="4"/>
        <v>NO</v>
      </c>
      <c r="R31" s="180" t="str">
        <f t="shared" si="5"/>
        <v>NO</v>
      </c>
      <c r="S31" s="368">
        <f t="shared" si="6"/>
        <v>20</v>
      </c>
      <c r="T31" s="369" t="str">
        <f t="shared" si="7"/>
        <v>--</v>
      </c>
      <c r="U31" s="370" t="str">
        <f t="shared" si="8"/>
        <v>--</v>
      </c>
      <c r="V31" s="371">
        <f t="shared" si="9"/>
        <v>8346</v>
      </c>
      <c r="W31" s="372">
        <f t="shared" si="10"/>
        <v>1251.8999999999999</v>
      </c>
      <c r="X31" s="373" t="str">
        <f t="shared" si="11"/>
        <v>--</v>
      </c>
      <c r="Y31" s="374" t="str">
        <f t="shared" si="12"/>
        <v>--</v>
      </c>
      <c r="Z31" s="375" t="str">
        <f t="shared" si="13"/>
        <v>--</v>
      </c>
      <c r="AA31" s="376" t="str">
        <f t="shared" si="14"/>
        <v>--</v>
      </c>
      <c r="AB31" s="377" t="s">
        <v>77</v>
      </c>
      <c r="AC31" s="192">
        <f t="shared" si="15"/>
        <v>9597.9</v>
      </c>
      <c r="AD31" s="99"/>
    </row>
    <row r="32" spans="1:30" s="8" customFormat="1" ht="16.5" customHeight="1">
      <c r="A32" s="89"/>
      <c r="B32" s="288"/>
      <c r="C32" s="169">
        <v>33</v>
      </c>
      <c r="D32" s="169">
        <v>296272</v>
      </c>
      <c r="E32" s="169">
        <v>4654</v>
      </c>
      <c r="F32" s="358" t="s">
        <v>340</v>
      </c>
      <c r="G32" s="378" t="s">
        <v>447</v>
      </c>
      <c r="H32" s="360">
        <v>300</v>
      </c>
      <c r="I32" s="361" t="s">
        <v>149</v>
      </c>
      <c r="J32" s="362">
        <f t="shared" si="0"/>
        <v>417.3</v>
      </c>
      <c r="K32" s="363">
        <v>42365.23472222222</v>
      </c>
      <c r="L32" s="363">
        <v>42365.245833333334</v>
      </c>
      <c r="M32" s="364">
        <f t="shared" si="1"/>
        <v>0.26666666666278616</v>
      </c>
      <c r="N32" s="365">
        <f t="shared" si="2"/>
        <v>16</v>
      </c>
      <c r="O32" s="366" t="s">
        <v>335</v>
      </c>
      <c r="P32" s="273" t="str">
        <f t="shared" si="3"/>
        <v>--</v>
      </c>
      <c r="Q32" s="367" t="str">
        <f t="shared" si="4"/>
        <v>NO</v>
      </c>
      <c r="R32" s="180" t="str">
        <f t="shared" si="5"/>
        <v>NO</v>
      </c>
      <c r="S32" s="368">
        <f t="shared" si="6"/>
        <v>20</v>
      </c>
      <c r="T32" s="369" t="str">
        <f t="shared" si="7"/>
        <v>--</v>
      </c>
      <c r="U32" s="370" t="str">
        <f t="shared" si="8"/>
        <v>--</v>
      </c>
      <c r="V32" s="371">
        <f t="shared" si="9"/>
        <v>8346</v>
      </c>
      <c r="W32" s="372">
        <f t="shared" si="10"/>
        <v>2253.42</v>
      </c>
      <c r="X32" s="373" t="str">
        <f t="shared" si="11"/>
        <v>--</v>
      </c>
      <c r="Y32" s="374" t="str">
        <f t="shared" si="12"/>
        <v>--</v>
      </c>
      <c r="Z32" s="375" t="str">
        <f t="shared" si="13"/>
        <v>--</v>
      </c>
      <c r="AA32" s="376" t="str">
        <f t="shared" si="14"/>
        <v>--</v>
      </c>
      <c r="AB32" s="377" t="str">
        <f aca="true" t="shared" si="16" ref="AB32:AB41">IF(F32="","","SI")</f>
        <v>SI</v>
      </c>
      <c r="AC32" s="192">
        <f t="shared" si="15"/>
        <v>10599.42</v>
      </c>
      <c r="AD32" s="99"/>
    </row>
    <row r="33" spans="1:30" s="8" customFormat="1" ht="16.5" customHeight="1">
      <c r="A33" s="89"/>
      <c r="B33" s="288"/>
      <c r="C33" s="150"/>
      <c r="D33" s="150"/>
      <c r="E33" s="150"/>
      <c r="F33" s="358"/>
      <c r="G33" s="378"/>
      <c r="H33" s="360"/>
      <c r="I33" s="361"/>
      <c r="J33" s="362">
        <f t="shared" si="0"/>
        <v>0</v>
      </c>
      <c r="K33" s="363"/>
      <c r="L33" s="363"/>
      <c r="M33" s="364">
        <f t="shared" si="1"/>
      </c>
      <c r="N33" s="365">
        <f t="shared" si="2"/>
      </c>
      <c r="O33" s="366"/>
      <c r="P33" s="273">
        <f t="shared" si="3"/>
      </c>
      <c r="Q33" s="367">
        <f t="shared" si="4"/>
      </c>
      <c r="R33" s="180">
        <f t="shared" si="5"/>
      </c>
      <c r="S33" s="368">
        <f t="shared" si="6"/>
        <v>20</v>
      </c>
      <c r="T33" s="369" t="str">
        <f t="shared" si="7"/>
        <v>--</v>
      </c>
      <c r="U33" s="370" t="str">
        <f t="shared" si="8"/>
        <v>--</v>
      </c>
      <c r="V33" s="371" t="str">
        <f t="shared" si="9"/>
        <v>--</v>
      </c>
      <c r="W33" s="372" t="str">
        <f t="shared" si="10"/>
        <v>--</v>
      </c>
      <c r="X33" s="373" t="str">
        <f t="shared" si="11"/>
        <v>--</v>
      </c>
      <c r="Y33" s="374" t="str">
        <f t="shared" si="12"/>
        <v>--</v>
      </c>
      <c r="Z33" s="375" t="str">
        <f t="shared" si="13"/>
        <v>--</v>
      </c>
      <c r="AA33" s="376" t="str">
        <f t="shared" si="14"/>
        <v>--</v>
      </c>
      <c r="AB33" s="377">
        <f t="shared" si="16"/>
      </c>
      <c r="AC33" s="192">
        <f t="shared" si="15"/>
      </c>
      <c r="AD33" s="99"/>
    </row>
    <row r="34" spans="1:30" s="8" customFormat="1" ht="16.5" customHeight="1">
      <c r="A34" s="89"/>
      <c r="B34" s="288"/>
      <c r="C34" s="169"/>
      <c r="D34" s="169"/>
      <c r="E34" s="169"/>
      <c r="F34" s="358"/>
      <c r="G34" s="359"/>
      <c r="H34" s="360"/>
      <c r="I34" s="595"/>
      <c r="J34" s="362">
        <f t="shared" si="0"/>
        <v>0</v>
      </c>
      <c r="K34" s="363"/>
      <c r="L34" s="363"/>
      <c r="M34" s="364">
        <f t="shared" si="1"/>
      </c>
      <c r="N34" s="365">
        <f t="shared" si="2"/>
      </c>
      <c r="O34" s="366"/>
      <c r="P34" s="273">
        <f t="shared" si="3"/>
      </c>
      <c r="Q34" s="367">
        <f t="shared" si="4"/>
      </c>
      <c r="R34" s="180">
        <f t="shared" si="5"/>
      </c>
      <c r="S34" s="368">
        <f t="shared" si="6"/>
        <v>20</v>
      </c>
      <c r="T34" s="369" t="str">
        <f t="shared" si="7"/>
        <v>--</v>
      </c>
      <c r="U34" s="370" t="str">
        <f t="shared" si="8"/>
        <v>--</v>
      </c>
      <c r="V34" s="371" t="str">
        <f t="shared" si="9"/>
        <v>--</v>
      </c>
      <c r="W34" s="372" t="str">
        <f t="shared" si="10"/>
        <v>--</v>
      </c>
      <c r="X34" s="373" t="str">
        <f t="shared" si="11"/>
        <v>--</v>
      </c>
      <c r="Y34" s="374" t="str">
        <f t="shared" si="12"/>
        <v>--</v>
      </c>
      <c r="Z34" s="375" t="str">
        <f t="shared" si="13"/>
        <v>--</v>
      </c>
      <c r="AA34" s="376" t="str">
        <f t="shared" si="14"/>
        <v>--</v>
      </c>
      <c r="AB34" s="377">
        <f t="shared" si="16"/>
      </c>
      <c r="AC34" s="192">
        <f t="shared" si="15"/>
      </c>
      <c r="AD34" s="99"/>
    </row>
    <row r="35" spans="1:30" s="8" customFormat="1" ht="16.5" customHeight="1">
      <c r="A35" s="89"/>
      <c r="B35" s="288"/>
      <c r="C35" s="150"/>
      <c r="D35" s="150"/>
      <c r="E35" s="150"/>
      <c r="F35" s="358"/>
      <c r="G35" s="359"/>
      <c r="H35" s="360"/>
      <c r="I35" s="595"/>
      <c r="J35" s="362">
        <f t="shared" si="0"/>
        <v>0</v>
      </c>
      <c r="K35" s="363"/>
      <c r="L35" s="363"/>
      <c r="M35" s="364">
        <f t="shared" si="1"/>
      </c>
      <c r="N35" s="365">
        <f t="shared" si="2"/>
      </c>
      <c r="O35" s="366"/>
      <c r="P35" s="273">
        <f t="shared" si="3"/>
      </c>
      <c r="Q35" s="367">
        <f t="shared" si="4"/>
      </c>
      <c r="R35" s="180">
        <f t="shared" si="5"/>
      </c>
      <c r="S35" s="368">
        <f t="shared" si="6"/>
        <v>20</v>
      </c>
      <c r="T35" s="369" t="str">
        <f t="shared" si="7"/>
        <v>--</v>
      </c>
      <c r="U35" s="370" t="str">
        <f t="shared" si="8"/>
        <v>--</v>
      </c>
      <c r="V35" s="371" t="str">
        <f t="shared" si="9"/>
        <v>--</v>
      </c>
      <c r="W35" s="372" t="str">
        <f t="shared" si="10"/>
        <v>--</v>
      </c>
      <c r="X35" s="373" t="str">
        <f t="shared" si="11"/>
        <v>--</v>
      </c>
      <c r="Y35" s="374" t="str">
        <f t="shared" si="12"/>
        <v>--</v>
      </c>
      <c r="Z35" s="375" t="str">
        <f t="shared" si="13"/>
        <v>--</v>
      </c>
      <c r="AA35" s="376" t="str">
        <f t="shared" si="14"/>
        <v>--</v>
      </c>
      <c r="AB35" s="377">
        <f t="shared" si="16"/>
      </c>
      <c r="AC35" s="192">
        <f t="shared" si="15"/>
      </c>
      <c r="AD35" s="99"/>
    </row>
    <row r="36" spans="1:30" s="8" customFormat="1" ht="16.5" customHeight="1">
      <c r="A36" s="89"/>
      <c r="B36" s="288"/>
      <c r="C36" s="169"/>
      <c r="D36" s="169"/>
      <c r="E36" s="169"/>
      <c r="F36" s="358"/>
      <c r="G36" s="378"/>
      <c r="H36" s="360"/>
      <c r="I36" s="361"/>
      <c r="J36" s="362">
        <f t="shared" si="0"/>
        <v>0</v>
      </c>
      <c r="K36" s="363"/>
      <c r="L36" s="363"/>
      <c r="M36" s="364">
        <f t="shared" si="1"/>
      </c>
      <c r="N36" s="365">
        <f t="shared" si="2"/>
      </c>
      <c r="O36" s="366"/>
      <c r="P36" s="273">
        <f t="shared" si="3"/>
      </c>
      <c r="Q36" s="367">
        <f t="shared" si="4"/>
      </c>
      <c r="R36" s="180">
        <f t="shared" si="5"/>
      </c>
      <c r="S36" s="368">
        <f t="shared" si="6"/>
        <v>20</v>
      </c>
      <c r="T36" s="369" t="str">
        <f t="shared" si="7"/>
        <v>--</v>
      </c>
      <c r="U36" s="370" t="str">
        <f t="shared" si="8"/>
        <v>--</v>
      </c>
      <c r="V36" s="371" t="str">
        <f t="shared" si="9"/>
        <v>--</v>
      </c>
      <c r="W36" s="372" t="str">
        <f t="shared" si="10"/>
        <v>--</v>
      </c>
      <c r="X36" s="373" t="str">
        <f t="shared" si="11"/>
        <v>--</v>
      </c>
      <c r="Y36" s="374" t="str">
        <f t="shared" si="12"/>
        <v>--</v>
      </c>
      <c r="Z36" s="375" t="str">
        <f t="shared" si="13"/>
        <v>--</v>
      </c>
      <c r="AA36" s="376" t="str">
        <f t="shared" si="14"/>
        <v>--</v>
      </c>
      <c r="AB36" s="377">
        <f t="shared" si="16"/>
      </c>
      <c r="AC36" s="192">
        <f t="shared" si="15"/>
      </c>
      <c r="AD36" s="99"/>
    </row>
    <row r="37" spans="1:30" s="8" customFormat="1" ht="16.5" customHeight="1">
      <c r="A37" s="89"/>
      <c r="B37" s="288"/>
      <c r="C37" s="150"/>
      <c r="D37" s="150"/>
      <c r="E37" s="150"/>
      <c r="F37" s="358"/>
      <c r="G37" s="378"/>
      <c r="H37" s="360"/>
      <c r="I37" s="361"/>
      <c r="J37" s="362">
        <f t="shared" si="0"/>
        <v>0</v>
      </c>
      <c r="K37" s="363"/>
      <c r="L37" s="363"/>
      <c r="M37" s="364">
        <f t="shared" si="1"/>
      </c>
      <c r="N37" s="365">
        <f t="shared" si="2"/>
      </c>
      <c r="O37" s="366"/>
      <c r="P37" s="273">
        <f t="shared" si="3"/>
      </c>
      <c r="Q37" s="367">
        <f t="shared" si="4"/>
      </c>
      <c r="R37" s="180">
        <f t="shared" si="5"/>
      </c>
      <c r="S37" s="368">
        <f t="shared" si="6"/>
        <v>20</v>
      </c>
      <c r="T37" s="369" t="str">
        <f t="shared" si="7"/>
        <v>--</v>
      </c>
      <c r="U37" s="370" t="str">
        <f t="shared" si="8"/>
        <v>--</v>
      </c>
      <c r="V37" s="371" t="str">
        <f t="shared" si="9"/>
        <v>--</v>
      </c>
      <c r="W37" s="372" t="str">
        <f t="shared" si="10"/>
        <v>--</v>
      </c>
      <c r="X37" s="373" t="str">
        <f t="shared" si="11"/>
        <v>--</v>
      </c>
      <c r="Y37" s="374" t="str">
        <f t="shared" si="12"/>
        <v>--</v>
      </c>
      <c r="Z37" s="375" t="str">
        <f t="shared" si="13"/>
        <v>--</v>
      </c>
      <c r="AA37" s="376" t="str">
        <f t="shared" si="14"/>
        <v>--</v>
      </c>
      <c r="AB37" s="377">
        <f t="shared" si="16"/>
      </c>
      <c r="AC37" s="192">
        <f t="shared" si="15"/>
      </c>
      <c r="AD37" s="99"/>
    </row>
    <row r="38" spans="1:30" s="8" customFormat="1" ht="16.5" customHeight="1">
      <c r="A38" s="89"/>
      <c r="B38" s="288"/>
      <c r="C38" s="169"/>
      <c r="D38" s="169"/>
      <c r="E38" s="169"/>
      <c r="F38" s="358"/>
      <c r="G38" s="378"/>
      <c r="H38" s="360"/>
      <c r="I38" s="361"/>
      <c r="J38" s="362">
        <f t="shared" si="0"/>
        <v>0</v>
      </c>
      <c r="K38" s="363"/>
      <c r="L38" s="363"/>
      <c r="M38" s="364">
        <f t="shared" si="1"/>
      </c>
      <c r="N38" s="365">
        <f t="shared" si="2"/>
      </c>
      <c r="O38" s="366"/>
      <c r="P38" s="273">
        <f t="shared" si="3"/>
      </c>
      <c r="Q38" s="367">
        <f t="shared" si="4"/>
      </c>
      <c r="R38" s="180">
        <f t="shared" si="5"/>
      </c>
      <c r="S38" s="368">
        <f t="shared" si="6"/>
        <v>20</v>
      </c>
      <c r="T38" s="369" t="str">
        <f t="shared" si="7"/>
        <v>--</v>
      </c>
      <c r="U38" s="370" t="str">
        <f t="shared" si="8"/>
        <v>--</v>
      </c>
      <c r="V38" s="371" t="str">
        <f t="shared" si="9"/>
        <v>--</v>
      </c>
      <c r="W38" s="372" t="str">
        <f t="shared" si="10"/>
        <v>--</v>
      </c>
      <c r="X38" s="373" t="str">
        <f t="shared" si="11"/>
        <v>--</v>
      </c>
      <c r="Y38" s="374" t="str">
        <f t="shared" si="12"/>
        <v>--</v>
      </c>
      <c r="Z38" s="375" t="str">
        <f t="shared" si="13"/>
        <v>--</v>
      </c>
      <c r="AA38" s="376" t="str">
        <f t="shared" si="14"/>
        <v>--</v>
      </c>
      <c r="AB38" s="377">
        <f t="shared" si="16"/>
      </c>
      <c r="AC38" s="192">
        <f t="shared" si="15"/>
      </c>
      <c r="AD38" s="99"/>
    </row>
    <row r="39" spans="1:30" s="8" customFormat="1" ht="16.5" customHeight="1">
      <c r="A39" s="89"/>
      <c r="B39" s="288"/>
      <c r="C39" s="150"/>
      <c r="D39" s="150"/>
      <c r="E39" s="150"/>
      <c r="F39" s="358"/>
      <c r="G39" s="378"/>
      <c r="H39" s="360"/>
      <c r="I39" s="361"/>
      <c r="J39" s="362">
        <f t="shared" si="0"/>
        <v>0</v>
      </c>
      <c r="K39" s="363"/>
      <c r="L39" s="363"/>
      <c r="M39" s="364">
        <f t="shared" si="1"/>
      </c>
      <c r="N39" s="365">
        <f t="shared" si="2"/>
      </c>
      <c r="O39" s="366"/>
      <c r="P39" s="273">
        <f t="shared" si="3"/>
      </c>
      <c r="Q39" s="367">
        <f t="shared" si="4"/>
      </c>
      <c r="R39" s="180">
        <f t="shared" si="5"/>
      </c>
      <c r="S39" s="368">
        <f t="shared" si="6"/>
        <v>20</v>
      </c>
      <c r="T39" s="369" t="str">
        <f t="shared" si="7"/>
        <v>--</v>
      </c>
      <c r="U39" s="370" t="str">
        <f t="shared" si="8"/>
        <v>--</v>
      </c>
      <c r="V39" s="371" t="str">
        <f t="shared" si="9"/>
        <v>--</v>
      </c>
      <c r="W39" s="372" t="str">
        <f t="shared" si="10"/>
        <v>--</v>
      </c>
      <c r="X39" s="373" t="str">
        <f t="shared" si="11"/>
        <v>--</v>
      </c>
      <c r="Y39" s="374" t="str">
        <f t="shared" si="12"/>
        <v>--</v>
      </c>
      <c r="Z39" s="375" t="str">
        <f t="shared" si="13"/>
        <v>--</v>
      </c>
      <c r="AA39" s="376" t="str">
        <f t="shared" si="14"/>
        <v>--</v>
      </c>
      <c r="AB39" s="377">
        <f t="shared" si="16"/>
      </c>
      <c r="AC39" s="192">
        <f t="shared" si="15"/>
      </c>
      <c r="AD39" s="99"/>
    </row>
    <row r="40" spans="1:30" s="8" customFormat="1" ht="16.5" customHeight="1">
      <c r="A40" s="89"/>
      <c r="B40" s="288"/>
      <c r="C40" s="169"/>
      <c r="D40" s="169"/>
      <c r="E40" s="169"/>
      <c r="F40" s="358"/>
      <c r="G40" s="378"/>
      <c r="H40" s="360"/>
      <c r="I40" s="361"/>
      <c r="J40" s="362">
        <f t="shared" si="0"/>
        <v>0</v>
      </c>
      <c r="K40" s="363"/>
      <c r="L40" s="363"/>
      <c r="M40" s="364">
        <f t="shared" si="1"/>
      </c>
      <c r="N40" s="365">
        <f t="shared" si="2"/>
      </c>
      <c r="O40" s="366"/>
      <c r="P40" s="273">
        <f t="shared" si="3"/>
      </c>
      <c r="Q40" s="367">
        <f t="shared" si="4"/>
      </c>
      <c r="R40" s="180">
        <f t="shared" si="5"/>
      </c>
      <c r="S40" s="368">
        <f t="shared" si="6"/>
        <v>20</v>
      </c>
      <c r="T40" s="369" t="str">
        <f t="shared" si="7"/>
        <v>--</v>
      </c>
      <c r="U40" s="370" t="str">
        <f t="shared" si="8"/>
        <v>--</v>
      </c>
      <c r="V40" s="371" t="str">
        <f t="shared" si="9"/>
        <v>--</v>
      </c>
      <c r="W40" s="372" t="str">
        <f t="shared" si="10"/>
        <v>--</v>
      </c>
      <c r="X40" s="373" t="str">
        <f t="shared" si="11"/>
        <v>--</v>
      </c>
      <c r="Y40" s="374" t="str">
        <f t="shared" si="12"/>
        <v>--</v>
      </c>
      <c r="Z40" s="375" t="str">
        <f t="shared" si="13"/>
        <v>--</v>
      </c>
      <c r="AA40" s="376" t="str">
        <f t="shared" si="14"/>
        <v>--</v>
      </c>
      <c r="AB40" s="377">
        <f t="shared" si="16"/>
      </c>
      <c r="AC40" s="192">
        <f t="shared" si="15"/>
      </c>
      <c r="AD40" s="99"/>
    </row>
    <row r="41" spans="1:30" s="8" customFormat="1" ht="16.5" customHeight="1">
      <c r="A41" s="89"/>
      <c r="B41" s="288"/>
      <c r="C41" s="150"/>
      <c r="D41" s="150"/>
      <c r="E41" s="150"/>
      <c r="F41" s="358"/>
      <c r="G41" s="378"/>
      <c r="H41" s="360"/>
      <c r="I41" s="361"/>
      <c r="J41" s="362">
        <f t="shared" si="0"/>
        <v>0</v>
      </c>
      <c r="K41" s="363"/>
      <c r="L41" s="363"/>
      <c r="M41" s="364">
        <f t="shared" si="1"/>
      </c>
      <c r="N41" s="365">
        <f t="shared" si="2"/>
      </c>
      <c r="O41" s="366"/>
      <c r="P41" s="273">
        <f t="shared" si="3"/>
      </c>
      <c r="Q41" s="367">
        <f t="shared" si="4"/>
      </c>
      <c r="R41" s="180">
        <f t="shared" si="5"/>
      </c>
      <c r="S41" s="368">
        <f t="shared" si="6"/>
        <v>20</v>
      </c>
      <c r="T41" s="369" t="str">
        <f t="shared" si="7"/>
        <v>--</v>
      </c>
      <c r="U41" s="370" t="str">
        <f t="shared" si="8"/>
        <v>--</v>
      </c>
      <c r="V41" s="371" t="str">
        <f t="shared" si="9"/>
        <v>--</v>
      </c>
      <c r="W41" s="372" t="str">
        <f t="shared" si="10"/>
        <v>--</v>
      </c>
      <c r="X41" s="373" t="str">
        <f t="shared" si="11"/>
        <v>--</v>
      </c>
      <c r="Y41" s="374" t="str">
        <f t="shared" si="12"/>
        <v>--</v>
      </c>
      <c r="Z41" s="375" t="str">
        <f t="shared" si="13"/>
        <v>--</v>
      </c>
      <c r="AA41" s="376" t="str">
        <f t="shared" si="14"/>
        <v>--</v>
      </c>
      <c r="AB41" s="377">
        <f t="shared" si="16"/>
      </c>
      <c r="AC41" s="192">
        <f t="shared" si="15"/>
      </c>
      <c r="AD41" s="99"/>
    </row>
    <row r="42" spans="1:30" s="8" customFormat="1" ht="16.5" customHeight="1" thickBot="1">
      <c r="A42" s="89"/>
      <c r="B42" s="288"/>
      <c r="C42" s="169"/>
      <c r="D42" s="169"/>
      <c r="E42" s="169"/>
      <c r="F42" s="379"/>
      <c r="G42" s="380"/>
      <c r="H42" s="379"/>
      <c r="I42" s="381"/>
      <c r="J42" s="382"/>
      <c r="K42" s="383"/>
      <c r="L42" s="384"/>
      <c r="M42" s="385"/>
      <c r="N42" s="386"/>
      <c r="O42" s="387"/>
      <c r="P42" s="216"/>
      <c r="Q42" s="388"/>
      <c r="R42" s="387"/>
      <c r="S42" s="389"/>
      <c r="T42" s="390"/>
      <c r="U42" s="391"/>
      <c r="V42" s="392"/>
      <c r="W42" s="393"/>
      <c r="X42" s="394"/>
      <c r="Y42" s="395"/>
      <c r="Z42" s="396"/>
      <c r="AA42" s="397"/>
      <c r="AB42" s="398"/>
      <c r="AC42" s="399"/>
      <c r="AD42" s="99"/>
    </row>
    <row r="43" spans="1:30" s="8" customFormat="1" ht="16.5" customHeight="1" thickBot="1" thickTop="1">
      <c r="A43" s="89"/>
      <c r="B43" s="288"/>
      <c r="C43" s="229" t="s">
        <v>322</v>
      </c>
      <c r="D43" s="1338" t="s">
        <v>366</v>
      </c>
      <c r="E43" s="229"/>
      <c r="F43" s="230"/>
      <c r="G43" s="83"/>
      <c r="H43" s="83"/>
      <c r="I43" s="83"/>
      <c r="J43" s="83"/>
      <c r="K43" s="83"/>
      <c r="L43" s="315"/>
      <c r="M43" s="83"/>
      <c r="N43" s="83"/>
      <c r="O43" s="83"/>
      <c r="P43" s="83"/>
      <c r="Q43" s="83"/>
      <c r="R43" s="83"/>
      <c r="S43" s="83"/>
      <c r="T43" s="400">
        <f aca="true" t="shared" si="17" ref="T43:AA43">SUM(T20:T42)</f>
        <v>60285.94</v>
      </c>
      <c r="U43" s="401">
        <f t="shared" si="17"/>
        <v>0</v>
      </c>
      <c r="V43" s="402">
        <f t="shared" si="17"/>
        <v>29211</v>
      </c>
      <c r="W43" s="403">
        <f t="shared" si="17"/>
        <v>22325.550000000003</v>
      </c>
      <c r="X43" s="404">
        <f t="shared" si="17"/>
        <v>0</v>
      </c>
      <c r="Y43" s="405">
        <f t="shared" si="17"/>
        <v>0</v>
      </c>
      <c r="Z43" s="406">
        <f t="shared" si="17"/>
        <v>0</v>
      </c>
      <c r="AA43" s="407">
        <f t="shared" si="17"/>
        <v>0</v>
      </c>
      <c r="AB43" s="89"/>
      <c r="AC43" s="408">
        <f>ROUND(SUM(AC20:AC42),2)</f>
        <v>79996.41</v>
      </c>
      <c r="AD43" s="99"/>
    </row>
    <row r="44" spans="1:30" s="8" customFormat="1" ht="16.5" customHeight="1" thickBot="1" thickTop="1">
      <c r="A44" s="89"/>
      <c r="B44" s="409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1"/>
    </row>
    <row r="45" spans="1:31" ht="16.5" customHeight="1" thickTop="1">
      <c r="A45" s="412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</row>
    <row r="46" spans="1:31" ht="16.5" customHeight="1">
      <c r="A46" s="412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</row>
    <row r="47" spans="1:31" ht="16.5" customHeight="1">
      <c r="A47" s="412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</row>
    <row r="48" spans="1:31" ht="16.5" customHeight="1">
      <c r="A48" s="412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</row>
    <row r="49" spans="6:31" ht="16.5" customHeight="1"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</row>
    <row r="50" spans="6:31" ht="16.5" customHeight="1"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</row>
    <row r="51" spans="6:31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</row>
    <row r="52" spans="6:31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</row>
    <row r="53" spans="6:31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</row>
    <row r="54" spans="6:31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</row>
    <row r="55" spans="6:31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</row>
    <row r="56" spans="6:31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</row>
    <row r="57" spans="6:31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</row>
    <row r="58" spans="6:31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</row>
    <row r="59" spans="6:31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</row>
    <row r="60" spans="6:31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</row>
    <row r="61" spans="6:31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</row>
    <row r="62" spans="6:31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</row>
    <row r="63" spans="6:31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</row>
    <row r="64" spans="6:31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13"/>
    </row>
    <row r="65" spans="6:31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</row>
    <row r="66" spans="6:31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</row>
    <row r="67" spans="6:31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  <c r="AD67" s="413"/>
      <c r="AE67" s="413"/>
    </row>
    <row r="68" spans="6:31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</row>
    <row r="69" spans="6:31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  <c r="AD69" s="413"/>
      <c r="AE69" s="413"/>
    </row>
    <row r="70" spans="6:31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13"/>
    </row>
    <row r="71" spans="6:31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</row>
    <row r="72" spans="6:31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</row>
    <row r="73" spans="6:31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</row>
    <row r="74" spans="6:31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  <c r="AD74" s="413"/>
      <c r="AE74" s="413"/>
    </row>
    <row r="75" spans="6:31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</row>
    <row r="76" spans="6:31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  <c r="AD76" s="413"/>
      <c r="AE76" s="413"/>
    </row>
    <row r="77" spans="6:31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3"/>
    </row>
    <row r="78" spans="6:31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  <c r="AD78" s="413"/>
      <c r="AE78" s="413"/>
    </row>
    <row r="79" spans="6:31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</row>
    <row r="80" spans="6:31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  <c r="AD80" s="413"/>
      <c r="AE80" s="413"/>
    </row>
    <row r="81" spans="6:31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</row>
    <row r="82" spans="6:31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  <c r="AD82" s="413"/>
      <c r="AE82" s="413"/>
    </row>
    <row r="83" spans="6:31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</row>
    <row r="84" spans="6:31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  <c r="AD84" s="413"/>
      <c r="AE84" s="413"/>
    </row>
    <row r="85" spans="6:31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</row>
    <row r="86" spans="6:31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  <c r="AD86" s="413"/>
      <c r="AE86" s="413"/>
    </row>
    <row r="87" spans="6:31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</row>
    <row r="88" spans="6:31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  <c r="AD88" s="413"/>
      <c r="AE88" s="413"/>
    </row>
    <row r="89" spans="6:31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</row>
    <row r="90" spans="6:31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</row>
    <row r="91" spans="6:31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</row>
    <row r="92" spans="6:31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  <c r="AD92" s="413"/>
      <c r="AE92" s="413"/>
    </row>
    <row r="93" spans="6:31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</row>
    <row r="94" spans="6:31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  <c r="AD94" s="413"/>
      <c r="AE94" s="413"/>
    </row>
    <row r="95" spans="6:31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</row>
    <row r="96" spans="6:31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  <c r="AD96" s="413"/>
      <c r="AE96" s="413"/>
    </row>
    <row r="97" spans="6:31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</row>
    <row r="98" spans="6:31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  <c r="AD98" s="413"/>
      <c r="AE98" s="413"/>
    </row>
    <row r="99" spans="6:31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</row>
    <row r="100" spans="6:31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  <c r="AD100" s="413"/>
      <c r="AE100" s="413"/>
    </row>
    <row r="101" spans="6:31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  <c r="AD101" s="413"/>
      <c r="AE101" s="413"/>
    </row>
    <row r="102" spans="6:31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  <c r="AD102" s="413"/>
      <c r="AE102" s="413"/>
    </row>
    <row r="103" spans="6:31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</row>
    <row r="104" spans="6:31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</row>
    <row r="105" spans="6:31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3"/>
      <c r="AE105" s="413"/>
    </row>
    <row r="106" spans="6:31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3"/>
      <c r="AE106" s="413"/>
    </row>
    <row r="107" spans="6:31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</row>
    <row r="108" spans="6:31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  <c r="AD108" s="413"/>
      <c r="AE108" s="413"/>
    </row>
    <row r="109" spans="6:31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  <c r="AD109" s="413"/>
      <c r="AE109" s="413"/>
    </row>
    <row r="110" spans="6:31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</row>
    <row r="111" spans="6:31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</row>
    <row r="112" spans="6:31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  <c r="AD112" s="413"/>
      <c r="AE112" s="413"/>
    </row>
    <row r="113" spans="6:31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</row>
    <row r="114" spans="6:31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  <c r="AD114" s="413"/>
      <c r="AE114" s="413"/>
    </row>
    <row r="115" spans="6:31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</row>
    <row r="116" spans="6:31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  <c r="AD116" s="413"/>
      <c r="AE116" s="413"/>
    </row>
    <row r="117" spans="6:31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  <c r="AD117" s="413"/>
      <c r="AE117" s="413"/>
    </row>
    <row r="118" spans="6:31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  <c r="AD118" s="413"/>
      <c r="AE118" s="413"/>
    </row>
    <row r="119" spans="6:31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</row>
    <row r="120" spans="6:31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  <c r="AD120" s="413"/>
      <c r="AE120" s="413"/>
    </row>
    <row r="121" spans="6:31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</row>
    <row r="122" spans="6:31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  <c r="AD122" s="413"/>
      <c r="AE122" s="413"/>
    </row>
    <row r="123" spans="6:31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</row>
    <row r="124" spans="6:31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  <c r="AD124" s="413"/>
      <c r="AE124" s="413"/>
    </row>
    <row r="125" spans="6:31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  <c r="AD125" s="413"/>
      <c r="AE125" s="413"/>
    </row>
    <row r="126" spans="6:31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  <c r="AD126" s="413"/>
      <c r="AE126" s="413"/>
    </row>
    <row r="127" spans="6:31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</row>
    <row r="128" spans="6:31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  <c r="AD128" s="413"/>
      <c r="AE128" s="413"/>
    </row>
    <row r="129" spans="6:31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</row>
    <row r="130" spans="6:31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  <c r="AD130" s="413"/>
      <c r="AE130" s="413"/>
    </row>
    <row r="131" spans="6:31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</row>
    <row r="132" spans="6:31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  <c r="AD132" s="413"/>
      <c r="AE132" s="413"/>
    </row>
    <row r="133" spans="6:31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</row>
    <row r="134" spans="6:31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</row>
    <row r="135" spans="6:31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</row>
    <row r="136" spans="6:31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  <c r="AD136" s="413"/>
      <c r="AE136" s="413"/>
    </row>
    <row r="137" spans="6:31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  <c r="AD137" s="413"/>
      <c r="AE137" s="413"/>
    </row>
    <row r="138" spans="6:31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  <c r="AD138" s="413"/>
      <c r="AE138" s="413"/>
    </row>
    <row r="139" spans="6:31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  <c r="AD139" s="413"/>
      <c r="AE139" s="413"/>
    </row>
    <row r="140" spans="6:31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  <c r="AD140" s="413"/>
      <c r="AE140" s="413"/>
    </row>
    <row r="141" spans="6:31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  <c r="AD141" s="413"/>
      <c r="AE141" s="413"/>
    </row>
    <row r="142" spans="6:31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  <c r="AD142" s="413"/>
      <c r="AE142" s="413"/>
    </row>
    <row r="143" spans="6:31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</row>
    <row r="144" spans="6:31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  <c r="AD144" s="413"/>
      <c r="AE144" s="413"/>
    </row>
    <row r="145" spans="6:31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</row>
    <row r="146" spans="6:31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  <c r="AD146" s="413"/>
      <c r="AE146" s="413"/>
    </row>
    <row r="147" spans="6:31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  <c r="AD147" s="413"/>
      <c r="AE147" s="413"/>
    </row>
    <row r="148" spans="6:31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  <c r="AD148" s="413"/>
      <c r="AE148" s="413"/>
    </row>
    <row r="149" spans="6:31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</row>
    <row r="150" spans="6:31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  <c r="AD150" s="413"/>
      <c r="AE150" s="413"/>
    </row>
    <row r="151" spans="6:31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  <c r="AD151" s="413"/>
      <c r="AE151" s="413"/>
    </row>
    <row r="152" spans="6:31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  <c r="Z152" s="413"/>
      <c r="AA152" s="413"/>
      <c r="AB152" s="413"/>
      <c r="AC152" s="413"/>
      <c r="AD152" s="413"/>
      <c r="AE152" s="413"/>
    </row>
    <row r="153" ht="16.5" customHeight="1">
      <c r="AE153" s="413"/>
    </row>
    <row r="154" ht="16.5" customHeight="1">
      <c r="AE154" s="413"/>
    </row>
    <row r="155" ht="16.5" customHeight="1">
      <c r="AE155" s="413"/>
    </row>
    <row r="156" ht="16.5" customHeight="1">
      <c r="AE156" s="413"/>
    </row>
    <row r="157" ht="16.5" customHeight="1"/>
    <row r="158" ht="16.5" customHeight="1"/>
    <row r="159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I155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2.75"/>
  <cols>
    <col min="1" max="2" width="4.140625" style="1120" customWidth="1"/>
    <col min="3" max="3" width="5.421875" style="1120" customWidth="1"/>
    <col min="4" max="5" width="13.57421875" style="1120" customWidth="1"/>
    <col min="6" max="6" width="28.57421875" style="1120" customWidth="1"/>
    <col min="7" max="7" width="22.7109375" style="1120" customWidth="1"/>
    <col min="8" max="8" width="8.7109375" style="1120" customWidth="1"/>
    <col min="9" max="9" width="11.140625" style="1120" customWidth="1"/>
    <col min="10" max="10" width="7.7109375" style="1120" hidden="1" customWidth="1"/>
    <col min="11" max="11" width="16.28125" style="1120" customWidth="1"/>
    <col min="12" max="12" width="16.421875" style="1120" customWidth="1"/>
    <col min="13" max="16" width="9.7109375" style="1120" customWidth="1"/>
    <col min="17" max="17" width="5.8515625" style="1120" customWidth="1"/>
    <col min="18" max="18" width="7.00390625" style="1120" customWidth="1"/>
    <col min="19" max="19" width="3.8515625" style="1120" hidden="1" customWidth="1"/>
    <col min="20" max="21" width="11.28125" style="1120" hidden="1" customWidth="1"/>
    <col min="22" max="25" width="4.7109375" style="1120" hidden="1" customWidth="1"/>
    <col min="26" max="26" width="11.57421875" style="1120" hidden="1" customWidth="1"/>
    <col min="27" max="27" width="12.421875" style="1120" hidden="1" customWidth="1"/>
    <col min="28" max="28" width="8.140625" style="1120" bestFit="1" customWidth="1"/>
    <col min="29" max="29" width="11.421875" style="1120" hidden="1" customWidth="1"/>
    <col min="30" max="30" width="15.7109375" style="1120" customWidth="1"/>
    <col min="31" max="31" width="4.140625" style="1120" customWidth="1"/>
    <col min="32" max="16384" width="11.421875" style="1120" customWidth="1"/>
  </cols>
  <sheetData>
    <row r="1" spans="2:31" s="1121" customFormat="1" ht="26.25"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  <c r="Q1" s="1123"/>
      <c r="R1" s="1123"/>
      <c r="S1" s="1123"/>
      <c r="T1" s="1123"/>
      <c r="U1" s="1123"/>
      <c r="V1" s="1123"/>
      <c r="W1" s="1123"/>
      <c r="X1" s="1123"/>
      <c r="Y1" s="1123"/>
      <c r="Z1" s="1123"/>
      <c r="AA1" s="1123"/>
      <c r="AB1" s="1123"/>
      <c r="AC1" s="1123"/>
      <c r="AD1" s="1123"/>
      <c r="AE1" s="1189"/>
    </row>
    <row r="2" spans="1:31" s="1121" customFormat="1" ht="26.25">
      <c r="A2" s="1123"/>
      <c r="B2" s="1190" t="str">
        <f>'TOT-1215'!B2</f>
        <v>ANEXO I al Memorándum D.T.E.E. N°  231  / 2017</v>
      </c>
      <c r="C2" s="1190"/>
      <c r="D2" s="1190"/>
      <c r="E2" s="1190"/>
      <c r="F2" s="1190"/>
      <c r="G2" s="1124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0"/>
      <c r="AA2" s="1190"/>
      <c r="AB2" s="1190"/>
      <c r="AC2" s="1190"/>
      <c r="AD2" s="1190"/>
      <c r="AE2" s="1190"/>
    </row>
    <row r="3" spans="1:31" s="1126" customFormat="1" ht="13.5" customHeight="1">
      <c r="A3" s="1125"/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  <c r="O3" s="1125"/>
      <c r="P3" s="1125"/>
      <c r="Q3" s="1125"/>
      <c r="R3" s="1125"/>
      <c r="S3" s="1125"/>
      <c r="T3" s="1125"/>
      <c r="U3" s="1125"/>
      <c r="V3" s="1125"/>
      <c r="W3" s="1125"/>
      <c r="X3" s="1125"/>
      <c r="Y3" s="1125"/>
      <c r="Z3" s="1125"/>
      <c r="AA3" s="1125"/>
      <c r="AB3" s="1125"/>
      <c r="AC3" s="1125"/>
      <c r="AD3" s="1125"/>
      <c r="AE3" s="1125"/>
    </row>
    <row r="4" spans="1:31" s="1129" customFormat="1" ht="11.25">
      <c r="A4" s="1191" t="s">
        <v>49</v>
      </c>
      <c r="B4" s="1192"/>
      <c r="C4" s="1192"/>
      <c r="D4" s="1192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</row>
    <row r="5" spans="1:31" s="1129" customFormat="1" ht="11.25">
      <c r="A5" s="1191" t="s">
        <v>3</v>
      </c>
      <c r="B5" s="1192"/>
      <c r="C5" s="1192"/>
      <c r="D5" s="1192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</row>
    <row r="6" spans="1:31" s="1126" customFormat="1" ht="13.5" thickBot="1">
      <c r="A6" s="1125"/>
      <c r="B6" s="1125"/>
      <c r="C6" s="1125"/>
      <c r="D6" s="1125"/>
      <c r="E6" s="1125"/>
      <c r="F6" s="1125"/>
      <c r="G6" s="1125"/>
      <c r="H6" s="1125"/>
      <c r="I6" s="1125"/>
      <c r="J6" s="1125"/>
      <c r="K6" s="1125"/>
      <c r="L6" s="1125"/>
      <c r="M6" s="1125"/>
      <c r="N6" s="1125"/>
      <c r="O6" s="1125"/>
      <c r="P6" s="1125"/>
      <c r="Q6" s="1125"/>
      <c r="R6" s="1125"/>
      <c r="S6" s="1125"/>
      <c r="T6" s="1125"/>
      <c r="U6" s="1125"/>
      <c r="V6" s="1125"/>
      <c r="W6" s="1125"/>
      <c r="X6" s="1125"/>
      <c r="Y6" s="1125"/>
      <c r="Z6" s="1125"/>
      <c r="AA6" s="1125"/>
      <c r="AB6" s="1125"/>
      <c r="AC6" s="1125"/>
      <c r="AD6" s="1125"/>
      <c r="AE6" s="1125"/>
    </row>
    <row r="7" spans="1:31" s="1126" customFormat="1" ht="13.5" thickTop="1">
      <c r="A7" s="1125"/>
      <c r="B7" s="1194"/>
      <c r="C7" s="1195"/>
      <c r="D7" s="1195"/>
      <c r="E7" s="1195"/>
      <c r="F7" s="1195"/>
      <c r="G7" s="1195"/>
      <c r="H7" s="1195"/>
      <c r="I7" s="1195"/>
      <c r="J7" s="1195"/>
      <c r="K7" s="1195"/>
      <c r="L7" s="1195"/>
      <c r="M7" s="1195"/>
      <c r="N7" s="1195"/>
      <c r="O7" s="1195"/>
      <c r="P7" s="1195"/>
      <c r="Q7" s="1195"/>
      <c r="R7" s="1195"/>
      <c r="S7" s="1195"/>
      <c r="T7" s="1195"/>
      <c r="U7" s="1195"/>
      <c r="V7" s="1195"/>
      <c r="W7" s="1195"/>
      <c r="X7" s="1195"/>
      <c r="Y7" s="1195"/>
      <c r="Z7" s="1195"/>
      <c r="AA7" s="1195"/>
      <c r="AB7" s="1195"/>
      <c r="AC7" s="1195"/>
      <c r="AD7" s="1195"/>
      <c r="AE7" s="1133"/>
    </row>
    <row r="8" spans="2:35" s="1134" customFormat="1" ht="20.25">
      <c r="B8" s="1135"/>
      <c r="C8" s="1136"/>
      <c r="D8" s="1136"/>
      <c r="E8" s="1136"/>
      <c r="F8" s="1137" t="s">
        <v>20</v>
      </c>
      <c r="G8" s="1136"/>
      <c r="H8" s="1136"/>
      <c r="I8" s="1136"/>
      <c r="J8" s="1136"/>
      <c r="Q8" s="1136"/>
      <c r="R8" s="1136"/>
      <c r="S8" s="1138"/>
      <c r="T8" s="1138"/>
      <c r="U8" s="1138"/>
      <c r="V8" s="1136"/>
      <c r="W8" s="1136"/>
      <c r="X8" s="1136"/>
      <c r="Y8" s="1136"/>
      <c r="Z8" s="1136"/>
      <c r="AA8" s="1136"/>
      <c r="AB8" s="1136"/>
      <c r="AC8" s="1136"/>
      <c r="AD8" s="1196"/>
      <c r="AE8" s="1139"/>
      <c r="AF8" s="1136"/>
      <c r="AG8" s="1136"/>
      <c r="AH8" s="1196"/>
      <c r="AI8" s="1196"/>
    </row>
    <row r="9" spans="1:31" s="1126" customFormat="1" ht="12.75">
      <c r="A9" s="1125"/>
      <c r="B9" s="1197"/>
      <c r="C9" s="1198"/>
      <c r="D9" s="1198"/>
      <c r="E9" s="1125"/>
      <c r="F9" s="1198"/>
      <c r="G9" s="1199"/>
      <c r="H9" s="1125"/>
      <c r="I9" s="1198"/>
      <c r="J9" s="1125"/>
      <c r="K9" s="1125"/>
      <c r="L9" s="1125"/>
      <c r="M9" s="1125"/>
      <c r="N9" s="1125"/>
      <c r="O9" s="1125"/>
      <c r="P9" s="1125"/>
      <c r="Q9" s="1125"/>
      <c r="R9" s="1125"/>
      <c r="S9" s="1125"/>
      <c r="T9" s="1198"/>
      <c r="U9" s="1198"/>
      <c r="V9" s="1198"/>
      <c r="W9" s="1198"/>
      <c r="X9" s="1198"/>
      <c r="Y9" s="1198"/>
      <c r="Z9" s="1198"/>
      <c r="AA9" s="1198"/>
      <c r="AB9" s="1198"/>
      <c r="AC9" s="1198"/>
      <c r="AD9" s="1125"/>
      <c r="AE9" s="1142"/>
    </row>
    <row r="10" spans="2:35" s="1143" customFormat="1" ht="33" customHeight="1">
      <c r="B10" s="1144"/>
      <c r="C10" s="1145"/>
      <c r="D10" s="1145"/>
      <c r="E10" s="1145"/>
      <c r="F10" s="1200" t="s">
        <v>50</v>
      </c>
      <c r="G10" s="1145"/>
      <c r="H10" s="1145"/>
      <c r="I10" s="1145"/>
      <c r="J10" s="1145"/>
      <c r="Q10" s="1145"/>
      <c r="R10" s="1145"/>
      <c r="S10" s="1146"/>
      <c r="T10" s="1146"/>
      <c r="U10" s="1146"/>
      <c r="V10" s="1145"/>
      <c r="W10" s="1145"/>
      <c r="X10" s="1145"/>
      <c r="Y10" s="1145"/>
      <c r="Z10" s="1145"/>
      <c r="AA10" s="1145"/>
      <c r="AB10" s="1145"/>
      <c r="AC10" s="1145"/>
      <c r="AD10" s="1201"/>
      <c r="AE10" s="1147"/>
      <c r="AF10" s="1145"/>
      <c r="AG10" s="1145"/>
      <c r="AH10" s="1201"/>
      <c r="AI10" s="1201"/>
    </row>
    <row r="11" spans="1:31" s="1148" customFormat="1" ht="33" customHeight="1">
      <c r="A11" s="1202"/>
      <c r="B11" s="1203"/>
      <c r="C11" s="1204"/>
      <c r="D11" s="1204"/>
      <c r="E11" s="1202"/>
      <c r="F11" s="1149" t="s">
        <v>473</v>
      </c>
      <c r="G11" s="1204"/>
      <c r="H11" s="1204"/>
      <c r="I11" s="1205"/>
      <c r="J11" s="1204"/>
      <c r="K11" s="1204"/>
      <c r="L11" s="1204"/>
      <c r="M11" s="1204"/>
      <c r="N11" s="1204"/>
      <c r="O11" s="1202"/>
      <c r="P11" s="1202"/>
      <c r="Q11" s="1202"/>
      <c r="R11" s="1202"/>
      <c r="S11" s="1202"/>
      <c r="T11" s="1204"/>
      <c r="U11" s="1204"/>
      <c r="V11" s="1204"/>
      <c r="W11" s="1204"/>
      <c r="X11" s="1204"/>
      <c r="Y11" s="1204"/>
      <c r="Z11" s="1204"/>
      <c r="AA11" s="1204"/>
      <c r="AB11" s="1204"/>
      <c r="AC11" s="1204"/>
      <c r="AD11" s="1202"/>
      <c r="AE11" s="1150"/>
    </row>
    <row r="12" spans="1:31" s="1151" customFormat="1" ht="19.5">
      <c r="A12" s="1206"/>
      <c r="B12" s="1152" t="str">
        <f>'TOT-1215'!B14</f>
        <v>Desde el 01 al 31 de diciembre de 2015</v>
      </c>
      <c r="C12" s="1153"/>
      <c r="D12" s="1153"/>
      <c r="E12" s="1207"/>
      <c r="F12" s="1208"/>
      <c r="G12" s="1208"/>
      <c r="H12" s="1208"/>
      <c r="I12" s="1208"/>
      <c r="J12" s="1208"/>
      <c r="K12" s="1208"/>
      <c r="L12" s="1208"/>
      <c r="M12" s="1208"/>
      <c r="N12" s="1208"/>
      <c r="O12" s="1207"/>
      <c r="P12" s="1207"/>
      <c r="Q12" s="1207"/>
      <c r="R12" s="1207"/>
      <c r="S12" s="1207"/>
      <c r="T12" s="1208"/>
      <c r="U12" s="1208"/>
      <c r="V12" s="1208"/>
      <c r="W12" s="1208"/>
      <c r="X12" s="1208"/>
      <c r="Y12" s="1208"/>
      <c r="Z12" s="1208"/>
      <c r="AA12" s="1208"/>
      <c r="AB12" s="1208"/>
      <c r="AC12" s="1208"/>
      <c r="AD12" s="1209"/>
      <c r="AE12" s="1210"/>
    </row>
    <row r="13" spans="1:31" s="1126" customFormat="1" ht="13.5" thickBot="1">
      <c r="A13" s="1125"/>
      <c r="B13" s="1197"/>
      <c r="C13" s="1198"/>
      <c r="D13" s="1198"/>
      <c r="E13" s="1125"/>
      <c r="F13" s="1198"/>
      <c r="G13" s="1198"/>
      <c r="H13" s="1198"/>
      <c r="I13" s="1211"/>
      <c r="J13" s="1198"/>
      <c r="K13" s="1198"/>
      <c r="L13" s="1198"/>
      <c r="M13" s="1198"/>
      <c r="N13" s="1198"/>
      <c r="O13" s="1125"/>
      <c r="P13" s="1125"/>
      <c r="Q13" s="1125"/>
      <c r="R13" s="1125"/>
      <c r="S13" s="1125"/>
      <c r="T13" s="1198"/>
      <c r="U13" s="1198"/>
      <c r="V13" s="1198"/>
      <c r="W13" s="1198"/>
      <c r="X13" s="1198"/>
      <c r="Y13" s="1198"/>
      <c r="Z13" s="1198"/>
      <c r="AA13" s="1198"/>
      <c r="AB13" s="1198"/>
      <c r="AC13" s="1198"/>
      <c r="AD13" s="1125"/>
      <c r="AE13" s="1142"/>
    </row>
    <row r="14" spans="1:31" s="1126" customFormat="1" ht="16.5" customHeight="1" thickBot="1" thickTop="1">
      <c r="A14" s="1125"/>
      <c r="B14" s="1197"/>
      <c r="C14" s="1198"/>
      <c r="D14" s="1198"/>
      <c r="E14" s="1125"/>
      <c r="F14" s="1212" t="s">
        <v>368</v>
      </c>
      <c r="G14" s="1213"/>
      <c r="H14" s="1214">
        <v>0.747</v>
      </c>
      <c r="I14" s="1211"/>
      <c r="J14" s="1198"/>
      <c r="K14" s="1198"/>
      <c r="L14" s="1198"/>
      <c r="M14" s="1198"/>
      <c r="N14" s="1215"/>
      <c r="O14" s="1215"/>
      <c r="P14" s="1215"/>
      <c r="Q14" s="1215"/>
      <c r="R14" s="1215"/>
      <c r="S14" s="1198"/>
      <c r="T14" s="1198"/>
      <c r="U14" s="1198"/>
      <c r="V14" s="1198"/>
      <c r="W14" s="1198"/>
      <c r="X14" s="1198"/>
      <c r="Y14" s="1198"/>
      <c r="Z14" s="1198"/>
      <c r="AA14" s="1198"/>
      <c r="AB14" s="1198"/>
      <c r="AC14" s="1198"/>
      <c r="AD14" s="1125"/>
      <c r="AE14" s="1142"/>
    </row>
    <row r="15" spans="1:31" s="1126" customFormat="1" ht="16.5" customHeight="1" thickBot="1" thickTop="1">
      <c r="A15" s="1125"/>
      <c r="B15" s="1197"/>
      <c r="C15" s="1198"/>
      <c r="D15" s="1198"/>
      <c r="E15" s="1125"/>
      <c r="F15" s="1216" t="s">
        <v>53</v>
      </c>
      <c r="G15" s="1217"/>
      <c r="H15" s="1218">
        <v>200</v>
      </c>
      <c r="I15" s="1120"/>
      <c r="J15" s="1198"/>
      <c r="K15" s="1219"/>
      <c r="L15" s="1220"/>
      <c r="M15" s="1198"/>
      <c r="N15" s="1141"/>
      <c r="O15" s="1141"/>
      <c r="P15" s="1141"/>
      <c r="Q15" s="1141"/>
      <c r="R15" s="1221"/>
      <c r="S15" s="1198"/>
      <c r="T15" s="1198"/>
      <c r="U15" s="1198"/>
      <c r="V15" s="1198"/>
      <c r="W15" s="1222"/>
      <c r="X15" s="1222"/>
      <c r="Y15" s="1222"/>
      <c r="Z15" s="1222"/>
      <c r="AA15" s="1222"/>
      <c r="AB15" s="1222"/>
      <c r="AC15" s="1125"/>
      <c r="AD15" s="1125"/>
      <c r="AE15" s="1142"/>
    </row>
    <row r="16" spans="1:31" s="1126" customFormat="1" ht="16.5" customHeight="1" thickTop="1">
      <c r="A16" s="1125"/>
      <c r="B16" s="1197"/>
      <c r="C16" s="1198"/>
      <c r="D16" s="1198"/>
      <c r="E16" s="1125"/>
      <c r="F16" s="1223"/>
      <c r="G16" s="1224"/>
      <c r="H16" s="1225"/>
      <c r="I16" s="1120"/>
      <c r="J16" s="1198"/>
      <c r="K16" s="1219"/>
      <c r="L16" s="1220"/>
      <c r="M16" s="1198"/>
      <c r="N16" s="1141"/>
      <c r="O16" s="1141"/>
      <c r="P16" s="1141"/>
      <c r="Q16" s="1141"/>
      <c r="R16" s="1221"/>
      <c r="S16" s="1198"/>
      <c r="T16" s="1198"/>
      <c r="U16" s="1198"/>
      <c r="V16" s="1198"/>
      <c r="W16" s="1222"/>
      <c r="X16" s="1222"/>
      <c r="Y16" s="1222"/>
      <c r="Z16" s="1222"/>
      <c r="AA16" s="1222"/>
      <c r="AB16" s="1222"/>
      <c r="AC16" s="1125"/>
      <c r="AD16" s="1125"/>
      <c r="AE16" s="1142"/>
    </row>
    <row r="17" spans="1:31" s="1126" customFormat="1" ht="16.5" customHeight="1" thickBot="1">
      <c r="A17" s="1125"/>
      <c r="B17" s="1197"/>
      <c r="C17" s="1226">
        <v>3</v>
      </c>
      <c r="D17" s="1226">
        <v>4</v>
      </c>
      <c r="E17" s="1226">
        <v>5</v>
      </c>
      <c r="F17" s="1226">
        <v>6</v>
      </c>
      <c r="G17" s="1226">
        <v>7</v>
      </c>
      <c r="H17" s="1226">
        <v>8</v>
      </c>
      <c r="I17" s="1226">
        <v>9</v>
      </c>
      <c r="J17" s="1226">
        <v>10</v>
      </c>
      <c r="K17" s="1226">
        <v>11</v>
      </c>
      <c r="L17" s="1226">
        <v>12</v>
      </c>
      <c r="M17" s="1226">
        <v>13</v>
      </c>
      <c r="N17" s="1226">
        <v>14</v>
      </c>
      <c r="O17" s="1226">
        <v>15</v>
      </c>
      <c r="P17" s="1226">
        <v>16</v>
      </c>
      <c r="Q17" s="1226">
        <v>17</v>
      </c>
      <c r="R17" s="1226">
        <v>18</v>
      </c>
      <c r="S17" s="1226">
        <v>19</v>
      </c>
      <c r="T17" s="1226">
        <v>20</v>
      </c>
      <c r="U17" s="1226">
        <v>21</v>
      </c>
      <c r="V17" s="1226">
        <v>22</v>
      </c>
      <c r="W17" s="1226">
        <v>23</v>
      </c>
      <c r="X17" s="1226">
        <v>24</v>
      </c>
      <c r="Y17" s="1226">
        <v>25</v>
      </c>
      <c r="Z17" s="1226">
        <v>26</v>
      </c>
      <c r="AA17" s="1226">
        <v>27</v>
      </c>
      <c r="AB17" s="1226">
        <v>28</v>
      </c>
      <c r="AC17" s="1226">
        <v>29</v>
      </c>
      <c r="AD17" s="1226">
        <v>30</v>
      </c>
      <c r="AE17" s="1142"/>
    </row>
    <row r="18" spans="1:31" s="1126" customFormat="1" ht="33.75" customHeight="1" thickBot="1" thickTop="1">
      <c r="A18" s="1125"/>
      <c r="B18" s="1197"/>
      <c r="C18" s="1227" t="s">
        <v>25</v>
      </c>
      <c r="D18" s="1157" t="s">
        <v>26</v>
      </c>
      <c r="E18" s="1157" t="s">
        <v>27</v>
      </c>
      <c r="F18" s="1228" t="s">
        <v>54</v>
      </c>
      <c r="G18" s="1229" t="s">
        <v>55</v>
      </c>
      <c r="H18" s="1230" t="s">
        <v>56</v>
      </c>
      <c r="I18" s="1231" t="s">
        <v>28</v>
      </c>
      <c r="J18" s="1232" t="s">
        <v>32</v>
      </c>
      <c r="K18" s="1229" t="s">
        <v>33</v>
      </c>
      <c r="L18" s="1229" t="s">
        <v>34</v>
      </c>
      <c r="M18" s="1228" t="s">
        <v>57</v>
      </c>
      <c r="N18" s="1228" t="s">
        <v>36</v>
      </c>
      <c r="O18" s="1162" t="s">
        <v>321</v>
      </c>
      <c r="P18" s="1162" t="s">
        <v>37</v>
      </c>
      <c r="Q18" s="1233" t="s">
        <v>39</v>
      </c>
      <c r="R18" s="1233" t="s">
        <v>58</v>
      </c>
      <c r="S18" s="1234" t="s">
        <v>31</v>
      </c>
      <c r="T18" s="1235" t="s">
        <v>40</v>
      </c>
      <c r="U18" s="1236" t="s">
        <v>41</v>
      </c>
      <c r="V18" s="1163" t="s">
        <v>59</v>
      </c>
      <c r="W18" s="1164"/>
      <c r="X18" s="1237" t="s">
        <v>60</v>
      </c>
      <c r="Y18" s="1238"/>
      <c r="Z18" s="1239" t="s">
        <v>44</v>
      </c>
      <c r="AA18" s="1240" t="s">
        <v>45</v>
      </c>
      <c r="AB18" s="1165" t="s">
        <v>46</v>
      </c>
      <c r="AC18" s="1241" t="s">
        <v>61</v>
      </c>
      <c r="AD18" s="1231" t="s">
        <v>47</v>
      </c>
      <c r="AE18" s="1142"/>
    </row>
    <row r="19" spans="1:31" s="1126" customFormat="1" ht="16.5" customHeight="1" thickTop="1">
      <c r="A19" s="1125"/>
      <c r="B19" s="1197"/>
      <c r="C19" s="1242"/>
      <c r="D19" s="1242"/>
      <c r="E19" s="1242"/>
      <c r="F19" s="1243"/>
      <c r="G19" s="1243"/>
      <c r="H19" s="1243"/>
      <c r="I19" s="1244"/>
      <c r="J19" s="1245"/>
      <c r="K19" s="1243"/>
      <c r="L19" s="1243"/>
      <c r="M19" s="1243"/>
      <c r="N19" s="1243"/>
      <c r="O19" s="1243"/>
      <c r="P19" s="1246"/>
      <c r="Q19" s="1247"/>
      <c r="R19" s="1243"/>
      <c r="S19" s="1248"/>
      <c r="T19" s="1249"/>
      <c r="U19" s="1250"/>
      <c r="V19" s="1251"/>
      <c r="W19" s="1252"/>
      <c r="X19" s="1253"/>
      <c r="Y19" s="1254"/>
      <c r="Z19" s="1255"/>
      <c r="AA19" s="1256"/>
      <c r="AB19" s="1247"/>
      <c r="AC19" s="1257"/>
      <c r="AD19" s="1258"/>
      <c r="AE19" s="1142"/>
    </row>
    <row r="20" spans="1:31" s="1126" customFormat="1" ht="16.5" customHeight="1">
      <c r="A20" s="1125"/>
      <c r="B20" s="1197"/>
      <c r="C20" s="1180"/>
      <c r="D20" s="1180"/>
      <c r="E20" s="1180"/>
      <c r="F20" s="1180"/>
      <c r="G20" s="1180"/>
      <c r="H20" s="1180"/>
      <c r="I20" s="1259"/>
      <c r="J20" s="1260"/>
      <c r="K20" s="1180"/>
      <c r="L20" s="1180"/>
      <c r="M20" s="1180"/>
      <c r="N20" s="1180"/>
      <c r="O20" s="1180"/>
      <c r="P20" s="1261"/>
      <c r="Q20" s="1262"/>
      <c r="R20" s="1180"/>
      <c r="S20" s="1263"/>
      <c r="T20" s="1264"/>
      <c r="U20" s="1265"/>
      <c r="V20" s="1266"/>
      <c r="W20" s="1267"/>
      <c r="X20" s="1268"/>
      <c r="Y20" s="1269"/>
      <c r="Z20" s="1270"/>
      <c r="AA20" s="1271"/>
      <c r="AB20" s="1262"/>
      <c r="AC20" s="1272"/>
      <c r="AD20" s="1273"/>
      <c r="AE20" s="1142"/>
    </row>
    <row r="21" spans="1:31" s="1126" customFormat="1" ht="16.5" customHeight="1">
      <c r="A21" s="1125"/>
      <c r="B21" s="1197"/>
      <c r="C21" s="1180">
        <v>34</v>
      </c>
      <c r="D21" s="1180">
        <v>295438</v>
      </c>
      <c r="E21" s="1180">
        <v>5080</v>
      </c>
      <c r="F21" s="1274" t="s">
        <v>369</v>
      </c>
      <c r="G21" s="1275" t="s">
        <v>367</v>
      </c>
      <c r="H21" s="1276">
        <v>300</v>
      </c>
      <c r="I21" s="1277" t="s">
        <v>134</v>
      </c>
      <c r="J21" s="1278">
        <f>IF(F21="RINCÓN",H21*#REF!,H21*$H$14)</f>
        <v>224.1</v>
      </c>
      <c r="K21" s="1279">
        <v>42344.26111111111</v>
      </c>
      <c r="L21" s="1279">
        <v>42344.2875</v>
      </c>
      <c r="M21" s="1280">
        <f>IF(F21="","",(L21-K21)*24)</f>
        <v>0.6333333333022892</v>
      </c>
      <c r="N21" s="1281">
        <f>IF(F21="","",ROUND((L21-K21)*24*60,0))</f>
        <v>38</v>
      </c>
      <c r="O21" s="1282" t="s">
        <v>332</v>
      </c>
      <c r="P21" s="1283" t="str">
        <f>IF(F21="","","--")</f>
        <v>--</v>
      </c>
      <c r="Q21" s="1284" t="str">
        <f>IF(F21="","",IF(OR(O21="P",O21="RP"),"--","NO"))</f>
        <v>--</v>
      </c>
      <c r="R21" s="1285" t="str">
        <f>IF(F21="","","NO")</f>
        <v>NO</v>
      </c>
      <c r="S21" s="1263">
        <f>$H$15*IF(OR(O21="P",O21="RP"),0.1,1)*IF(R21="SI",1,0.1)</f>
        <v>2</v>
      </c>
      <c r="T21" s="1286">
        <f>IF(O21="P",J21*S21*ROUND(N21/60,2),"--")</f>
        <v>282.366</v>
      </c>
      <c r="U21" s="1287" t="str">
        <f>IF(O21="RP",J21*S21*P21/100*ROUND(N21/60,2),"--")</f>
        <v>--</v>
      </c>
      <c r="V21" s="1288" t="str">
        <f>IF(AND(O21="F",Q21="NO"),J21*S21,"--")</f>
        <v>--</v>
      </c>
      <c r="W21" s="1289" t="str">
        <f>IF(O21="F",J21*S21*ROUND(N21/60,2),"--")</f>
        <v>--</v>
      </c>
      <c r="X21" s="1290" t="str">
        <f>IF(AND(O21="R",Q21="NO"),J21*S21*P21/100,"--")</f>
        <v>--</v>
      </c>
      <c r="Y21" s="1291" t="str">
        <f>IF(O21="R",J21*S21*P21/100*ROUND(N21/60,2),"--")</f>
        <v>--</v>
      </c>
      <c r="Z21" s="1292" t="str">
        <f>IF(O21="RF",J21*S21*ROUND(N21/60,2),"--")</f>
        <v>--</v>
      </c>
      <c r="AA21" s="1293" t="str">
        <f>IF(O21="RR",J21*S21*P21/100*ROUND(N21/60,2),"--")</f>
        <v>--</v>
      </c>
      <c r="AB21" s="1294" t="str">
        <f aca="true" t="shared" si="0" ref="AB21:AB40">IF(F21="","","SI")</f>
        <v>SI</v>
      </c>
      <c r="AC21" s="1295">
        <f aca="true" t="shared" si="1" ref="AC21:AC40">SUM(T21:AA21)*IF(AB21="SI",1,2)</f>
        <v>282.366</v>
      </c>
      <c r="AD21" s="1296">
        <f aca="true" t="shared" si="2" ref="AD21:AD40">IF(F21="","",AC21*IF(AND(P21&lt;&gt;"--",O21="RF"),P21/100,1))</f>
        <v>282.366</v>
      </c>
      <c r="AE21" s="1142"/>
    </row>
    <row r="22" spans="1:31" s="1126" customFormat="1" ht="16.5" customHeight="1">
      <c r="A22" s="1125"/>
      <c r="B22" s="1197"/>
      <c r="C22" s="1180"/>
      <c r="D22" s="1180"/>
      <c r="E22" s="1167"/>
      <c r="F22" s="1274"/>
      <c r="G22" s="1275"/>
      <c r="H22" s="1276"/>
      <c r="I22" s="1277"/>
      <c r="J22" s="1278"/>
      <c r="K22" s="1279"/>
      <c r="L22" s="1279"/>
      <c r="M22" s="1280"/>
      <c r="N22" s="1281"/>
      <c r="O22" s="1282"/>
      <c r="P22" s="1283"/>
      <c r="Q22" s="1284"/>
      <c r="R22" s="1285"/>
      <c r="S22" s="1263"/>
      <c r="T22" s="1286"/>
      <c r="U22" s="1287"/>
      <c r="V22" s="1288"/>
      <c r="W22" s="1289"/>
      <c r="X22" s="1290"/>
      <c r="Y22" s="1291"/>
      <c r="Z22" s="1292"/>
      <c r="AA22" s="1293"/>
      <c r="AB22" s="1294"/>
      <c r="AC22" s="1295"/>
      <c r="AD22" s="1296"/>
      <c r="AE22" s="1142"/>
    </row>
    <row r="23" spans="1:31" s="1126" customFormat="1" ht="16.5" customHeight="1">
      <c r="A23" s="1125"/>
      <c r="B23" s="1197"/>
      <c r="C23" s="1180"/>
      <c r="D23" s="1180"/>
      <c r="E23" s="1167"/>
      <c r="F23" s="1274"/>
      <c r="G23" s="1275"/>
      <c r="H23" s="1276"/>
      <c r="I23" s="1277"/>
      <c r="J23" s="1278"/>
      <c r="K23" s="1279"/>
      <c r="L23" s="1279"/>
      <c r="M23" s="1280"/>
      <c r="N23" s="1281"/>
      <c r="O23" s="1282"/>
      <c r="P23" s="1283"/>
      <c r="Q23" s="1284"/>
      <c r="R23" s="1285"/>
      <c r="S23" s="1263"/>
      <c r="T23" s="1286"/>
      <c r="U23" s="1287"/>
      <c r="V23" s="1288"/>
      <c r="W23" s="1289"/>
      <c r="X23" s="1290"/>
      <c r="Y23" s="1291"/>
      <c r="Z23" s="1292"/>
      <c r="AA23" s="1293"/>
      <c r="AB23" s="1294"/>
      <c r="AC23" s="1295"/>
      <c r="AD23" s="1296"/>
      <c r="AE23" s="1142"/>
    </row>
    <row r="24" spans="1:31" s="1126" customFormat="1" ht="16.5" customHeight="1">
      <c r="A24" s="1125"/>
      <c r="B24" s="1197"/>
      <c r="C24" s="1180"/>
      <c r="D24" s="1180"/>
      <c r="E24" s="1167"/>
      <c r="F24" s="1274"/>
      <c r="G24" s="1275"/>
      <c r="H24" s="1276"/>
      <c r="I24" s="1277"/>
      <c r="J24" s="1278">
        <f>IF(F24="RINCÓN",H24*#REF!,H24*$H$14)</f>
        <v>0</v>
      </c>
      <c r="K24" s="1279"/>
      <c r="L24" s="1279"/>
      <c r="M24" s="1280"/>
      <c r="N24" s="1281"/>
      <c r="O24" s="1282"/>
      <c r="P24" s="1283">
        <f>IF(F24="","","--")</f>
      </c>
      <c r="Q24" s="1284">
        <f>IF(F24="","",IF(OR(O24="P",O24="RP"),"--","NO"))</f>
      </c>
      <c r="R24" s="1285">
        <f>IF(F24="","","NO")</f>
      </c>
      <c r="S24" s="1263">
        <f>$H$15*IF(OR(O24="P",O24="RP"),0.1,1)*IF(R24="SI",1,0.1)</f>
        <v>20</v>
      </c>
      <c r="T24" s="1286" t="str">
        <f>IF(O24="P",J24*S24*ROUND(N24/60,2),"--")</f>
        <v>--</v>
      </c>
      <c r="U24" s="1287" t="str">
        <f>IF(O24="RP",J24*S24*P24/100*ROUND(N24/60,2),"--")</f>
        <v>--</v>
      </c>
      <c r="V24" s="1288" t="str">
        <f>IF(AND(O24="F",Q24="NO"),J24*S24,"--")</f>
        <v>--</v>
      </c>
      <c r="W24" s="1289" t="str">
        <f>IF(O24="F",J24*S24*ROUND(N24/60,2),"--")</f>
        <v>--</v>
      </c>
      <c r="X24" s="1290" t="str">
        <f>IF(AND(O24="R",Q24="NO"),J24*S24*P24/100,"--")</f>
        <v>--</v>
      </c>
      <c r="Y24" s="1291" t="str">
        <f>IF(O24="R",J24*S24*P24/100*ROUND(N24/60,2),"--")</f>
        <v>--</v>
      </c>
      <c r="Z24" s="1292" t="str">
        <f>IF(O24="RF",J24*S24*ROUND(N24/60,2),"--")</f>
        <v>--</v>
      </c>
      <c r="AA24" s="1293" t="str">
        <f>IF(O24="RR",J24*S24*P24/100*ROUND(N24/60,2),"--")</f>
        <v>--</v>
      </c>
      <c r="AB24" s="1294">
        <f t="shared" si="0"/>
      </c>
      <c r="AC24" s="1295">
        <f t="shared" si="1"/>
        <v>0</v>
      </c>
      <c r="AD24" s="1296">
        <f t="shared" si="2"/>
      </c>
      <c r="AE24" s="1142"/>
    </row>
    <row r="25" spans="1:31" s="1126" customFormat="1" ht="16.5" customHeight="1">
      <c r="A25" s="1125"/>
      <c r="B25" s="1197"/>
      <c r="C25" s="1180"/>
      <c r="D25" s="1180"/>
      <c r="E25" s="1179"/>
      <c r="F25" s="1274"/>
      <c r="G25" s="1275"/>
      <c r="H25" s="1276"/>
      <c r="I25" s="1297"/>
      <c r="J25" s="1278">
        <f>IF(F25="RINCÓN",H25*#REF!,H25*$H$14)</f>
        <v>0</v>
      </c>
      <c r="K25" s="1279"/>
      <c r="L25" s="1279"/>
      <c r="M25" s="1280">
        <f aca="true" t="shared" si="3" ref="M25:M40">IF(F25="","",(L25-K25)*24)</f>
      </c>
      <c r="N25" s="1281">
        <f aca="true" t="shared" si="4" ref="N25:N40">IF(F25="","",ROUND((L25-K25)*24*60,0))</f>
      </c>
      <c r="O25" s="1282"/>
      <c r="P25" s="1283">
        <f>IF(F25="","","--")</f>
      </c>
      <c r="Q25" s="1284">
        <f>IF(F25="","",IF(OR(O25="P",O25="RP"),"--","NO"))</f>
      </c>
      <c r="R25" s="1285">
        <f>IF(F25="","","NO")</f>
      </c>
      <c r="S25" s="1263">
        <f aca="true" t="shared" si="5" ref="S25:S40">$H$15*IF(OR(O25="P",O25="RP"),0.1,1)*IF(R25="SI",1,0.1)</f>
        <v>20</v>
      </c>
      <c r="T25" s="1286" t="str">
        <f aca="true" t="shared" si="6" ref="T25:T40">IF(O25="P",J25*S25*ROUND(N25/60,2),"--")</f>
        <v>--</v>
      </c>
      <c r="U25" s="1287" t="str">
        <f aca="true" t="shared" si="7" ref="U25:U40">IF(O25="RP",J25*S25*P25/100*ROUND(N25/60,2),"--")</f>
        <v>--</v>
      </c>
      <c r="V25" s="1288" t="str">
        <f aca="true" t="shared" si="8" ref="V25:V40">IF(AND(O25="F",Q25="NO"),J25*S25,"--")</f>
        <v>--</v>
      </c>
      <c r="W25" s="1289" t="str">
        <f aca="true" t="shared" si="9" ref="W25:W40">IF(O25="F",J25*S25*ROUND(N25/60,2),"--")</f>
        <v>--</v>
      </c>
      <c r="X25" s="1290" t="str">
        <f aca="true" t="shared" si="10" ref="X25:X40">IF(AND(O25="R",Q25="NO"),J25*S25*P25/100,"--")</f>
        <v>--</v>
      </c>
      <c r="Y25" s="1291" t="str">
        <f aca="true" t="shared" si="11" ref="Y25:Y40">IF(O25="R",J25*S25*P25/100*ROUND(N25/60,2),"--")</f>
        <v>--</v>
      </c>
      <c r="Z25" s="1292" t="str">
        <f aca="true" t="shared" si="12" ref="Z25:Z40">IF(O25="RF",J25*S25*ROUND(N25/60,2),"--")</f>
        <v>--</v>
      </c>
      <c r="AA25" s="1293" t="str">
        <f aca="true" t="shared" si="13" ref="AA25:AA40">IF(O25="RR",J25*S25*P25/100*ROUND(N25/60,2),"--")</f>
        <v>--</v>
      </c>
      <c r="AB25" s="1294">
        <f>IF(F25="","","SI")</f>
      </c>
      <c r="AC25" s="1295">
        <f>SUM(T25:AA25)*IF(AB25="SI",1,2)</f>
        <v>0</v>
      </c>
      <c r="AD25" s="1296">
        <f>IF(F25="","",AC25*IF(AND(P25&lt;&gt;"--",O25="RF"),P25/100,1))</f>
      </c>
      <c r="AE25" s="1142"/>
    </row>
    <row r="26" spans="1:31" s="1126" customFormat="1" ht="16.5" customHeight="1">
      <c r="A26" s="1125"/>
      <c r="B26" s="1197"/>
      <c r="C26" s="1180"/>
      <c r="D26" s="1180"/>
      <c r="E26" s="1180"/>
      <c r="F26" s="1274"/>
      <c r="G26" s="1275"/>
      <c r="H26" s="1276"/>
      <c r="I26" s="1297"/>
      <c r="J26" s="1278">
        <f>IF(F26="RINCÓN",H26*#REF!,H26*$H$14)</f>
        <v>0</v>
      </c>
      <c r="K26" s="1279"/>
      <c r="L26" s="1279"/>
      <c r="M26" s="1280">
        <f t="shared" si="3"/>
      </c>
      <c r="N26" s="1281">
        <f t="shared" si="4"/>
      </c>
      <c r="O26" s="1282"/>
      <c r="P26" s="1283">
        <f>IF(F26="","","--")</f>
      </c>
      <c r="Q26" s="1284">
        <f>IF(F26="","",IF(OR(O26="P",O26="RP"),"--","NO"))</f>
      </c>
      <c r="R26" s="1285">
        <f>IF(F26="","","NO")</f>
      </c>
      <c r="S26" s="1263">
        <f t="shared" si="5"/>
        <v>20</v>
      </c>
      <c r="T26" s="1286" t="str">
        <f t="shared" si="6"/>
        <v>--</v>
      </c>
      <c r="U26" s="1287" t="str">
        <f t="shared" si="7"/>
        <v>--</v>
      </c>
      <c r="V26" s="1288" t="str">
        <f t="shared" si="8"/>
        <v>--</v>
      </c>
      <c r="W26" s="1289" t="str">
        <f t="shared" si="9"/>
        <v>--</v>
      </c>
      <c r="X26" s="1290" t="str">
        <f t="shared" si="10"/>
        <v>--</v>
      </c>
      <c r="Y26" s="1291" t="str">
        <f t="shared" si="11"/>
        <v>--</v>
      </c>
      <c r="Z26" s="1292" t="str">
        <f t="shared" si="12"/>
        <v>--</v>
      </c>
      <c r="AA26" s="1293" t="str">
        <f t="shared" si="13"/>
        <v>--</v>
      </c>
      <c r="AB26" s="1294">
        <f>IF(F26="","","SI")</f>
      </c>
      <c r="AC26" s="1295">
        <f>SUM(T26:AA26)*IF(AB26="SI",1,2)</f>
        <v>0</v>
      </c>
      <c r="AD26" s="1296">
        <f>IF(F26="","",AC26*IF(AND(P26&lt;&gt;"--",O26="RF"),P26/100,1))</f>
      </c>
      <c r="AE26" s="1142"/>
    </row>
    <row r="27" spans="1:32" s="1126" customFormat="1" ht="16.5" customHeight="1">
      <c r="A27" s="1125"/>
      <c r="B27" s="1197"/>
      <c r="C27" s="1180"/>
      <c r="D27" s="1180"/>
      <c r="E27" s="1179"/>
      <c r="F27" s="1274"/>
      <c r="G27" s="1275"/>
      <c r="H27" s="1276"/>
      <c r="I27" s="1297"/>
      <c r="J27" s="1278">
        <f>IF(F27="RINCÓN",H27*#REF!,H27*$H$14)</f>
        <v>0</v>
      </c>
      <c r="K27" s="1279"/>
      <c r="L27" s="1279"/>
      <c r="M27" s="1280">
        <f t="shared" si="3"/>
      </c>
      <c r="N27" s="1281">
        <f t="shared" si="4"/>
      </c>
      <c r="O27" s="1282"/>
      <c r="P27" s="1283">
        <f aca="true" t="shared" si="14" ref="P27:P40">IF(F27="","","--")</f>
      </c>
      <c r="Q27" s="1284">
        <f aca="true" t="shared" si="15" ref="Q27:Q40">IF(F27="","",IF(OR(O27="P",O27="RP"),"--","NO"))</f>
      </c>
      <c r="R27" s="1285">
        <f aca="true" t="shared" si="16" ref="R27:R40">IF(F27="","","NO")</f>
      </c>
      <c r="S27" s="1263">
        <f t="shared" si="5"/>
        <v>20</v>
      </c>
      <c r="T27" s="1286" t="str">
        <f t="shared" si="6"/>
        <v>--</v>
      </c>
      <c r="U27" s="1287" t="str">
        <f t="shared" si="7"/>
        <v>--</v>
      </c>
      <c r="V27" s="1288" t="str">
        <f t="shared" si="8"/>
        <v>--</v>
      </c>
      <c r="W27" s="1289" t="str">
        <f t="shared" si="9"/>
        <v>--</v>
      </c>
      <c r="X27" s="1290" t="str">
        <f t="shared" si="10"/>
        <v>--</v>
      </c>
      <c r="Y27" s="1291" t="str">
        <f t="shared" si="11"/>
        <v>--</v>
      </c>
      <c r="Z27" s="1292" t="str">
        <f t="shared" si="12"/>
        <v>--</v>
      </c>
      <c r="AA27" s="1293" t="str">
        <f t="shared" si="13"/>
        <v>--</v>
      </c>
      <c r="AB27" s="1294">
        <f t="shared" si="0"/>
      </c>
      <c r="AC27" s="1295">
        <f t="shared" si="1"/>
        <v>0</v>
      </c>
      <c r="AD27" s="1296">
        <f t="shared" si="2"/>
      </c>
      <c r="AE27" s="1142"/>
      <c r="AF27" s="1198"/>
    </row>
    <row r="28" spans="1:31" s="1126" customFormat="1" ht="16.5" customHeight="1">
      <c r="A28" s="1125"/>
      <c r="B28" s="1197"/>
      <c r="C28" s="1180"/>
      <c r="D28" s="1180"/>
      <c r="E28" s="1180"/>
      <c r="F28" s="1274"/>
      <c r="G28" s="1275"/>
      <c r="H28" s="1276"/>
      <c r="I28" s="1297"/>
      <c r="J28" s="1278">
        <f>IF(F28="RINCÓN",H28*#REF!,H28*$H$14)</f>
        <v>0</v>
      </c>
      <c r="K28" s="1279"/>
      <c r="L28" s="1279"/>
      <c r="M28" s="1280">
        <f t="shared" si="3"/>
      </c>
      <c r="N28" s="1281">
        <f t="shared" si="4"/>
      </c>
      <c r="O28" s="1282"/>
      <c r="P28" s="1283">
        <f t="shared" si="14"/>
      </c>
      <c r="Q28" s="1284">
        <f t="shared" si="15"/>
      </c>
      <c r="R28" s="1285">
        <f t="shared" si="16"/>
      </c>
      <c r="S28" s="1263">
        <f t="shared" si="5"/>
        <v>20</v>
      </c>
      <c r="T28" s="1286" t="str">
        <f t="shared" si="6"/>
        <v>--</v>
      </c>
      <c r="U28" s="1287" t="str">
        <f t="shared" si="7"/>
        <v>--</v>
      </c>
      <c r="V28" s="1288" t="str">
        <f t="shared" si="8"/>
        <v>--</v>
      </c>
      <c r="W28" s="1289" t="str">
        <f t="shared" si="9"/>
        <v>--</v>
      </c>
      <c r="X28" s="1290" t="str">
        <f t="shared" si="10"/>
        <v>--</v>
      </c>
      <c r="Y28" s="1291" t="str">
        <f t="shared" si="11"/>
        <v>--</v>
      </c>
      <c r="Z28" s="1292" t="str">
        <f t="shared" si="12"/>
        <v>--</v>
      </c>
      <c r="AA28" s="1293" t="str">
        <f t="shared" si="13"/>
        <v>--</v>
      </c>
      <c r="AB28" s="1294">
        <f t="shared" si="0"/>
      </c>
      <c r="AC28" s="1295">
        <f t="shared" si="1"/>
        <v>0</v>
      </c>
      <c r="AD28" s="1296">
        <f t="shared" si="2"/>
      </c>
      <c r="AE28" s="1142"/>
    </row>
    <row r="29" spans="1:31" s="1126" customFormat="1" ht="16.5" customHeight="1">
      <c r="A29" s="1125"/>
      <c r="B29" s="1197"/>
      <c r="C29" s="1180"/>
      <c r="D29" s="1180"/>
      <c r="E29" s="1179"/>
      <c r="F29" s="1274"/>
      <c r="G29" s="1275"/>
      <c r="H29" s="1276"/>
      <c r="I29" s="1297"/>
      <c r="J29" s="1278">
        <f>IF(F29="RINCÓN",H29*#REF!,H29*$H$14)</f>
        <v>0</v>
      </c>
      <c r="K29" s="1279"/>
      <c r="L29" s="1279"/>
      <c r="M29" s="1280">
        <f t="shared" si="3"/>
      </c>
      <c r="N29" s="1281">
        <f t="shared" si="4"/>
      </c>
      <c r="O29" s="1282"/>
      <c r="P29" s="1283">
        <f t="shared" si="14"/>
      </c>
      <c r="Q29" s="1284">
        <f t="shared" si="15"/>
      </c>
      <c r="R29" s="1285">
        <f t="shared" si="16"/>
      </c>
      <c r="S29" s="1263">
        <f t="shared" si="5"/>
        <v>20</v>
      </c>
      <c r="T29" s="1286" t="str">
        <f t="shared" si="6"/>
        <v>--</v>
      </c>
      <c r="U29" s="1287" t="str">
        <f t="shared" si="7"/>
        <v>--</v>
      </c>
      <c r="V29" s="1288" t="str">
        <f t="shared" si="8"/>
        <v>--</v>
      </c>
      <c r="W29" s="1289" t="str">
        <f t="shared" si="9"/>
        <v>--</v>
      </c>
      <c r="X29" s="1290" t="str">
        <f t="shared" si="10"/>
        <v>--</v>
      </c>
      <c r="Y29" s="1291" t="str">
        <f t="shared" si="11"/>
        <v>--</v>
      </c>
      <c r="Z29" s="1292" t="str">
        <f t="shared" si="12"/>
        <v>--</v>
      </c>
      <c r="AA29" s="1293" t="str">
        <f t="shared" si="13"/>
        <v>--</v>
      </c>
      <c r="AB29" s="1294">
        <f t="shared" si="0"/>
      </c>
      <c r="AC29" s="1295">
        <f t="shared" si="1"/>
        <v>0</v>
      </c>
      <c r="AD29" s="1296">
        <f t="shared" si="2"/>
      </c>
      <c r="AE29" s="1142"/>
    </row>
    <row r="30" spans="1:31" s="1126" customFormat="1" ht="16.5" customHeight="1">
      <c r="A30" s="1125"/>
      <c r="B30" s="1197"/>
      <c r="C30" s="1180"/>
      <c r="D30" s="1180"/>
      <c r="E30" s="1180"/>
      <c r="F30" s="1274"/>
      <c r="G30" s="1275"/>
      <c r="H30" s="1276"/>
      <c r="I30" s="1297"/>
      <c r="J30" s="1278">
        <f>IF(F30="RINCÓN",H30*#REF!,H30*$H$14)</f>
        <v>0</v>
      </c>
      <c r="K30" s="1279"/>
      <c r="L30" s="1279"/>
      <c r="M30" s="1280">
        <f t="shared" si="3"/>
      </c>
      <c r="N30" s="1281">
        <f t="shared" si="4"/>
      </c>
      <c r="O30" s="1282"/>
      <c r="P30" s="1283">
        <f t="shared" si="14"/>
      </c>
      <c r="Q30" s="1284">
        <f t="shared" si="15"/>
      </c>
      <c r="R30" s="1285">
        <f t="shared" si="16"/>
      </c>
      <c r="S30" s="1263">
        <f t="shared" si="5"/>
        <v>20</v>
      </c>
      <c r="T30" s="1286" t="str">
        <f t="shared" si="6"/>
        <v>--</v>
      </c>
      <c r="U30" s="1287" t="str">
        <f t="shared" si="7"/>
        <v>--</v>
      </c>
      <c r="V30" s="1288" t="str">
        <f t="shared" si="8"/>
        <v>--</v>
      </c>
      <c r="W30" s="1289" t="str">
        <f t="shared" si="9"/>
        <v>--</v>
      </c>
      <c r="X30" s="1290" t="str">
        <f t="shared" si="10"/>
        <v>--</v>
      </c>
      <c r="Y30" s="1291" t="str">
        <f t="shared" si="11"/>
        <v>--</v>
      </c>
      <c r="Z30" s="1292" t="str">
        <f t="shared" si="12"/>
        <v>--</v>
      </c>
      <c r="AA30" s="1293" t="str">
        <f t="shared" si="13"/>
        <v>--</v>
      </c>
      <c r="AB30" s="1294">
        <f t="shared" si="0"/>
      </c>
      <c r="AC30" s="1295">
        <f t="shared" si="1"/>
        <v>0</v>
      </c>
      <c r="AD30" s="1296">
        <f t="shared" si="2"/>
      </c>
      <c r="AE30" s="1142"/>
    </row>
    <row r="31" spans="1:31" s="1126" customFormat="1" ht="16.5" customHeight="1">
      <c r="A31" s="1125"/>
      <c r="B31" s="1197"/>
      <c r="C31" s="1180"/>
      <c r="D31" s="1180"/>
      <c r="E31" s="1179"/>
      <c r="F31" s="1274"/>
      <c r="G31" s="1298"/>
      <c r="H31" s="1276"/>
      <c r="I31" s="1297"/>
      <c r="J31" s="1278">
        <f>IF(F31="RINCÓN",H31*#REF!,H31*$H$14)</f>
        <v>0</v>
      </c>
      <c r="K31" s="1279"/>
      <c r="L31" s="1279"/>
      <c r="M31" s="1280">
        <f t="shared" si="3"/>
      </c>
      <c r="N31" s="1281">
        <f t="shared" si="4"/>
      </c>
      <c r="O31" s="1282"/>
      <c r="P31" s="1283">
        <f t="shared" si="14"/>
      </c>
      <c r="Q31" s="1284">
        <f t="shared" si="15"/>
      </c>
      <c r="R31" s="1285">
        <f t="shared" si="16"/>
      </c>
      <c r="S31" s="1263">
        <f t="shared" si="5"/>
        <v>20</v>
      </c>
      <c r="T31" s="1286" t="str">
        <f t="shared" si="6"/>
        <v>--</v>
      </c>
      <c r="U31" s="1287" t="str">
        <f t="shared" si="7"/>
        <v>--</v>
      </c>
      <c r="V31" s="1288" t="str">
        <f t="shared" si="8"/>
        <v>--</v>
      </c>
      <c r="W31" s="1289" t="str">
        <f t="shared" si="9"/>
        <v>--</v>
      </c>
      <c r="X31" s="1290" t="str">
        <f t="shared" si="10"/>
        <v>--</v>
      </c>
      <c r="Y31" s="1291" t="str">
        <f t="shared" si="11"/>
        <v>--</v>
      </c>
      <c r="Z31" s="1292" t="str">
        <f t="shared" si="12"/>
        <v>--</v>
      </c>
      <c r="AA31" s="1293" t="str">
        <f t="shared" si="13"/>
        <v>--</v>
      </c>
      <c r="AB31" s="1294">
        <f t="shared" si="0"/>
      </c>
      <c r="AC31" s="1295">
        <f t="shared" si="1"/>
        <v>0</v>
      </c>
      <c r="AD31" s="1296">
        <f t="shared" si="2"/>
      </c>
      <c r="AE31" s="1142"/>
    </row>
    <row r="32" spans="1:31" s="1126" customFormat="1" ht="16.5" customHeight="1">
      <c r="A32" s="1125"/>
      <c r="B32" s="1197"/>
      <c r="C32" s="1180"/>
      <c r="D32" s="1180"/>
      <c r="E32" s="1180"/>
      <c r="F32" s="1274"/>
      <c r="G32" s="1298"/>
      <c r="H32" s="1276"/>
      <c r="I32" s="1297"/>
      <c r="J32" s="1278">
        <f>IF(F32="RINCÓN",H32*#REF!,H32*$H$14)</f>
        <v>0</v>
      </c>
      <c r="K32" s="1279"/>
      <c r="L32" s="1279"/>
      <c r="M32" s="1280">
        <f t="shared" si="3"/>
      </c>
      <c r="N32" s="1281">
        <f t="shared" si="4"/>
      </c>
      <c r="O32" s="1282"/>
      <c r="P32" s="1283">
        <f t="shared" si="14"/>
      </c>
      <c r="Q32" s="1284">
        <f t="shared" si="15"/>
      </c>
      <c r="R32" s="1285">
        <f t="shared" si="16"/>
      </c>
      <c r="S32" s="1263">
        <f t="shared" si="5"/>
        <v>20</v>
      </c>
      <c r="T32" s="1286" t="str">
        <f t="shared" si="6"/>
        <v>--</v>
      </c>
      <c r="U32" s="1287" t="str">
        <f t="shared" si="7"/>
        <v>--</v>
      </c>
      <c r="V32" s="1288" t="str">
        <f t="shared" si="8"/>
        <v>--</v>
      </c>
      <c r="W32" s="1289" t="str">
        <f t="shared" si="9"/>
        <v>--</v>
      </c>
      <c r="X32" s="1290" t="str">
        <f t="shared" si="10"/>
        <v>--</v>
      </c>
      <c r="Y32" s="1291" t="str">
        <f t="shared" si="11"/>
        <v>--</v>
      </c>
      <c r="Z32" s="1292" t="str">
        <f t="shared" si="12"/>
        <v>--</v>
      </c>
      <c r="AA32" s="1293" t="str">
        <f t="shared" si="13"/>
        <v>--</v>
      </c>
      <c r="AB32" s="1294">
        <f t="shared" si="0"/>
      </c>
      <c r="AC32" s="1295">
        <f t="shared" si="1"/>
        <v>0</v>
      </c>
      <c r="AD32" s="1296">
        <f t="shared" si="2"/>
      </c>
      <c r="AE32" s="1142"/>
    </row>
    <row r="33" spans="1:31" s="1126" customFormat="1" ht="16.5" customHeight="1">
      <c r="A33" s="1125"/>
      <c r="B33" s="1197"/>
      <c r="C33" s="1180"/>
      <c r="D33" s="1180"/>
      <c r="E33" s="1179"/>
      <c r="F33" s="1274"/>
      <c r="G33" s="1298"/>
      <c r="H33" s="1276"/>
      <c r="I33" s="1297"/>
      <c r="J33" s="1278">
        <f>IF(F33="RINCÓN",H33*#REF!,H33*$H$14)</f>
        <v>0</v>
      </c>
      <c r="K33" s="1279"/>
      <c r="L33" s="1279"/>
      <c r="M33" s="1280">
        <f t="shared" si="3"/>
      </c>
      <c r="N33" s="1281">
        <f t="shared" si="4"/>
      </c>
      <c r="O33" s="1282"/>
      <c r="P33" s="1283">
        <f t="shared" si="14"/>
      </c>
      <c r="Q33" s="1284">
        <f t="shared" si="15"/>
      </c>
      <c r="R33" s="1285">
        <f t="shared" si="16"/>
      </c>
      <c r="S33" s="1263">
        <f t="shared" si="5"/>
        <v>20</v>
      </c>
      <c r="T33" s="1286" t="str">
        <f t="shared" si="6"/>
        <v>--</v>
      </c>
      <c r="U33" s="1287" t="str">
        <f t="shared" si="7"/>
        <v>--</v>
      </c>
      <c r="V33" s="1288" t="str">
        <f t="shared" si="8"/>
        <v>--</v>
      </c>
      <c r="W33" s="1289" t="str">
        <f t="shared" si="9"/>
        <v>--</v>
      </c>
      <c r="X33" s="1290" t="str">
        <f t="shared" si="10"/>
        <v>--</v>
      </c>
      <c r="Y33" s="1291" t="str">
        <f t="shared" si="11"/>
        <v>--</v>
      </c>
      <c r="Z33" s="1292" t="str">
        <f t="shared" si="12"/>
        <v>--</v>
      </c>
      <c r="AA33" s="1293" t="str">
        <f t="shared" si="13"/>
        <v>--</v>
      </c>
      <c r="AB33" s="1294">
        <f t="shared" si="0"/>
      </c>
      <c r="AC33" s="1295">
        <f t="shared" si="1"/>
        <v>0</v>
      </c>
      <c r="AD33" s="1296">
        <f t="shared" si="2"/>
      </c>
      <c r="AE33" s="1142"/>
    </row>
    <row r="34" spans="1:31" s="1126" customFormat="1" ht="16.5" customHeight="1">
      <c r="A34" s="1125"/>
      <c r="B34" s="1197"/>
      <c r="C34" s="1180"/>
      <c r="D34" s="1180"/>
      <c r="E34" s="1180"/>
      <c r="F34" s="1274"/>
      <c r="G34" s="1298"/>
      <c r="H34" s="1276"/>
      <c r="I34" s="1297"/>
      <c r="J34" s="1278">
        <f>IF(F34="RINCÓN",H34*#REF!,H34*$H$14)</f>
        <v>0</v>
      </c>
      <c r="K34" s="1279"/>
      <c r="L34" s="1279"/>
      <c r="M34" s="1280">
        <f t="shared" si="3"/>
      </c>
      <c r="N34" s="1281">
        <f t="shared" si="4"/>
      </c>
      <c r="O34" s="1282"/>
      <c r="P34" s="1283">
        <f t="shared" si="14"/>
      </c>
      <c r="Q34" s="1284">
        <f t="shared" si="15"/>
      </c>
      <c r="R34" s="1285">
        <f t="shared" si="16"/>
      </c>
      <c r="S34" s="1263">
        <f t="shared" si="5"/>
        <v>20</v>
      </c>
      <c r="T34" s="1286" t="str">
        <f t="shared" si="6"/>
        <v>--</v>
      </c>
      <c r="U34" s="1287" t="str">
        <f t="shared" si="7"/>
        <v>--</v>
      </c>
      <c r="V34" s="1288" t="str">
        <f t="shared" si="8"/>
        <v>--</v>
      </c>
      <c r="W34" s="1289" t="str">
        <f t="shared" si="9"/>
        <v>--</v>
      </c>
      <c r="X34" s="1290" t="str">
        <f t="shared" si="10"/>
        <v>--</v>
      </c>
      <c r="Y34" s="1291" t="str">
        <f t="shared" si="11"/>
        <v>--</v>
      </c>
      <c r="Z34" s="1292" t="str">
        <f t="shared" si="12"/>
        <v>--</v>
      </c>
      <c r="AA34" s="1293" t="str">
        <f t="shared" si="13"/>
        <v>--</v>
      </c>
      <c r="AB34" s="1294">
        <f t="shared" si="0"/>
      </c>
      <c r="AC34" s="1295">
        <f t="shared" si="1"/>
        <v>0</v>
      </c>
      <c r="AD34" s="1296">
        <f t="shared" si="2"/>
      </c>
      <c r="AE34" s="1142"/>
    </row>
    <row r="35" spans="1:31" s="1126" customFormat="1" ht="16.5" customHeight="1">
      <c r="A35" s="1125"/>
      <c r="B35" s="1197"/>
      <c r="C35" s="1180"/>
      <c r="D35" s="1180"/>
      <c r="E35" s="1179"/>
      <c r="F35" s="1274"/>
      <c r="G35" s="1298"/>
      <c r="H35" s="1276"/>
      <c r="I35" s="1297"/>
      <c r="J35" s="1278">
        <f>IF(F35="RINCÓN",H35*#REF!,H35*$H$14)</f>
        <v>0</v>
      </c>
      <c r="K35" s="1279"/>
      <c r="L35" s="1279"/>
      <c r="M35" s="1280">
        <f t="shared" si="3"/>
      </c>
      <c r="N35" s="1281">
        <f t="shared" si="4"/>
      </c>
      <c r="O35" s="1282"/>
      <c r="P35" s="1283">
        <f t="shared" si="14"/>
      </c>
      <c r="Q35" s="1284">
        <f t="shared" si="15"/>
      </c>
      <c r="R35" s="1285">
        <f t="shared" si="16"/>
      </c>
      <c r="S35" s="1263">
        <f t="shared" si="5"/>
        <v>20</v>
      </c>
      <c r="T35" s="1286" t="str">
        <f t="shared" si="6"/>
        <v>--</v>
      </c>
      <c r="U35" s="1287" t="str">
        <f t="shared" si="7"/>
        <v>--</v>
      </c>
      <c r="V35" s="1288" t="str">
        <f t="shared" si="8"/>
        <v>--</v>
      </c>
      <c r="W35" s="1289" t="str">
        <f t="shared" si="9"/>
        <v>--</v>
      </c>
      <c r="X35" s="1290" t="str">
        <f t="shared" si="10"/>
        <v>--</v>
      </c>
      <c r="Y35" s="1291" t="str">
        <f t="shared" si="11"/>
        <v>--</v>
      </c>
      <c r="Z35" s="1292" t="str">
        <f t="shared" si="12"/>
        <v>--</v>
      </c>
      <c r="AA35" s="1293" t="str">
        <f t="shared" si="13"/>
        <v>--</v>
      </c>
      <c r="AB35" s="1294">
        <f t="shared" si="0"/>
      </c>
      <c r="AC35" s="1295">
        <f t="shared" si="1"/>
        <v>0</v>
      </c>
      <c r="AD35" s="1296">
        <f t="shared" si="2"/>
      </c>
      <c r="AE35" s="1142"/>
    </row>
    <row r="36" spans="1:31" s="1126" customFormat="1" ht="16.5" customHeight="1">
      <c r="A36" s="1125"/>
      <c r="B36" s="1197"/>
      <c r="C36" s="1180"/>
      <c r="D36" s="1180"/>
      <c r="E36" s="1180"/>
      <c r="F36" s="1274"/>
      <c r="G36" s="1298"/>
      <c r="H36" s="1276"/>
      <c r="I36" s="1297"/>
      <c r="J36" s="1278">
        <f>IF(F36="RINCÓN",H36*#REF!,H36*$H$14)</f>
        <v>0</v>
      </c>
      <c r="K36" s="1279"/>
      <c r="L36" s="1279"/>
      <c r="M36" s="1280">
        <f t="shared" si="3"/>
      </c>
      <c r="N36" s="1281">
        <f t="shared" si="4"/>
      </c>
      <c r="O36" s="1282"/>
      <c r="P36" s="1283">
        <f t="shared" si="14"/>
      </c>
      <c r="Q36" s="1284">
        <f t="shared" si="15"/>
      </c>
      <c r="R36" s="1285">
        <f t="shared" si="16"/>
      </c>
      <c r="S36" s="1263">
        <f t="shared" si="5"/>
        <v>20</v>
      </c>
      <c r="T36" s="1286" t="str">
        <f t="shared" si="6"/>
        <v>--</v>
      </c>
      <c r="U36" s="1287" t="str">
        <f t="shared" si="7"/>
        <v>--</v>
      </c>
      <c r="V36" s="1288" t="str">
        <f t="shared" si="8"/>
        <v>--</v>
      </c>
      <c r="W36" s="1289" t="str">
        <f t="shared" si="9"/>
        <v>--</v>
      </c>
      <c r="X36" s="1290" t="str">
        <f t="shared" si="10"/>
        <v>--</v>
      </c>
      <c r="Y36" s="1291" t="str">
        <f t="shared" si="11"/>
        <v>--</v>
      </c>
      <c r="Z36" s="1292" t="str">
        <f t="shared" si="12"/>
        <v>--</v>
      </c>
      <c r="AA36" s="1293" t="str">
        <f t="shared" si="13"/>
        <v>--</v>
      </c>
      <c r="AB36" s="1294">
        <f t="shared" si="0"/>
      </c>
      <c r="AC36" s="1295">
        <f t="shared" si="1"/>
        <v>0</v>
      </c>
      <c r="AD36" s="1296">
        <f t="shared" si="2"/>
      </c>
      <c r="AE36" s="1142"/>
    </row>
    <row r="37" spans="1:31" s="1126" customFormat="1" ht="16.5" customHeight="1">
      <c r="A37" s="1125"/>
      <c r="B37" s="1197"/>
      <c r="C37" s="1180"/>
      <c r="D37" s="1180"/>
      <c r="E37" s="1179"/>
      <c r="F37" s="1274"/>
      <c r="G37" s="1298"/>
      <c r="H37" s="1276"/>
      <c r="I37" s="1297"/>
      <c r="J37" s="1278">
        <f>IF(F37="RINCÓN",H37*#REF!,H37*$H$14)</f>
        <v>0</v>
      </c>
      <c r="K37" s="1279"/>
      <c r="L37" s="1279"/>
      <c r="M37" s="1280">
        <f t="shared" si="3"/>
      </c>
      <c r="N37" s="1281">
        <f t="shared" si="4"/>
      </c>
      <c r="O37" s="1282"/>
      <c r="P37" s="1283">
        <f t="shared" si="14"/>
      </c>
      <c r="Q37" s="1284">
        <f t="shared" si="15"/>
      </c>
      <c r="R37" s="1285">
        <f t="shared" si="16"/>
      </c>
      <c r="S37" s="1263">
        <f t="shared" si="5"/>
        <v>20</v>
      </c>
      <c r="T37" s="1286" t="str">
        <f t="shared" si="6"/>
        <v>--</v>
      </c>
      <c r="U37" s="1287" t="str">
        <f t="shared" si="7"/>
        <v>--</v>
      </c>
      <c r="V37" s="1288" t="str">
        <f t="shared" si="8"/>
        <v>--</v>
      </c>
      <c r="W37" s="1289" t="str">
        <f t="shared" si="9"/>
        <v>--</v>
      </c>
      <c r="X37" s="1290" t="str">
        <f t="shared" si="10"/>
        <v>--</v>
      </c>
      <c r="Y37" s="1291" t="str">
        <f t="shared" si="11"/>
        <v>--</v>
      </c>
      <c r="Z37" s="1292" t="str">
        <f t="shared" si="12"/>
        <v>--</v>
      </c>
      <c r="AA37" s="1293" t="str">
        <f t="shared" si="13"/>
        <v>--</v>
      </c>
      <c r="AB37" s="1294">
        <f t="shared" si="0"/>
      </c>
      <c r="AC37" s="1295">
        <f t="shared" si="1"/>
        <v>0</v>
      </c>
      <c r="AD37" s="1296">
        <f t="shared" si="2"/>
      </c>
      <c r="AE37" s="1142"/>
    </row>
    <row r="38" spans="1:31" s="1126" customFormat="1" ht="16.5" customHeight="1">
      <c r="A38" s="1125"/>
      <c r="B38" s="1197"/>
      <c r="C38" s="1180"/>
      <c r="D38" s="1180"/>
      <c r="E38" s="1180"/>
      <c r="F38" s="1274"/>
      <c r="G38" s="1298"/>
      <c r="H38" s="1276"/>
      <c r="I38" s="1297"/>
      <c r="J38" s="1278">
        <f>IF(F38="RINCÓN",H38*#REF!,H38*$H$14)</f>
        <v>0</v>
      </c>
      <c r="K38" s="1279"/>
      <c r="L38" s="1279"/>
      <c r="M38" s="1280">
        <f t="shared" si="3"/>
      </c>
      <c r="N38" s="1281">
        <f t="shared" si="4"/>
      </c>
      <c r="O38" s="1282"/>
      <c r="P38" s="1283">
        <f t="shared" si="14"/>
      </c>
      <c r="Q38" s="1284">
        <f t="shared" si="15"/>
      </c>
      <c r="R38" s="1285">
        <f t="shared" si="16"/>
      </c>
      <c r="S38" s="1263">
        <f t="shared" si="5"/>
        <v>20</v>
      </c>
      <c r="T38" s="1286" t="str">
        <f t="shared" si="6"/>
        <v>--</v>
      </c>
      <c r="U38" s="1287" t="str">
        <f t="shared" si="7"/>
        <v>--</v>
      </c>
      <c r="V38" s="1288" t="str">
        <f t="shared" si="8"/>
        <v>--</v>
      </c>
      <c r="W38" s="1289" t="str">
        <f t="shared" si="9"/>
        <v>--</v>
      </c>
      <c r="X38" s="1290" t="str">
        <f t="shared" si="10"/>
        <v>--</v>
      </c>
      <c r="Y38" s="1291" t="str">
        <f t="shared" si="11"/>
        <v>--</v>
      </c>
      <c r="Z38" s="1292" t="str">
        <f t="shared" si="12"/>
        <v>--</v>
      </c>
      <c r="AA38" s="1293" t="str">
        <f t="shared" si="13"/>
        <v>--</v>
      </c>
      <c r="AB38" s="1294">
        <f t="shared" si="0"/>
      </c>
      <c r="AC38" s="1295">
        <f t="shared" si="1"/>
        <v>0</v>
      </c>
      <c r="AD38" s="1296">
        <f t="shared" si="2"/>
      </c>
      <c r="AE38" s="1142"/>
    </row>
    <row r="39" spans="1:31" s="1126" customFormat="1" ht="16.5" customHeight="1">
      <c r="A39" s="1125"/>
      <c r="B39" s="1197"/>
      <c r="C39" s="1180"/>
      <c r="D39" s="1180"/>
      <c r="E39" s="1179"/>
      <c r="F39" s="1274"/>
      <c r="G39" s="1298"/>
      <c r="H39" s="1276"/>
      <c r="I39" s="1297"/>
      <c r="J39" s="1278">
        <f>IF(F39="RINCÓN",H39*#REF!,H39*$H$14)</f>
        <v>0</v>
      </c>
      <c r="K39" s="1279"/>
      <c r="L39" s="1279"/>
      <c r="M39" s="1280">
        <f t="shared" si="3"/>
      </c>
      <c r="N39" s="1281">
        <f t="shared" si="4"/>
      </c>
      <c r="O39" s="1282"/>
      <c r="P39" s="1283">
        <f t="shared" si="14"/>
      </c>
      <c r="Q39" s="1284">
        <f t="shared" si="15"/>
      </c>
      <c r="R39" s="1285">
        <f t="shared" si="16"/>
      </c>
      <c r="S39" s="1263">
        <f t="shared" si="5"/>
        <v>20</v>
      </c>
      <c r="T39" s="1286" t="str">
        <f t="shared" si="6"/>
        <v>--</v>
      </c>
      <c r="U39" s="1287" t="str">
        <f t="shared" si="7"/>
        <v>--</v>
      </c>
      <c r="V39" s="1288" t="str">
        <f t="shared" si="8"/>
        <v>--</v>
      </c>
      <c r="W39" s="1289" t="str">
        <f t="shared" si="9"/>
        <v>--</v>
      </c>
      <c r="X39" s="1290" t="str">
        <f t="shared" si="10"/>
        <v>--</v>
      </c>
      <c r="Y39" s="1291" t="str">
        <f t="shared" si="11"/>
        <v>--</v>
      </c>
      <c r="Z39" s="1292" t="str">
        <f t="shared" si="12"/>
        <v>--</v>
      </c>
      <c r="AA39" s="1293" t="str">
        <f t="shared" si="13"/>
        <v>--</v>
      </c>
      <c r="AB39" s="1294">
        <f t="shared" si="0"/>
      </c>
      <c r="AC39" s="1295">
        <f t="shared" si="1"/>
        <v>0</v>
      </c>
      <c r="AD39" s="1296">
        <f t="shared" si="2"/>
      </c>
      <c r="AE39" s="1142"/>
    </row>
    <row r="40" spans="1:31" s="1126" customFormat="1" ht="16.5" customHeight="1">
      <c r="A40" s="1125"/>
      <c r="B40" s="1197"/>
      <c r="C40" s="1180"/>
      <c r="D40" s="1180"/>
      <c r="E40" s="1180"/>
      <c r="F40" s="1274"/>
      <c r="G40" s="1298"/>
      <c r="H40" s="1276"/>
      <c r="I40" s="1297"/>
      <c r="J40" s="1278">
        <f>IF(F40="RINCÓN",H40*#REF!,H40*$H$14)</f>
        <v>0</v>
      </c>
      <c r="K40" s="1279"/>
      <c r="L40" s="1279"/>
      <c r="M40" s="1280">
        <f t="shared" si="3"/>
      </c>
      <c r="N40" s="1281">
        <f t="shared" si="4"/>
      </c>
      <c r="O40" s="1282"/>
      <c r="P40" s="1283">
        <f t="shared" si="14"/>
      </c>
      <c r="Q40" s="1284">
        <f t="shared" si="15"/>
      </c>
      <c r="R40" s="1285">
        <f t="shared" si="16"/>
      </c>
      <c r="S40" s="1263">
        <f t="shared" si="5"/>
        <v>20</v>
      </c>
      <c r="T40" s="1286" t="str">
        <f t="shared" si="6"/>
        <v>--</v>
      </c>
      <c r="U40" s="1287" t="str">
        <f t="shared" si="7"/>
        <v>--</v>
      </c>
      <c r="V40" s="1288" t="str">
        <f t="shared" si="8"/>
        <v>--</v>
      </c>
      <c r="W40" s="1289" t="str">
        <f t="shared" si="9"/>
        <v>--</v>
      </c>
      <c r="X40" s="1290" t="str">
        <f t="shared" si="10"/>
        <v>--</v>
      </c>
      <c r="Y40" s="1291" t="str">
        <f t="shared" si="11"/>
        <v>--</v>
      </c>
      <c r="Z40" s="1292" t="str">
        <f t="shared" si="12"/>
        <v>--</v>
      </c>
      <c r="AA40" s="1293" t="str">
        <f t="shared" si="13"/>
        <v>--</v>
      </c>
      <c r="AB40" s="1294">
        <f t="shared" si="0"/>
      </c>
      <c r="AC40" s="1295">
        <f t="shared" si="1"/>
        <v>0</v>
      </c>
      <c r="AD40" s="1296">
        <f t="shared" si="2"/>
      </c>
      <c r="AE40" s="1142"/>
    </row>
    <row r="41" spans="1:31" s="1126" customFormat="1" ht="16.5" customHeight="1" thickBot="1">
      <c r="A41" s="1125"/>
      <c r="B41" s="1197"/>
      <c r="C41" s="1299"/>
      <c r="D41" s="1299"/>
      <c r="E41" s="1299"/>
      <c r="F41" s="1299"/>
      <c r="G41" s="1299"/>
      <c r="H41" s="1299"/>
      <c r="I41" s="1300"/>
      <c r="J41" s="1301"/>
      <c r="K41" s="1302"/>
      <c r="L41" s="1303"/>
      <c r="M41" s="1304"/>
      <c r="N41" s="1305"/>
      <c r="O41" s="1306"/>
      <c r="P41" s="1183"/>
      <c r="Q41" s="1307"/>
      <c r="R41" s="1307"/>
      <c r="S41" s="1308"/>
      <c r="T41" s="1309"/>
      <c r="U41" s="1310"/>
      <c r="V41" s="1311"/>
      <c r="W41" s="1312"/>
      <c r="X41" s="1313"/>
      <c r="Y41" s="1314"/>
      <c r="Z41" s="1315"/>
      <c r="AA41" s="1316"/>
      <c r="AB41" s="1317"/>
      <c r="AC41" s="1318"/>
      <c r="AD41" s="1319"/>
      <c r="AE41" s="1142"/>
    </row>
    <row r="42" spans="1:31" s="1126" customFormat="1" ht="16.5" customHeight="1" thickBot="1" thickTop="1">
      <c r="A42" s="1125"/>
      <c r="B42" s="1197"/>
      <c r="C42" s="1184" t="s">
        <v>359</v>
      </c>
      <c r="D42" s="1320" t="s">
        <v>365</v>
      </c>
      <c r="E42" s="1321"/>
      <c r="F42" s="1185"/>
      <c r="G42" s="1198"/>
      <c r="H42" s="1198"/>
      <c r="I42" s="1198"/>
      <c r="J42" s="1198"/>
      <c r="K42" s="1198"/>
      <c r="L42" s="1222"/>
      <c r="M42" s="1198"/>
      <c r="N42" s="1198"/>
      <c r="O42" s="1198"/>
      <c r="P42" s="1198"/>
      <c r="Q42" s="1198"/>
      <c r="R42" s="1198"/>
      <c r="S42" s="1322"/>
      <c r="T42" s="1323">
        <f aca="true" t="shared" si="17" ref="T42:AA42">SUM(T19:T41)</f>
        <v>282.366</v>
      </c>
      <c r="U42" s="1324">
        <f t="shared" si="17"/>
        <v>0</v>
      </c>
      <c r="V42" s="1325">
        <f t="shared" si="17"/>
        <v>0</v>
      </c>
      <c r="W42" s="1326">
        <f t="shared" si="17"/>
        <v>0</v>
      </c>
      <c r="X42" s="1327">
        <f t="shared" si="17"/>
        <v>0</v>
      </c>
      <c r="Y42" s="1328">
        <f t="shared" si="17"/>
        <v>0</v>
      </c>
      <c r="Z42" s="1329">
        <f t="shared" si="17"/>
        <v>0</v>
      </c>
      <c r="AA42" s="1330">
        <f t="shared" si="17"/>
        <v>0</v>
      </c>
      <c r="AB42" s="1125"/>
      <c r="AC42" s="1331">
        <f>ROUND(SUM(AC19:AC41),2)</f>
        <v>282.37</v>
      </c>
      <c r="AD42" s="1332">
        <f>ROUND(SUM(AD19:AD41),2)</f>
        <v>282.37</v>
      </c>
      <c r="AE42" s="1142"/>
    </row>
    <row r="43" spans="1:31" s="1126" customFormat="1" ht="16.5" customHeight="1" thickBot="1" thickTop="1">
      <c r="A43" s="1125"/>
      <c r="B43" s="1333"/>
      <c r="C43" s="1334"/>
      <c r="D43" s="1334"/>
      <c r="E43" s="1334"/>
      <c r="F43" s="1334"/>
      <c r="G43" s="1334"/>
      <c r="H43" s="1334"/>
      <c r="I43" s="1334"/>
      <c r="J43" s="1334"/>
      <c r="K43" s="1334"/>
      <c r="L43" s="1334"/>
      <c r="M43" s="1334"/>
      <c r="N43" s="1334"/>
      <c r="O43" s="1334"/>
      <c r="P43" s="1334"/>
      <c r="Q43" s="1334"/>
      <c r="R43" s="1334"/>
      <c r="S43" s="1334"/>
      <c r="T43" s="1334"/>
      <c r="U43" s="1334"/>
      <c r="V43" s="1334"/>
      <c r="W43" s="1334"/>
      <c r="X43" s="1334"/>
      <c r="Y43" s="1334"/>
      <c r="Z43" s="1334"/>
      <c r="AA43" s="1334"/>
      <c r="AB43" s="1334"/>
      <c r="AC43" s="1334"/>
      <c r="AD43" s="1334"/>
      <c r="AE43" s="1335"/>
    </row>
    <row r="44" spans="1:32" ht="16.5" customHeight="1" thickTop="1">
      <c r="A44" s="1336"/>
      <c r="F44" s="1337"/>
      <c r="G44" s="1337"/>
      <c r="H44" s="1337"/>
      <c r="I44" s="1337"/>
      <c r="J44" s="1337"/>
      <c r="K44" s="1337"/>
      <c r="L44" s="1337"/>
      <c r="M44" s="1337"/>
      <c r="N44" s="1337"/>
      <c r="O44" s="1337"/>
      <c r="P44" s="1337"/>
      <c r="Q44" s="1337"/>
      <c r="R44" s="1337"/>
      <c r="S44" s="1337"/>
      <c r="T44" s="1337"/>
      <c r="U44" s="1337"/>
      <c r="V44" s="1337"/>
      <c r="W44" s="1337"/>
      <c r="X44" s="1337"/>
      <c r="Y44" s="1337"/>
      <c r="Z44" s="1337"/>
      <c r="AA44" s="1337"/>
      <c r="AB44" s="1337"/>
      <c r="AC44" s="1337"/>
      <c r="AD44" s="1337"/>
      <c r="AE44" s="1337"/>
      <c r="AF44" s="1337"/>
    </row>
    <row r="45" spans="1:32" ht="16.5" customHeight="1">
      <c r="A45" s="1336"/>
      <c r="F45" s="1337"/>
      <c r="G45" s="1337"/>
      <c r="H45" s="1337"/>
      <c r="I45" s="1337"/>
      <c r="J45" s="1337"/>
      <c r="K45" s="1337"/>
      <c r="L45" s="1337"/>
      <c r="M45" s="1337"/>
      <c r="N45" s="1337"/>
      <c r="O45" s="1337"/>
      <c r="P45" s="1337"/>
      <c r="Q45" s="1337"/>
      <c r="R45" s="1337"/>
      <c r="S45" s="1337"/>
      <c r="T45" s="1337"/>
      <c r="U45" s="1337"/>
      <c r="V45" s="1337"/>
      <c r="W45" s="1337"/>
      <c r="X45" s="1337"/>
      <c r="Y45" s="1337"/>
      <c r="Z45" s="1337"/>
      <c r="AA45" s="1337"/>
      <c r="AB45" s="1337"/>
      <c r="AC45" s="1337"/>
      <c r="AD45" s="1337"/>
      <c r="AE45" s="1337"/>
      <c r="AF45" s="1337"/>
    </row>
    <row r="46" spans="1:32" ht="16.5" customHeight="1">
      <c r="A46" s="1336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37"/>
    </row>
    <row r="47" spans="1:32" ht="16.5" customHeight="1">
      <c r="A47" s="1336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1337"/>
    </row>
    <row r="48" spans="6:32" ht="16.5" customHeight="1"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1337"/>
    </row>
    <row r="49" spans="6:32" ht="16.5" customHeight="1">
      <c r="F49" s="1337"/>
      <c r="G49" s="1337"/>
      <c r="H49" s="1337"/>
      <c r="I49" s="1337"/>
      <c r="J49" s="1337"/>
      <c r="K49" s="1337"/>
      <c r="L49" s="1337"/>
      <c r="M49" s="1337"/>
      <c r="N49" s="1337"/>
      <c r="O49" s="1337"/>
      <c r="P49" s="1337"/>
      <c r="Q49" s="1337"/>
      <c r="R49" s="1337"/>
      <c r="S49" s="1337"/>
      <c r="T49" s="1337"/>
      <c r="U49" s="1337"/>
      <c r="V49" s="1337"/>
      <c r="W49" s="1337"/>
      <c r="X49" s="1337"/>
      <c r="Y49" s="1337"/>
      <c r="Z49" s="1337"/>
      <c r="AA49" s="1337"/>
      <c r="AB49" s="1337"/>
      <c r="AC49" s="1337"/>
      <c r="AD49" s="1337"/>
      <c r="AE49" s="1337"/>
      <c r="AF49" s="1337"/>
    </row>
    <row r="50" spans="6:32" ht="16.5" customHeight="1"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7"/>
      <c r="Y50" s="1337"/>
      <c r="Z50" s="1337"/>
      <c r="AA50" s="1337"/>
      <c r="AB50" s="1337"/>
      <c r="AC50" s="1337"/>
      <c r="AD50" s="1337"/>
      <c r="AE50" s="1337"/>
      <c r="AF50" s="1337"/>
    </row>
    <row r="51" spans="6:32" ht="16.5" customHeight="1"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7"/>
      <c r="AB51" s="1337"/>
      <c r="AC51" s="1337"/>
      <c r="AD51" s="1337"/>
      <c r="AE51" s="1337"/>
      <c r="AF51" s="1337"/>
    </row>
    <row r="52" spans="6:32" ht="16.5" customHeight="1"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1337"/>
    </row>
    <row r="53" spans="6:32" ht="16.5" customHeight="1">
      <c r="F53" s="1337"/>
      <c r="G53" s="1337"/>
      <c r="H53" s="1337"/>
      <c r="I53" s="1337"/>
      <c r="J53" s="1337"/>
      <c r="K53" s="1337"/>
      <c r="L53" s="1337"/>
      <c r="M53" s="1337"/>
      <c r="N53" s="1337"/>
      <c r="O53" s="1337"/>
      <c r="P53" s="1337"/>
      <c r="Q53" s="1337"/>
      <c r="R53" s="1337"/>
      <c r="S53" s="1337"/>
      <c r="T53" s="1337"/>
      <c r="U53" s="1337"/>
      <c r="V53" s="1337"/>
      <c r="W53" s="1337"/>
      <c r="X53" s="1337"/>
      <c r="Y53" s="1337"/>
      <c r="Z53" s="1337"/>
      <c r="AA53" s="1337"/>
      <c r="AB53" s="1337"/>
      <c r="AC53" s="1337"/>
      <c r="AD53" s="1337"/>
      <c r="AE53" s="1337"/>
      <c r="AF53" s="1337"/>
    </row>
    <row r="54" spans="6:32" ht="16.5" customHeight="1"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1337"/>
    </row>
    <row r="55" spans="6:32" ht="16.5" customHeight="1">
      <c r="F55" s="1337"/>
      <c r="G55" s="1337"/>
      <c r="H55" s="1337"/>
      <c r="I55" s="1337"/>
      <c r="J55" s="1337"/>
      <c r="K55" s="1337"/>
      <c r="L55" s="1337"/>
      <c r="M55" s="1337"/>
      <c r="N55" s="1337"/>
      <c r="O55" s="1337"/>
      <c r="P55" s="1337"/>
      <c r="Q55" s="1337"/>
      <c r="R55" s="1337"/>
      <c r="S55" s="1337"/>
      <c r="T55" s="1337"/>
      <c r="U55" s="1337"/>
      <c r="V55" s="1337"/>
      <c r="W55" s="1337"/>
      <c r="X55" s="1337"/>
      <c r="Y55" s="1337"/>
      <c r="Z55" s="1337"/>
      <c r="AA55" s="1337"/>
      <c r="AB55" s="1337"/>
      <c r="AC55" s="1337"/>
      <c r="AD55" s="1337"/>
      <c r="AE55" s="1337"/>
      <c r="AF55" s="1337"/>
    </row>
    <row r="56" spans="6:32" ht="16.5" customHeight="1">
      <c r="F56" s="1337"/>
      <c r="G56" s="1337"/>
      <c r="H56" s="1337"/>
      <c r="I56" s="1337"/>
      <c r="J56" s="1337"/>
      <c r="K56" s="1337"/>
      <c r="L56" s="1337"/>
      <c r="M56" s="1337"/>
      <c r="N56" s="1337"/>
      <c r="O56" s="1337"/>
      <c r="P56" s="1337"/>
      <c r="Q56" s="1337"/>
      <c r="R56" s="1337"/>
      <c r="S56" s="1337"/>
      <c r="T56" s="1337"/>
      <c r="U56" s="1337"/>
      <c r="V56" s="1337"/>
      <c r="W56" s="1337"/>
      <c r="X56" s="1337"/>
      <c r="Y56" s="1337"/>
      <c r="Z56" s="1337"/>
      <c r="AA56" s="1337"/>
      <c r="AB56" s="1337"/>
      <c r="AC56" s="1337"/>
      <c r="AD56" s="1337"/>
      <c r="AE56" s="1337"/>
      <c r="AF56" s="1337"/>
    </row>
    <row r="57" spans="6:32" ht="16.5" customHeight="1">
      <c r="F57" s="1337"/>
      <c r="G57" s="1337"/>
      <c r="H57" s="1337"/>
      <c r="I57" s="1337"/>
      <c r="J57" s="1337"/>
      <c r="K57" s="1337"/>
      <c r="L57" s="1337"/>
      <c r="M57" s="1337"/>
      <c r="N57" s="1337"/>
      <c r="O57" s="1337"/>
      <c r="P57" s="1337"/>
      <c r="Q57" s="1337"/>
      <c r="R57" s="1337"/>
      <c r="S57" s="1337"/>
      <c r="T57" s="1337"/>
      <c r="U57" s="1337"/>
      <c r="V57" s="1337"/>
      <c r="W57" s="1337"/>
      <c r="X57" s="1337"/>
      <c r="Y57" s="1337"/>
      <c r="Z57" s="1337"/>
      <c r="AA57" s="1337"/>
      <c r="AB57" s="1337"/>
      <c r="AC57" s="1337"/>
      <c r="AD57" s="1337"/>
      <c r="AE57" s="1337"/>
      <c r="AF57" s="1337"/>
    </row>
    <row r="58" spans="6:32" ht="16.5" customHeight="1">
      <c r="F58" s="1337"/>
      <c r="G58" s="1337"/>
      <c r="H58" s="1337"/>
      <c r="I58" s="1337"/>
      <c r="J58" s="1337"/>
      <c r="K58" s="1337"/>
      <c r="L58" s="1337"/>
      <c r="M58" s="1337"/>
      <c r="N58" s="1337"/>
      <c r="O58" s="1337"/>
      <c r="P58" s="1337"/>
      <c r="Q58" s="1337"/>
      <c r="R58" s="1337"/>
      <c r="S58" s="1337"/>
      <c r="T58" s="1337"/>
      <c r="U58" s="1337"/>
      <c r="V58" s="1337"/>
      <c r="W58" s="1337"/>
      <c r="X58" s="1337"/>
      <c r="Y58" s="1337"/>
      <c r="Z58" s="1337"/>
      <c r="AA58" s="1337"/>
      <c r="AB58" s="1337"/>
      <c r="AC58" s="1337"/>
      <c r="AD58" s="1337"/>
      <c r="AE58" s="1337"/>
      <c r="AF58" s="1337"/>
    </row>
    <row r="59" spans="6:32" ht="16.5" customHeight="1">
      <c r="F59" s="1337"/>
      <c r="G59" s="1337"/>
      <c r="H59" s="1337"/>
      <c r="I59" s="1337"/>
      <c r="J59" s="1337"/>
      <c r="K59" s="1337"/>
      <c r="L59" s="1337"/>
      <c r="M59" s="1337"/>
      <c r="N59" s="1337"/>
      <c r="O59" s="1337"/>
      <c r="P59" s="1337"/>
      <c r="Q59" s="1337"/>
      <c r="R59" s="1337"/>
      <c r="S59" s="1337"/>
      <c r="T59" s="1337"/>
      <c r="U59" s="1337"/>
      <c r="V59" s="1337"/>
      <c r="W59" s="1337"/>
      <c r="X59" s="1337"/>
      <c r="Y59" s="1337"/>
      <c r="Z59" s="1337"/>
      <c r="AA59" s="1337"/>
      <c r="AB59" s="1337"/>
      <c r="AC59" s="1337"/>
      <c r="AD59" s="1337"/>
      <c r="AE59" s="1337"/>
      <c r="AF59" s="1337"/>
    </row>
    <row r="60" spans="6:32" ht="16.5" customHeight="1"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1337"/>
    </row>
    <row r="61" spans="6:32" ht="16.5" customHeight="1">
      <c r="F61" s="1337"/>
      <c r="G61" s="1337"/>
      <c r="H61" s="1337"/>
      <c r="I61" s="1337"/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1337"/>
      <c r="X61" s="1337"/>
      <c r="Y61" s="1337"/>
      <c r="Z61" s="1337"/>
      <c r="AA61" s="1337"/>
      <c r="AB61" s="1337"/>
      <c r="AC61" s="1337"/>
      <c r="AD61" s="1337"/>
      <c r="AE61" s="1337"/>
      <c r="AF61" s="1337"/>
    </row>
    <row r="62" spans="6:32" ht="16.5" customHeight="1">
      <c r="F62" s="1337"/>
      <c r="G62" s="1337"/>
      <c r="H62" s="1337"/>
      <c r="I62" s="1337"/>
      <c r="J62" s="1337"/>
      <c r="K62" s="1337"/>
      <c r="L62" s="1337"/>
      <c r="M62" s="1337"/>
      <c r="N62" s="1337"/>
      <c r="O62" s="1337"/>
      <c r="P62" s="1337"/>
      <c r="Q62" s="1337"/>
      <c r="R62" s="1337"/>
      <c r="S62" s="1337"/>
      <c r="T62" s="1337"/>
      <c r="U62" s="1337"/>
      <c r="V62" s="1337"/>
      <c r="W62" s="1337"/>
      <c r="X62" s="1337"/>
      <c r="Y62" s="1337"/>
      <c r="Z62" s="1337"/>
      <c r="AA62" s="1337"/>
      <c r="AB62" s="1337"/>
      <c r="AC62" s="1337"/>
      <c r="AD62" s="1337"/>
      <c r="AE62" s="1337"/>
      <c r="AF62" s="1337"/>
    </row>
    <row r="63" spans="6:32" ht="16.5" customHeight="1"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1337"/>
    </row>
    <row r="64" spans="6:32" ht="16.5" customHeight="1"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1337"/>
    </row>
    <row r="65" spans="6:32" ht="16.5" customHeight="1">
      <c r="F65" s="1337"/>
      <c r="G65" s="1337"/>
      <c r="H65" s="1337"/>
      <c r="I65" s="1337"/>
      <c r="J65" s="1337"/>
      <c r="K65" s="1337"/>
      <c r="L65" s="1337"/>
      <c r="M65" s="1337"/>
      <c r="N65" s="1337"/>
      <c r="O65" s="1337"/>
      <c r="P65" s="1337"/>
      <c r="Q65" s="1337"/>
      <c r="R65" s="1337"/>
      <c r="S65" s="1337"/>
      <c r="T65" s="1337"/>
      <c r="U65" s="1337"/>
      <c r="V65" s="1337"/>
      <c r="W65" s="1337"/>
      <c r="X65" s="1337"/>
      <c r="Y65" s="1337"/>
      <c r="Z65" s="1337"/>
      <c r="AA65" s="1337"/>
      <c r="AB65" s="1337"/>
      <c r="AC65" s="1337"/>
      <c r="AD65" s="1337"/>
      <c r="AE65" s="1337"/>
      <c r="AF65" s="1337"/>
    </row>
    <row r="66" spans="6:32" ht="16.5" customHeight="1"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1337"/>
    </row>
    <row r="67" spans="6:32" ht="16.5" customHeight="1"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1337"/>
      <c r="AD67" s="1337"/>
      <c r="AE67" s="1337"/>
      <c r="AF67" s="1337"/>
    </row>
    <row r="68" spans="6:32" ht="16.5" customHeight="1"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1337"/>
      <c r="AD68" s="1337"/>
      <c r="AE68" s="1337"/>
      <c r="AF68" s="1337"/>
    </row>
    <row r="69" spans="6:32" ht="16.5" customHeight="1">
      <c r="F69" s="1337"/>
      <c r="G69" s="1337"/>
      <c r="H69" s="1337"/>
      <c r="I69" s="1337"/>
      <c r="J69" s="1337"/>
      <c r="K69" s="1337"/>
      <c r="L69" s="1337"/>
      <c r="M69" s="1337"/>
      <c r="N69" s="1337"/>
      <c r="O69" s="1337"/>
      <c r="P69" s="1337"/>
      <c r="Q69" s="1337"/>
      <c r="R69" s="1337"/>
      <c r="S69" s="1337"/>
      <c r="T69" s="1337"/>
      <c r="U69" s="1337"/>
      <c r="V69" s="1337"/>
      <c r="W69" s="1337"/>
      <c r="X69" s="1337"/>
      <c r="Y69" s="1337"/>
      <c r="Z69" s="1337"/>
      <c r="AA69" s="1337"/>
      <c r="AB69" s="1337"/>
      <c r="AC69" s="1337"/>
      <c r="AD69" s="1337"/>
      <c r="AE69" s="1337"/>
      <c r="AF69" s="1337"/>
    </row>
    <row r="70" spans="6:32" ht="16.5" customHeight="1"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1337"/>
    </row>
    <row r="71" spans="6:32" ht="16.5" customHeight="1"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1337"/>
    </row>
    <row r="72" spans="6:32" ht="16.5" customHeight="1"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1337"/>
    </row>
    <row r="73" spans="6:32" ht="16.5" customHeight="1"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1337"/>
    </row>
    <row r="74" spans="6:32" ht="16.5" customHeight="1"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1337"/>
    </row>
    <row r="75" spans="6:32" ht="16.5" customHeight="1"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1337"/>
    </row>
    <row r="76" spans="6:32" ht="16.5" customHeight="1">
      <c r="F76" s="1337"/>
      <c r="G76" s="1337"/>
      <c r="H76" s="1337"/>
      <c r="I76" s="1337"/>
      <c r="J76" s="1337"/>
      <c r="K76" s="1337"/>
      <c r="L76" s="1337"/>
      <c r="M76" s="1337"/>
      <c r="N76" s="1337"/>
      <c r="O76" s="1337"/>
      <c r="P76" s="1337"/>
      <c r="Q76" s="1337"/>
      <c r="R76" s="1337"/>
      <c r="S76" s="1337"/>
      <c r="T76" s="1337"/>
      <c r="U76" s="1337"/>
      <c r="V76" s="1337"/>
      <c r="W76" s="1337"/>
      <c r="X76" s="1337"/>
      <c r="Y76" s="1337"/>
      <c r="Z76" s="1337"/>
      <c r="AA76" s="1337"/>
      <c r="AB76" s="1337"/>
      <c r="AC76" s="1337"/>
      <c r="AD76" s="1337"/>
      <c r="AE76" s="1337"/>
      <c r="AF76" s="1337"/>
    </row>
    <row r="77" spans="6:32" ht="16.5" customHeight="1">
      <c r="F77" s="1337"/>
      <c r="G77" s="1337"/>
      <c r="H77" s="1337"/>
      <c r="I77" s="1337"/>
      <c r="J77" s="1337"/>
      <c r="K77" s="1337"/>
      <c r="L77" s="1337"/>
      <c r="M77" s="1337"/>
      <c r="N77" s="1337"/>
      <c r="O77" s="1337"/>
      <c r="P77" s="1337"/>
      <c r="Q77" s="1337"/>
      <c r="R77" s="1337"/>
      <c r="S77" s="1337"/>
      <c r="T77" s="1337"/>
      <c r="U77" s="1337"/>
      <c r="V77" s="1337"/>
      <c r="W77" s="1337"/>
      <c r="X77" s="1337"/>
      <c r="Y77" s="1337"/>
      <c r="Z77" s="1337"/>
      <c r="AA77" s="1337"/>
      <c r="AB77" s="1337"/>
      <c r="AC77" s="1337"/>
      <c r="AD77" s="1337"/>
      <c r="AE77" s="1337"/>
      <c r="AF77" s="1337"/>
    </row>
    <row r="78" spans="6:32" ht="16.5" customHeight="1"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1337"/>
    </row>
    <row r="79" spans="6:32" ht="16.5" customHeight="1">
      <c r="F79" s="1337"/>
      <c r="G79" s="1337"/>
      <c r="H79" s="1337"/>
      <c r="I79" s="1337"/>
      <c r="J79" s="1337"/>
      <c r="K79" s="1337"/>
      <c r="L79" s="1337"/>
      <c r="M79" s="1337"/>
      <c r="N79" s="1337"/>
      <c r="O79" s="1337"/>
      <c r="P79" s="1337"/>
      <c r="Q79" s="1337"/>
      <c r="R79" s="1337"/>
      <c r="S79" s="1337"/>
      <c r="T79" s="1337"/>
      <c r="U79" s="1337"/>
      <c r="V79" s="1337"/>
      <c r="W79" s="1337"/>
      <c r="X79" s="1337"/>
      <c r="Y79" s="1337"/>
      <c r="Z79" s="1337"/>
      <c r="AA79" s="1337"/>
      <c r="AB79" s="1337"/>
      <c r="AC79" s="1337"/>
      <c r="AD79" s="1337"/>
      <c r="AE79" s="1337"/>
      <c r="AF79" s="1337"/>
    </row>
    <row r="80" spans="6:32" ht="16.5" customHeight="1">
      <c r="F80" s="1337"/>
      <c r="G80" s="1337"/>
      <c r="H80" s="1337"/>
      <c r="I80" s="1337"/>
      <c r="J80" s="1337"/>
      <c r="K80" s="1337"/>
      <c r="L80" s="1337"/>
      <c r="M80" s="1337"/>
      <c r="N80" s="1337"/>
      <c r="O80" s="1337"/>
      <c r="P80" s="1337"/>
      <c r="Q80" s="1337"/>
      <c r="R80" s="1337"/>
      <c r="S80" s="1337"/>
      <c r="T80" s="1337"/>
      <c r="U80" s="1337"/>
      <c r="V80" s="1337"/>
      <c r="W80" s="1337"/>
      <c r="X80" s="1337"/>
      <c r="Y80" s="1337"/>
      <c r="Z80" s="1337"/>
      <c r="AA80" s="1337"/>
      <c r="AB80" s="1337"/>
      <c r="AC80" s="1337"/>
      <c r="AD80" s="1337"/>
      <c r="AE80" s="1337"/>
      <c r="AF80" s="1337"/>
    </row>
    <row r="81" spans="6:32" ht="16.5" customHeight="1">
      <c r="F81" s="1337"/>
      <c r="G81" s="1337"/>
      <c r="H81" s="1337"/>
      <c r="I81" s="1337"/>
      <c r="J81" s="1337"/>
      <c r="K81" s="1337"/>
      <c r="L81" s="1337"/>
      <c r="M81" s="1337"/>
      <c r="N81" s="1337"/>
      <c r="O81" s="1337"/>
      <c r="P81" s="1337"/>
      <c r="Q81" s="1337"/>
      <c r="R81" s="1337"/>
      <c r="S81" s="1337"/>
      <c r="T81" s="1337"/>
      <c r="U81" s="1337"/>
      <c r="V81" s="1337"/>
      <c r="W81" s="1337"/>
      <c r="X81" s="1337"/>
      <c r="Y81" s="1337"/>
      <c r="Z81" s="1337"/>
      <c r="AA81" s="1337"/>
      <c r="AB81" s="1337"/>
      <c r="AC81" s="1337"/>
      <c r="AD81" s="1337"/>
      <c r="AE81" s="1337"/>
      <c r="AF81" s="1337"/>
    </row>
    <row r="82" spans="6:32" ht="16.5" customHeight="1">
      <c r="F82" s="1337"/>
      <c r="G82" s="1337"/>
      <c r="H82" s="1337"/>
      <c r="I82" s="1337"/>
      <c r="J82" s="1337"/>
      <c r="K82" s="1337"/>
      <c r="L82" s="1337"/>
      <c r="M82" s="1337"/>
      <c r="N82" s="1337"/>
      <c r="O82" s="1337"/>
      <c r="P82" s="1337"/>
      <c r="Q82" s="1337"/>
      <c r="R82" s="1337"/>
      <c r="S82" s="1337"/>
      <c r="T82" s="1337"/>
      <c r="U82" s="1337"/>
      <c r="V82" s="1337"/>
      <c r="W82" s="1337"/>
      <c r="X82" s="1337"/>
      <c r="Y82" s="1337"/>
      <c r="Z82" s="1337"/>
      <c r="AA82" s="1337"/>
      <c r="AB82" s="1337"/>
      <c r="AC82" s="1337"/>
      <c r="AD82" s="1337"/>
      <c r="AE82" s="1337"/>
      <c r="AF82" s="1337"/>
    </row>
    <row r="83" spans="6:32" ht="16.5" customHeight="1">
      <c r="F83" s="1337"/>
      <c r="G83" s="1337"/>
      <c r="H83" s="1337"/>
      <c r="I83" s="1337"/>
      <c r="J83" s="1337"/>
      <c r="K83" s="1337"/>
      <c r="L83" s="1337"/>
      <c r="M83" s="1337"/>
      <c r="N83" s="1337"/>
      <c r="O83" s="1337"/>
      <c r="P83" s="1337"/>
      <c r="Q83" s="1337"/>
      <c r="R83" s="1337"/>
      <c r="S83" s="1337"/>
      <c r="T83" s="1337"/>
      <c r="U83" s="1337"/>
      <c r="V83" s="1337"/>
      <c r="W83" s="1337"/>
      <c r="X83" s="1337"/>
      <c r="Y83" s="1337"/>
      <c r="Z83" s="1337"/>
      <c r="AA83" s="1337"/>
      <c r="AB83" s="1337"/>
      <c r="AC83" s="1337"/>
      <c r="AD83" s="1337"/>
      <c r="AE83" s="1337"/>
      <c r="AF83" s="1337"/>
    </row>
    <row r="84" spans="6:32" ht="16.5" customHeight="1">
      <c r="F84" s="1337"/>
      <c r="G84" s="1337"/>
      <c r="H84" s="1337"/>
      <c r="I84" s="1337"/>
      <c r="J84" s="1337"/>
      <c r="K84" s="1337"/>
      <c r="L84" s="1337"/>
      <c r="M84" s="1337"/>
      <c r="N84" s="1337"/>
      <c r="O84" s="1337"/>
      <c r="P84" s="1337"/>
      <c r="Q84" s="1337"/>
      <c r="R84" s="1337"/>
      <c r="S84" s="1337"/>
      <c r="T84" s="1337"/>
      <c r="U84" s="1337"/>
      <c r="V84" s="1337"/>
      <c r="W84" s="1337"/>
      <c r="X84" s="1337"/>
      <c r="Y84" s="1337"/>
      <c r="Z84" s="1337"/>
      <c r="AA84" s="1337"/>
      <c r="AB84" s="1337"/>
      <c r="AC84" s="1337"/>
      <c r="AD84" s="1337"/>
      <c r="AE84" s="1337"/>
      <c r="AF84" s="1337"/>
    </row>
    <row r="85" spans="6:32" ht="16.5" customHeight="1">
      <c r="F85" s="1337"/>
      <c r="G85" s="1337"/>
      <c r="H85" s="1337"/>
      <c r="I85" s="1337"/>
      <c r="J85" s="1337"/>
      <c r="K85" s="1337"/>
      <c r="L85" s="1337"/>
      <c r="M85" s="1337"/>
      <c r="N85" s="1337"/>
      <c r="O85" s="1337"/>
      <c r="P85" s="1337"/>
      <c r="Q85" s="1337"/>
      <c r="R85" s="1337"/>
      <c r="S85" s="1337"/>
      <c r="T85" s="1337"/>
      <c r="U85" s="1337"/>
      <c r="V85" s="1337"/>
      <c r="W85" s="1337"/>
      <c r="X85" s="1337"/>
      <c r="Y85" s="1337"/>
      <c r="Z85" s="1337"/>
      <c r="AA85" s="1337"/>
      <c r="AB85" s="1337"/>
      <c r="AC85" s="1337"/>
      <c r="AD85" s="1337"/>
      <c r="AE85" s="1337"/>
      <c r="AF85" s="1337"/>
    </row>
    <row r="86" spans="6:32" ht="16.5" customHeight="1">
      <c r="F86" s="1337"/>
      <c r="G86" s="1337"/>
      <c r="H86" s="1337"/>
      <c r="I86" s="1337"/>
      <c r="J86" s="1337"/>
      <c r="K86" s="1337"/>
      <c r="L86" s="1337"/>
      <c r="M86" s="1337"/>
      <c r="N86" s="1337"/>
      <c r="O86" s="1337"/>
      <c r="P86" s="1337"/>
      <c r="Q86" s="1337"/>
      <c r="R86" s="1337"/>
      <c r="S86" s="1337"/>
      <c r="T86" s="1337"/>
      <c r="U86" s="1337"/>
      <c r="V86" s="1337"/>
      <c r="W86" s="1337"/>
      <c r="X86" s="1337"/>
      <c r="Y86" s="1337"/>
      <c r="Z86" s="1337"/>
      <c r="AA86" s="1337"/>
      <c r="AB86" s="1337"/>
      <c r="AC86" s="1337"/>
      <c r="AD86" s="1337"/>
      <c r="AE86" s="1337"/>
      <c r="AF86" s="1337"/>
    </row>
    <row r="87" spans="6:32" ht="16.5" customHeight="1">
      <c r="F87" s="1337"/>
      <c r="G87" s="1337"/>
      <c r="H87" s="1337"/>
      <c r="I87" s="1337"/>
      <c r="J87" s="1337"/>
      <c r="K87" s="1337"/>
      <c r="L87" s="1337"/>
      <c r="M87" s="1337"/>
      <c r="N87" s="1337"/>
      <c r="O87" s="1337"/>
      <c r="P87" s="1337"/>
      <c r="Q87" s="1337"/>
      <c r="R87" s="1337"/>
      <c r="S87" s="1337"/>
      <c r="T87" s="1337"/>
      <c r="U87" s="1337"/>
      <c r="V87" s="1337"/>
      <c r="W87" s="1337"/>
      <c r="X87" s="1337"/>
      <c r="Y87" s="1337"/>
      <c r="Z87" s="1337"/>
      <c r="AA87" s="1337"/>
      <c r="AB87" s="1337"/>
      <c r="AC87" s="1337"/>
      <c r="AD87" s="1337"/>
      <c r="AE87" s="1337"/>
      <c r="AF87" s="1337"/>
    </row>
    <row r="88" spans="6:32" ht="16.5" customHeight="1">
      <c r="F88" s="1337"/>
      <c r="G88" s="1337"/>
      <c r="H88" s="1337"/>
      <c r="I88" s="1337"/>
      <c r="J88" s="1337"/>
      <c r="K88" s="1337"/>
      <c r="L88" s="1337"/>
      <c r="M88" s="1337"/>
      <c r="N88" s="1337"/>
      <c r="O88" s="1337"/>
      <c r="P88" s="1337"/>
      <c r="Q88" s="1337"/>
      <c r="R88" s="1337"/>
      <c r="S88" s="1337"/>
      <c r="T88" s="1337"/>
      <c r="U88" s="1337"/>
      <c r="V88" s="1337"/>
      <c r="W88" s="1337"/>
      <c r="X88" s="1337"/>
      <c r="Y88" s="1337"/>
      <c r="Z88" s="1337"/>
      <c r="AA88" s="1337"/>
      <c r="AB88" s="1337"/>
      <c r="AC88" s="1337"/>
      <c r="AD88" s="1337"/>
      <c r="AE88" s="1337"/>
      <c r="AF88" s="1337"/>
    </row>
    <row r="89" spans="6:32" ht="16.5" customHeight="1">
      <c r="F89" s="1337"/>
      <c r="G89" s="1337"/>
      <c r="H89" s="1337"/>
      <c r="I89" s="1337"/>
      <c r="J89" s="1337"/>
      <c r="K89" s="1337"/>
      <c r="L89" s="1337"/>
      <c r="M89" s="1337"/>
      <c r="N89" s="1337"/>
      <c r="O89" s="1337"/>
      <c r="P89" s="1337"/>
      <c r="Q89" s="1337"/>
      <c r="R89" s="1337"/>
      <c r="S89" s="1337"/>
      <c r="T89" s="1337"/>
      <c r="U89" s="1337"/>
      <c r="V89" s="1337"/>
      <c r="W89" s="1337"/>
      <c r="X89" s="1337"/>
      <c r="Y89" s="1337"/>
      <c r="Z89" s="1337"/>
      <c r="AA89" s="1337"/>
      <c r="AB89" s="1337"/>
      <c r="AC89" s="1337"/>
      <c r="AD89" s="1337"/>
      <c r="AE89" s="1337"/>
      <c r="AF89" s="1337"/>
    </row>
    <row r="90" spans="6:32" ht="16.5" customHeight="1">
      <c r="F90" s="1337"/>
      <c r="G90" s="1337"/>
      <c r="H90" s="1337"/>
      <c r="I90" s="1337"/>
      <c r="J90" s="1337"/>
      <c r="K90" s="1337"/>
      <c r="L90" s="1337"/>
      <c r="M90" s="1337"/>
      <c r="N90" s="1337"/>
      <c r="O90" s="1337"/>
      <c r="P90" s="1337"/>
      <c r="Q90" s="1337"/>
      <c r="R90" s="1337"/>
      <c r="S90" s="1337"/>
      <c r="T90" s="1337"/>
      <c r="U90" s="1337"/>
      <c r="V90" s="1337"/>
      <c r="W90" s="1337"/>
      <c r="X90" s="1337"/>
      <c r="Y90" s="1337"/>
      <c r="Z90" s="1337"/>
      <c r="AA90" s="1337"/>
      <c r="AB90" s="1337"/>
      <c r="AC90" s="1337"/>
      <c r="AD90" s="1337"/>
      <c r="AE90" s="1337"/>
      <c r="AF90" s="1337"/>
    </row>
    <row r="91" spans="6:32" ht="16.5" customHeight="1">
      <c r="F91" s="1337"/>
      <c r="G91" s="1337"/>
      <c r="H91" s="1337"/>
      <c r="I91" s="1337"/>
      <c r="J91" s="1337"/>
      <c r="K91" s="1337"/>
      <c r="L91" s="1337"/>
      <c r="M91" s="1337"/>
      <c r="N91" s="1337"/>
      <c r="O91" s="1337"/>
      <c r="P91" s="1337"/>
      <c r="Q91" s="1337"/>
      <c r="R91" s="1337"/>
      <c r="S91" s="1337"/>
      <c r="T91" s="1337"/>
      <c r="U91" s="1337"/>
      <c r="V91" s="1337"/>
      <c r="W91" s="1337"/>
      <c r="X91" s="1337"/>
      <c r="Y91" s="1337"/>
      <c r="Z91" s="1337"/>
      <c r="AA91" s="1337"/>
      <c r="AB91" s="1337"/>
      <c r="AC91" s="1337"/>
      <c r="AD91" s="1337"/>
      <c r="AE91" s="1337"/>
      <c r="AF91" s="1337"/>
    </row>
    <row r="92" spans="6:32" ht="16.5" customHeight="1">
      <c r="F92" s="1337"/>
      <c r="G92" s="1337"/>
      <c r="H92" s="1337"/>
      <c r="I92" s="1337"/>
      <c r="J92" s="1337"/>
      <c r="K92" s="1337"/>
      <c r="L92" s="1337"/>
      <c r="M92" s="1337"/>
      <c r="N92" s="1337"/>
      <c r="O92" s="1337"/>
      <c r="P92" s="1337"/>
      <c r="Q92" s="1337"/>
      <c r="R92" s="1337"/>
      <c r="S92" s="1337"/>
      <c r="T92" s="1337"/>
      <c r="U92" s="1337"/>
      <c r="V92" s="1337"/>
      <c r="W92" s="1337"/>
      <c r="X92" s="1337"/>
      <c r="Y92" s="1337"/>
      <c r="Z92" s="1337"/>
      <c r="AA92" s="1337"/>
      <c r="AB92" s="1337"/>
      <c r="AC92" s="1337"/>
      <c r="AD92" s="1337"/>
      <c r="AE92" s="1337"/>
      <c r="AF92" s="1337"/>
    </row>
    <row r="93" spans="6:32" ht="16.5" customHeight="1">
      <c r="F93" s="1337"/>
      <c r="G93" s="1337"/>
      <c r="H93" s="1337"/>
      <c r="I93" s="1337"/>
      <c r="J93" s="1337"/>
      <c r="K93" s="1337"/>
      <c r="L93" s="1337"/>
      <c r="M93" s="1337"/>
      <c r="N93" s="1337"/>
      <c r="O93" s="1337"/>
      <c r="P93" s="1337"/>
      <c r="Q93" s="1337"/>
      <c r="R93" s="1337"/>
      <c r="S93" s="1337"/>
      <c r="T93" s="1337"/>
      <c r="U93" s="1337"/>
      <c r="V93" s="1337"/>
      <c r="W93" s="1337"/>
      <c r="X93" s="1337"/>
      <c r="Y93" s="1337"/>
      <c r="Z93" s="1337"/>
      <c r="AA93" s="1337"/>
      <c r="AB93" s="1337"/>
      <c r="AC93" s="1337"/>
      <c r="AD93" s="1337"/>
      <c r="AE93" s="1337"/>
      <c r="AF93" s="1337"/>
    </row>
    <row r="94" spans="6:32" ht="16.5" customHeight="1">
      <c r="F94" s="1337"/>
      <c r="G94" s="1337"/>
      <c r="H94" s="1337"/>
      <c r="I94" s="1337"/>
      <c r="J94" s="1337"/>
      <c r="K94" s="1337"/>
      <c r="L94" s="1337"/>
      <c r="M94" s="1337"/>
      <c r="N94" s="1337"/>
      <c r="O94" s="1337"/>
      <c r="P94" s="1337"/>
      <c r="Q94" s="1337"/>
      <c r="R94" s="1337"/>
      <c r="S94" s="1337"/>
      <c r="T94" s="1337"/>
      <c r="U94" s="1337"/>
      <c r="V94" s="1337"/>
      <c r="W94" s="1337"/>
      <c r="X94" s="1337"/>
      <c r="Y94" s="1337"/>
      <c r="Z94" s="1337"/>
      <c r="AA94" s="1337"/>
      <c r="AB94" s="1337"/>
      <c r="AC94" s="1337"/>
      <c r="AD94" s="1337"/>
      <c r="AE94" s="1337"/>
      <c r="AF94" s="1337"/>
    </row>
    <row r="95" spans="6:32" ht="16.5" customHeight="1">
      <c r="F95" s="1337"/>
      <c r="G95" s="1337"/>
      <c r="H95" s="1337"/>
      <c r="I95" s="1337"/>
      <c r="J95" s="1337"/>
      <c r="K95" s="1337"/>
      <c r="L95" s="1337"/>
      <c r="M95" s="1337"/>
      <c r="N95" s="1337"/>
      <c r="O95" s="1337"/>
      <c r="P95" s="1337"/>
      <c r="Q95" s="1337"/>
      <c r="R95" s="1337"/>
      <c r="S95" s="1337"/>
      <c r="T95" s="1337"/>
      <c r="U95" s="1337"/>
      <c r="V95" s="1337"/>
      <c r="W95" s="1337"/>
      <c r="X95" s="1337"/>
      <c r="Y95" s="1337"/>
      <c r="Z95" s="1337"/>
      <c r="AA95" s="1337"/>
      <c r="AB95" s="1337"/>
      <c r="AC95" s="1337"/>
      <c r="AD95" s="1337"/>
      <c r="AE95" s="1337"/>
      <c r="AF95" s="1337"/>
    </row>
    <row r="96" spans="6:32" ht="16.5" customHeight="1">
      <c r="F96" s="1337"/>
      <c r="G96" s="1337"/>
      <c r="H96" s="1337"/>
      <c r="I96" s="1337"/>
      <c r="J96" s="1337"/>
      <c r="K96" s="1337"/>
      <c r="L96" s="1337"/>
      <c r="M96" s="1337"/>
      <c r="N96" s="1337"/>
      <c r="O96" s="1337"/>
      <c r="P96" s="1337"/>
      <c r="Q96" s="1337"/>
      <c r="R96" s="1337"/>
      <c r="S96" s="1337"/>
      <c r="T96" s="1337"/>
      <c r="U96" s="1337"/>
      <c r="V96" s="1337"/>
      <c r="W96" s="1337"/>
      <c r="X96" s="1337"/>
      <c r="Y96" s="1337"/>
      <c r="Z96" s="1337"/>
      <c r="AA96" s="1337"/>
      <c r="AB96" s="1337"/>
      <c r="AC96" s="1337"/>
      <c r="AD96" s="1337"/>
      <c r="AE96" s="1337"/>
      <c r="AF96" s="1337"/>
    </row>
    <row r="97" spans="6:32" ht="16.5" customHeight="1">
      <c r="F97" s="1337"/>
      <c r="G97" s="1337"/>
      <c r="H97" s="1337"/>
      <c r="I97" s="1337"/>
      <c r="J97" s="1337"/>
      <c r="K97" s="1337"/>
      <c r="L97" s="1337"/>
      <c r="M97" s="1337"/>
      <c r="N97" s="1337"/>
      <c r="O97" s="1337"/>
      <c r="P97" s="1337"/>
      <c r="Q97" s="1337"/>
      <c r="R97" s="1337"/>
      <c r="S97" s="1337"/>
      <c r="T97" s="1337"/>
      <c r="U97" s="1337"/>
      <c r="V97" s="1337"/>
      <c r="W97" s="1337"/>
      <c r="X97" s="1337"/>
      <c r="Y97" s="1337"/>
      <c r="Z97" s="1337"/>
      <c r="AA97" s="1337"/>
      <c r="AB97" s="1337"/>
      <c r="AC97" s="1337"/>
      <c r="AD97" s="1337"/>
      <c r="AE97" s="1337"/>
      <c r="AF97" s="1337"/>
    </row>
    <row r="98" spans="6:32" ht="16.5" customHeight="1">
      <c r="F98" s="1337"/>
      <c r="G98" s="1337"/>
      <c r="H98" s="1337"/>
      <c r="I98" s="1337"/>
      <c r="J98" s="1337"/>
      <c r="K98" s="1337"/>
      <c r="L98" s="1337"/>
      <c r="M98" s="1337"/>
      <c r="N98" s="1337"/>
      <c r="O98" s="1337"/>
      <c r="P98" s="1337"/>
      <c r="Q98" s="1337"/>
      <c r="R98" s="1337"/>
      <c r="S98" s="1337"/>
      <c r="T98" s="1337"/>
      <c r="U98" s="1337"/>
      <c r="V98" s="1337"/>
      <c r="W98" s="1337"/>
      <c r="X98" s="1337"/>
      <c r="Y98" s="1337"/>
      <c r="Z98" s="1337"/>
      <c r="AA98" s="1337"/>
      <c r="AB98" s="1337"/>
      <c r="AC98" s="1337"/>
      <c r="AD98" s="1337"/>
      <c r="AE98" s="1337"/>
      <c r="AF98" s="1337"/>
    </row>
    <row r="99" spans="6:32" ht="16.5" customHeight="1">
      <c r="F99" s="1337"/>
      <c r="G99" s="1337"/>
      <c r="H99" s="1337"/>
      <c r="I99" s="1337"/>
      <c r="J99" s="1337"/>
      <c r="K99" s="1337"/>
      <c r="L99" s="1337"/>
      <c r="M99" s="1337"/>
      <c r="N99" s="1337"/>
      <c r="O99" s="1337"/>
      <c r="P99" s="1337"/>
      <c r="Q99" s="1337"/>
      <c r="R99" s="1337"/>
      <c r="S99" s="1337"/>
      <c r="T99" s="1337"/>
      <c r="U99" s="1337"/>
      <c r="V99" s="1337"/>
      <c r="W99" s="1337"/>
      <c r="X99" s="1337"/>
      <c r="Y99" s="1337"/>
      <c r="Z99" s="1337"/>
      <c r="AA99" s="1337"/>
      <c r="AB99" s="1337"/>
      <c r="AC99" s="1337"/>
      <c r="AD99" s="1337"/>
      <c r="AE99" s="1337"/>
      <c r="AF99" s="1337"/>
    </row>
    <row r="100" spans="6:32" ht="16.5" customHeight="1">
      <c r="F100" s="1337"/>
      <c r="G100" s="1337"/>
      <c r="H100" s="1337"/>
      <c r="I100" s="1337"/>
      <c r="J100" s="1337"/>
      <c r="K100" s="1337"/>
      <c r="L100" s="1337"/>
      <c r="M100" s="1337"/>
      <c r="N100" s="1337"/>
      <c r="O100" s="1337"/>
      <c r="P100" s="1337"/>
      <c r="Q100" s="1337"/>
      <c r="R100" s="1337"/>
      <c r="S100" s="1337"/>
      <c r="T100" s="1337"/>
      <c r="U100" s="1337"/>
      <c r="V100" s="1337"/>
      <c r="W100" s="1337"/>
      <c r="X100" s="1337"/>
      <c r="Y100" s="1337"/>
      <c r="Z100" s="1337"/>
      <c r="AA100" s="1337"/>
      <c r="AB100" s="1337"/>
      <c r="AC100" s="1337"/>
      <c r="AD100" s="1337"/>
      <c r="AE100" s="1337"/>
      <c r="AF100" s="1337"/>
    </row>
    <row r="101" spans="6:32" ht="16.5" customHeight="1">
      <c r="F101" s="1337"/>
      <c r="G101" s="1337"/>
      <c r="H101" s="1337"/>
      <c r="I101" s="1337"/>
      <c r="J101" s="1337"/>
      <c r="K101" s="1337"/>
      <c r="L101" s="1337"/>
      <c r="M101" s="1337"/>
      <c r="N101" s="1337"/>
      <c r="O101" s="1337"/>
      <c r="P101" s="1337"/>
      <c r="Q101" s="1337"/>
      <c r="R101" s="1337"/>
      <c r="S101" s="1337"/>
      <c r="T101" s="1337"/>
      <c r="U101" s="1337"/>
      <c r="V101" s="1337"/>
      <c r="W101" s="1337"/>
      <c r="X101" s="1337"/>
      <c r="Y101" s="1337"/>
      <c r="Z101" s="1337"/>
      <c r="AA101" s="1337"/>
      <c r="AB101" s="1337"/>
      <c r="AC101" s="1337"/>
      <c r="AD101" s="1337"/>
      <c r="AE101" s="1337"/>
      <c r="AF101" s="1337"/>
    </row>
    <row r="102" spans="6:32" ht="16.5" customHeight="1">
      <c r="F102" s="1337"/>
      <c r="G102" s="1337"/>
      <c r="H102" s="1337"/>
      <c r="I102" s="1337"/>
      <c r="J102" s="1337"/>
      <c r="K102" s="1337"/>
      <c r="L102" s="1337"/>
      <c r="M102" s="1337"/>
      <c r="N102" s="1337"/>
      <c r="O102" s="1337"/>
      <c r="P102" s="1337"/>
      <c r="Q102" s="1337"/>
      <c r="R102" s="1337"/>
      <c r="S102" s="1337"/>
      <c r="T102" s="1337"/>
      <c r="U102" s="1337"/>
      <c r="V102" s="1337"/>
      <c r="W102" s="1337"/>
      <c r="X102" s="1337"/>
      <c r="Y102" s="1337"/>
      <c r="Z102" s="1337"/>
      <c r="AA102" s="1337"/>
      <c r="AB102" s="1337"/>
      <c r="AC102" s="1337"/>
      <c r="AD102" s="1337"/>
      <c r="AE102" s="1337"/>
      <c r="AF102" s="1337"/>
    </row>
    <row r="103" spans="6:32" ht="16.5" customHeight="1">
      <c r="F103" s="1337"/>
      <c r="G103" s="1337"/>
      <c r="H103" s="1337"/>
      <c r="I103" s="1337"/>
      <c r="J103" s="1337"/>
      <c r="K103" s="1337"/>
      <c r="L103" s="1337"/>
      <c r="M103" s="1337"/>
      <c r="N103" s="1337"/>
      <c r="O103" s="1337"/>
      <c r="P103" s="1337"/>
      <c r="Q103" s="1337"/>
      <c r="R103" s="1337"/>
      <c r="S103" s="1337"/>
      <c r="T103" s="1337"/>
      <c r="U103" s="1337"/>
      <c r="V103" s="1337"/>
      <c r="W103" s="1337"/>
      <c r="X103" s="1337"/>
      <c r="Y103" s="1337"/>
      <c r="Z103" s="1337"/>
      <c r="AA103" s="1337"/>
      <c r="AB103" s="1337"/>
      <c r="AC103" s="1337"/>
      <c r="AD103" s="1337"/>
      <c r="AE103" s="1337"/>
      <c r="AF103" s="1337"/>
    </row>
    <row r="104" spans="6:32" ht="16.5" customHeight="1">
      <c r="F104" s="1337"/>
      <c r="G104" s="1337"/>
      <c r="H104" s="1337"/>
      <c r="I104" s="1337"/>
      <c r="J104" s="1337"/>
      <c r="K104" s="1337"/>
      <c r="L104" s="1337"/>
      <c r="M104" s="1337"/>
      <c r="N104" s="1337"/>
      <c r="O104" s="1337"/>
      <c r="P104" s="1337"/>
      <c r="Q104" s="1337"/>
      <c r="R104" s="1337"/>
      <c r="S104" s="1337"/>
      <c r="T104" s="1337"/>
      <c r="U104" s="1337"/>
      <c r="V104" s="1337"/>
      <c r="W104" s="1337"/>
      <c r="X104" s="1337"/>
      <c r="Y104" s="1337"/>
      <c r="Z104" s="1337"/>
      <c r="AA104" s="1337"/>
      <c r="AB104" s="1337"/>
      <c r="AC104" s="1337"/>
      <c r="AD104" s="1337"/>
      <c r="AE104" s="1337"/>
      <c r="AF104" s="1337"/>
    </row>
    <row r="105" spans="6:32" ht="16.5" customHeight="1">
      <c r="F105" s="1337"/>
      <c r="G105" s="1337"/>
      <c r="H105" s="1337"/>
      <c r="I105" s="1337"/>
      <c r="J105" s="1337"/>
      <c r="K105" s="1337"/>
      <c r="L105" s="1337"/>
      <c r="M105" s="1337"/>
      <c r="N105" s="1337"/>
      <c r="O105" s="1337"/>
      <c r="P105" s="1337"/>
      <c r="Q105" s="1337"/>
      <c r="R105" s="1337"/>
      <c r="S105" s="1337"/>
      <c r="T105" s="1337"/>
      <c r="U105" s="1337"/>
      <c r="V105" s="1337"/>
      <c r="W105" s="1337"/>
      <c r="X105" s="1337"/>
      <c r="Y105" s="1337"/>
      <c r="Z105" s="1337"/>
      <c r="AA105" s="1337"/>
      <c r="AB105" s="1337"/>
      <c r="AC105" s="1337"/>
      <c r="AD105" s="1337"/>
      <c r="AE105" s="1337"/>
      <c r="AF105" s="1337"/>
    </row>
    <row r="106" spans="6:32" ht="16.5" customHeight="1">
      <c r="F106" s="1337"/>
      <c r="G106" s="1337"/>
      <c r="H106" s="1337"/>
      <c r="I106" s="1337"/>
      <c r="J106" s="1337"/>
      <c r="K106" s="1337"/>
      <c r="L106" s="1337"/>
      <c r="M106" s="1337"/>
      <c r="N106" s="1337"/>
      <c r="O106" s="1337"/>
      <c r="P106" s="1337"/>
      <c r="Q106" s="1337"/>
      <c r="R106" s="1337"/>
      <c r="S106" s="1337"/>
      <c r="T106" s="1337"/>
      <c r="U106" s="1337"/>
      <c r="V106" s="1337"/>
      <c r="W106" s="1337"/>
      <c r="X106" s="1337"/>
      <c r="Y106" s="1337"/>
      <c r="Z106" s="1337"/>
      <c r="AA106" s="1337"/>
      <c r="AB106" s="1337"/>
      <c r="AC106" s="1337"/>
      <c r="AD106" s="1337"/>
      <c r="AE106" s="1337"/>
      <c r="AF106" s="1337"/>
    </row>
    <row r="107" spans="6:32" ht="16.5" customHeight="1">
      <c r="F107" s="1337"/>
      <c r="G107" s="1337"/>
      <c r="H107" s="1337"/>
      <c r="I107" s="1337"/>
      <c r="J107" s="1337"/>
      <c r="K107" s="1337"/>
      <c r="L107" s="1337"/>
      <c r="M107" s="1337"/>
      <c r="N107" s="1337"/>
      <c r="O107" s="1337"/>
      <c r="P107" s="1337"/>
      <c r="Q107" s="1337"/>
      <c r="R107" s="1337"/>
      <c r="S107" s="1337"/>
      <c r="T107" s="1337"/>
      <c r="U107" s="1337"/>
      <c r="V107" s="1337"/>
      <c r="W107" s="1337"/>
      <c r="X107" s="1337"/>
      <c r="Y107" s="1337"/>
      <c r="Z107" s="1337"/>
      <c r="AA107" s="1337"/>
      <c r="AB107" s="1337"/>
      <c r="AC107" s="1337"/>
      <c r="AD107" s="1337"/>
      <c r="AE107" s="1337"/>
      <c r="AF107" s="1337"/>
    </row>
    <row r="108" spans="6:32" ht="16.5" customHeight="1">
      <c r="F108" s="1337"/>
      <c r="G108" s="1337"/>
      <c r="H108" s="1337"/>
      <c r="I108" s="1337"/>
      <c r="J108" s="1337"/>
      <c r="K108" s="1337"/>
      <c r="L108" s="1337"/>
      <c r="M108" s="1337"/>
      <c r="N108" s="1337"/>
      <c r="O108" s="1337"/>
      <c r="P108" s="1337"/>
      <c r="Q108" s="1337"/>
      <c r="R108" s="1337"/>
      <c r="S108" s="1337"/>
      <c r="T108" s="1337"/>
      <c r="U108" s="1337"/>
      <c r="V108" s="1337"/>
      <c r="W108" s="1337"/>
      <c r="X108" s="1337"/>
      <c r="Y108" s="1337"/>
      <c r="Z108" s="1337"/>
      <c r="AA108" s="1337"/>
      <c r="AB108" s="1337"/>
      <c r="AC108" s="1337"/>
      <c r="AD108" s="1337"/>
      <c r="AE108" s="1337"/>
      <c r="AF108" s="1337"/>
    </row>
    <row r="109" spans="6:32" ht="16.5" customHeight="1">
      <c r="F109" s="1337"/>
      <c r="G109" s="1337"/>
      <c r="H109" s="1337"/>
      <c r="I109" s="1337"/>
      <c r="J109" s="1337"/>
      <c r="K109" s="1337"/>
      <c r="L109" s="1337"/>
      <c r="M109" s="1337"/>
      <c r="N109" s="1337"/>
      <c r="O109" s="1337"/>
      <c r="P109" s="1337"/>
      <c r="Q109" s="1337"/>
      <c r="R109" s="1337"/>
      <c r="S109" s="1337"/>
      <c r="T109" s="1337"/>
      <c r="U109" s="1337"/>
      <c r="V109" s="1337"/>
      <c r="W109" s="1337"/>
      <c r="X109" s="1337"/>
      <c r="Y109" s="1337"/>
      <c r="Z109" s="1337"/>
      <c r="AA109" s="1337"/>
      <c r="AB109" s="1337"/>
      <c r="AC109" s="1337"/>
      <c r="AD109" s="1337"/>
      <c r="AE109" s="1337"/>
      <c r="AF109" s="1337"/>
    </row>
    <row r="110" spans="6:32" ht="16.5" customHeight="1">
      <c r="F110" s="1337"/>
      <c r="G110" s="1337"/>
      <c r="H110" s="1337"/>
      <c r="I110" s="1337"/>
      <c r="J110" s="1337"/>
      <c r="K110" s="1337"/>
      <c r="L110" s="1337"/>
      <c r="M110" s="1337"/>
      <c r="N110" s="1337"/>
      <c r="O110" s="1337"/>
      <c r="P110" s="1337"/>
      <c r="Q110" s="1337"/>
      <c r="R110" s="1337"/>
      <c r="S110" s="1337"/>
      <c r="T110" s="1337"/>
      <c r="U110" s="1337"/>
      <c r="V110" s="1337"/>
      <c r="W110" s="1337"/>
      <c r="X110" s="1337"/>
      <c r="Y110" s="1337"/>
      <c r="Z110" s="1337"/>
      <c r="AA110" s="1337"/>
      <c r="AB110" s="1337"/>
      <c r="AC110" s="1337"/>
      <c r="AD110" s="1337"/>
      <c r="AE110" s="1337"/>
      <c r="AF110" s="1337"/>
    </row>
    <row r="111" spans="6:32" ht="16.5" customHeight="1">
      <c r="F111" s="1337"/>
      <c r="G111" s="1337"/>
      <c r="H111" s="1337"/>
      <c r="I111" s="1337"/>
      <c r="J111" s="1337"/>
      <c r="K111" s="1337"/>
      <c r="L111" s="1337"/>
      <c r="M111" s="1337"/>
      <c r="N111" s="1337"/>
      <c r="O111" s="1337"/>
      <c r="P111" s="1337"/>
      <c r="Q111" s="1337"/>
      <c r="R111" s="1337"/>
      <c r="S111" s="1337"/>
      <c r="T111" s="1337"/>
      <c r="U111" s="1337"/>
      <c r="V111" s="1337"/>
      <c r="W111" s="1337"/>
      <c r="X111" s="1337"/>
      <c r="Y111" s="1337"/>
      <c r="Z111" s="1337"/>
      <c r="AA111" s="1337"/>
      <c r="AB111" s="1337"/>
      <c r="AC111" s="1337"/>
      <c r="AD111" s="1337"/>
      <c r="AE111" s="1337"/>
      <c r="AF111" s="1337"/>
    </row>
    <row r="112" spans="6:32" ht="16.5" customHeight="1">
      <c r="F112" s="1337"/>
      <c r="G112" s="1337"/>
      <c r="H112" s="1337"/>
      <c r="I112" s="1337"/>
      <c r="J112" s="1337"/>
      <c r="K112" s="1337"/>
      <c r="L112" s="1337"/>
      <c r="M112" s="1337"/>
      <c r="N112" s="1337"/>
      <c r="O112" s="1337"/>
      <c r="P112" s="1337"/>
      <c r="Q112" s="1337"/>
      <c r="R112" s="1337"/>
      <c r="S112" s="1337"/>
      <c r="T112" s="1337"/>
      <c r="U112" s="1337"/>
      <c r="V112" s="1337"/>
      <c r="W112" s="1337"/>
      <c r="X112" s="1337"/>
      <c r="Y112" s="1337"/>
      <c r="Z112" s="1337"/>
      <c r="AA112" s="1337"/>
      <c r="AB112" s="1337"/>
      <c r="AC112" s="1337"/>
      <c r="AD112" s="1337"/>
      <c r="AE112" s="1337"/>
      <c r="AF112" s="1337"/>
    </row>
    <row r="113" spans="6:32" ht="16.5" customHeight="1">
      <c r="F113" s="1337"/>
      <c r="G113" s="1337"/>
      <c r="H113" s="1337"/>
      <c r="I113" s="1337"/>
      <c r="J113" s="1337"/>
      <c r="K113" s="1337"/>
      <c r="L113" s="1337"/>
      <c r="M113" s="1337"/>
      <c r="N113" s="1337"/>
      <c r="O113" s="1337"/>
      <c r="P113" s="1337"/>
      <c r="Q113" s="1337"/>
      <c r="R113" s="1337"/>
      <c r="S113" s="1337"/>
      <c r="T113" s="1337"/>
      <c r="U113" s="1337"/>
      <c r="V113" s="1337"/>
      <c r="W113" s="1337"/>
      <c r="X113" s="1337"/>
      <c r="Y113" s="1337"/>
      <c r="Z113" s="1337"/>
      <c r="AA113" s="1337"/>
      <c r="AB113" s="1337"/>
      <c r="AC113" s="1337"/>
      <c r="AD113" s="1337"/>
      <c r="AE113" s="1337"/>
      <c r="AF113" s="1337"/>
    </row>
    <row r="114" spans="6:32" ht="16.5" customHeight="1">
      <c r="F114" s="1337"/>
      <c r="G114" s="1337"/>
      <c r="H114" s="1337"/>
      <c r="I114" s="1337"/>
      <c r="J114" s="1337"/>
      <c r="K114" s="1337"/>
      <c r="L114" s="1337"/>
      <c r="M114" s="1337"/>
      <c r="N114" s="1337"/>
      <c r="O114" s="1337"/>
      <c r="P114" s="1337"/>
      <c r="Q114" s="1337"/>
      <c r="R114" s="1337"/>
      <c r="S114" s="1337"/>
      <c r="T114" s="1337"/>
      <c r="U114" s="1337"/>
      <c r="V114" s="1337"/>
      <c r="W114" s="1337"/>
      <c r="X114" s="1337"/>
      <c r="Y114" s="1337"/>
      <c r="Z114" s="1337"/>
      <c r="AA114" s="1337"/>
      <c r="AB114" s="1337"/>
      <c r="AC114" s="1337"/>
      <c r="AD114" s="1337"/>
      <c r="AE114" s="1337"/>
      <c r="AF114" s="1337"/>
    </row>
    <row r="115" spans="6:32" ht="16.5" customHeight="1">
      <c r="F115" s="1337"/>
      <c r="G115" s="1337"/>
      <c r="H115" s="1337"/>
      <c r="I115" s="1337"/>
      <c r="J115" s="1337"/>
      <c r="K115" s="1337"/>
      <c r="L115" s="1337"/>
      <c r="M115" s="1337"/>
      <c r="N115" s="1337"/>
      <c r="O115" s="1337"/>
      <c r="P115" s="1337"/>
      <c r="Q115" s="1337"/>
      <c r="R115" s="1337"/>
      <c r="S115" s="1337"/>
      <c r="T115" s="1337"/>
      <c r="U115" s="1337"/>
      <c r="V115" s="1337"/>
      <c r="W115" s="1337"/>
      <c r="X115" s="1337"/>
      <c r="Y115" s="1337"/>
      <c r="Z115" s="1337"/>
      <c r="AA115" s="1337"/>
      <c r="AB115" s="1337"/>
      <c r="AC115" s="1337"/>
      <c r="AD115" s="1337"/>
      <c r="AE115" s="1337"/>
      <c r="AF115" s="1337"/>
    </row>
    <row r="116" spans="6:32" ht="16.5" customHeight="1">
      <c r="F116" s="1337"/>
      <c r="G116" s="1337"/>
      <c r="H116" s="1337"/>
      <c r="I116" s="1337"/>
      <c r="J116" s="1337"/>
      <c r="K116" s="1337"/>
      <c r="L116" s="1337"/>
      <c r="M116" s="1337"/>
      <c r="N116" s="1337"/>
      <c r="O116" s="1337"/>
      <c r="P116" s="1337"/>
      <c r="Q116" s="1337"/>
      <c r="R116" s="1337"/>
      <c r="S116" s="1337"/>
      <c r="T116" s="1337"/>
      <c r="U116" s="1337"/>
      <c r="V116" s="1337"/>
      <c r="W116" s="1337"/>
      <c r="X116" s="1337"/>
      <c r="Y116" s="1337"/>
      <c r="Z116" s="1337"/>
      <c r="AA116" s="1337"/>
      <c r="AB116" s="1337"/>
      <c r="AC116" s="1337"/>
      <c r="AD116" s="1337"/>
      <c r="AE116" s="1337"/>
      <c r="AF116" s="1337"/>
    </row>
    <row r="117" spans="6:32" ht="16.5" customHeight="1">
      <c r="F117" s="1337"/>
      <c r="G117" s="1337"/>
      <c r="H117" s="1337"/>
      <c r="I117" s="1337"/>
      <c r="J117" s="1337"/>
      <c r="K117" s="1337"/>
      <c r="L117" s="1337"/>
      <c r="M117" s="1337"/>
      <c r="N117" s="1337"/>
      <c r="O117" s="1337"/>
      <c r="P117" s="1337"/>
      <c r="Q117" s="1337"/>
      <c r="R117" s="1337"/>
      <c r="S117" s="1337"/>
      <c r="T117" s="1337"/>
      <c r="U117" s="1337"/>
      <c r="V117" s="1337"/>
      <c r="W117" s="1337"/>
      <c r="X117" s="1337"/>
      <c r="Y117" s="1337"/>
      <c r="Z117" s="1337"/>
      <c r="AA117" s="1337"/>
      <c r="AB117" s="1337"/>
      <c r="AC117" s="1337"/>
      <c r="AD117" s="1337"/>
      <c r="AE117" s="1337"/>
      <c r="AF117" s="1337"/>
    </row>
    <row r="118" spans="6:32" ht="16.5" customHeight="1">
      <c r="F118" s="1337"/>
      <c r="G118" s="1337"/>
      <c r="H118" s="1337"/>
      <c r="I118" s="1337"/>
      <c r="J118" s="1337"/>
      <c r="K118" s="1337"/>
      <c r="L118" s="1337"/>
      <c r="M118" s="1337"/>
      <c r="N118" s="1337"/>
      <c r="O118" s="1337"/>
      <c r="P118" s="1337"/>
      <c r="Q118" s="1337"/>
      <c r="R118" s="1337"/>
      <c r="S118" s="1337"/>
      <c r="T118" s="1337"/>
      <c r="U118" s="1337"/>
      <c r="V118" s="1337"/>
      <c r="W118" s="1337"/>
      <c r="X118" s="1337"/>
      <c r="Y118" s="1337"/>
      <c r="Z118" s="1337"/>
      <c r="AA118" s="1337"/>
      <c r="AB118" s="1337"/>
      <c r="AC118" s="1337"/>
      <c r="AD118" s="1337"/>
      <c r="AE118" s="1337"/>
      <c r="AF118" s="1337"/>
    </row>
    <row r="119" spans="6:32" ht="16.5" customHeight="1">
      <c r="F119" s="1337"/>
      <c r="G119" s="1337"/>
      <c r="H119" s="1337"/>
      <c r="I119" s="1337"/>
      <c r="J119" s="1337"/>
      <c r="K119" s="1337"/>
      <c r="L119" s="1337"/>
      <c r="M119" s="1337"/>
      <c r="N119" s="1337"/>
      <c r="O119" s="1337"/>
      <c r="P119" s="1337"/>
      <c r="Q119" s="1337"/>
      <c r="R119" s="1337"/>
      <c r="S119" s="1337"/>
      <c r="T119" s="1337"/>
      <c r="U119" s="1337"/>
      <c r="V119" s="1337"/>
      <c r="W119" s="1337"/>
      <c r="X119" s="1337"/>
      <c r="Y119" s="1337"/>
      <c r="Z119" s="1337"/>
      <c r="AA119" s="1337"/>
      <c r="AB119" s="1337"/>
      <c r="AC119" s="1337"/>
      <c r="AD119" s="1337"/>
      <c r="AE119" s="1337"/>
      <c r="AF119" s="1337"/>
    </row>
    <row r="120" spans="6:32" ht="16.5" customHeight="1">
      <c r="F120" s="1337"/>
      <c r="G120" s="1337"/>
      <c r="H120" s="1337"/>
      <c r="I120" s="1337"/>
      <c r="J120" s="1337"/>
      <c r="K120" s="1337"/>
      <c r="L120" s="1337"/>
      <c r="M120" s="1337"/>
      <c r="N120" s="1337"/>
      <c r="O120" s="1337"/>
      <c r="P120" s="1337"/>
      <c r="Q120" s="1337"/>
      <c r="R120" s="1337"/>
      <c r="S120" s="1337"/>
      <c r="T120" s="1337"/>
      <c r="U120" s="1337"/>
      <c r="V120" s="1337"/>
      <c r="W120" s="1337"/>
      <c r="X120" s="1337"/>
      <c r="Y120" s="1337"/>
      <c r="Z120" s="1337"/>
      <c r="AA120" s="1337"/>
      <c r="AB120" s="1337"/>
      <c r="AC120" s="1337"/>
      <c r="AD120" s="1337"/>
      <c r="AE120" s="1337"/>
      <c r="AF120" s="1337"/>
    </row>
    <row r="121" spans="6:32" ht="16.5" customHeight="1">
      <c r="F121" s="1337"/>
      <c r="G121" s="1337"/>
      <c r="H121" s="1337"/>
      <c r="I121" s="1337"/>
      <c r="J121" s="1337"/>
      <c r="K121" s="1337"/>
      <c r="L121" s="1337"/>
      <c r="M121" s="1337"/>
      <c r="N121" s="1337"/>
      <c r="O121" s="1337"/>
      <c r="P121" s="1337"/>
      <c r="Q121" s="1337"/>
      <c r="R121" s="1337"/>
      <c r="S121" s="1337"/>
      <c r="T121" s="1337"/>
      <c r="U121" s="1337"/>
      <c r="V121" s="1337"/>
      <c r="W121" s="1337"/>
      <c r="X121" s="1337"/>
      <c r="Y121" s="1337"/>
      <c r="Z121" s="1337"/>
      <c r="AA121" s="1337"/>
      <c r="AB121" s="1337"/>
      <c r="AC121" s="1337"/>
      <c r="AD121" s="1337"/>
      <c r="AE121" s="1337"/>
      <c r="AF121" s="1337"/>
    </row>
    <row r="122" spans="6:32" ht="16.5" customHeight="1">
      <c r="F122" s="1337"/>
      <c r="G122" s="1337"/>
      <c r="H122" s="1337"/>
      <c r="I122" s="1337"/>
      <c r="J122" s="1337"/>
      <c r="K122" s="1337"/>
      <c r="L122" s="1337"/>
      <c r="M122" s="1337"/>
      <c r="N122" s="1337"/>
      <c r="O122" s="1337"/>
      <c r="P122" s="1337"/>
      <c r="Q122" s="1337"/>
      <c r="R122" s="1337"/>
      <c r="S122" s="1337"/>
      <c r="T122" s="1337"/>
      <c r="U122" s="1337"/>
      <c r="V122" s="1337"/>
      <c r="W122" s="1337"/>
      <c r="X122" s="1337"/>
      <c r="Y122" s="1337"/>
      <c r="Z122" s="1337"/>
      <c r="AA122" s="1337"/>
      <c r="AB122" s="1337"/>
      <c r="AC122" s="1337"/>
      <c r="AD122" s="1337"/>
      <c r="AE122" s="1337"/>
      <c r="AF122" s="1337"/>
    </row>
    <row r="123" spans="6:32" ht="16.5" customHeight="1">
      <c r="F123" s="1337"/>
      <c r="G123" s="1337"/>
      <c r="H123" s="1337"/>
      <c r="I123" s="1337"/>
      <c r="J123" s="1337"/>
      <c r="K123" s="1337"/>
      <c r="L123" s="1337"/>
      <c r="M123" s="1337"/>
      <c r="N123" s="1337"/>
      <c r="O123" s="1337"/>
      <c r="P123" s="1337"/>
      <c r="Q123" s="1337"/>
      <c r="R123" s="1337"/>
      <c r="S123" s="1337"/>
      <c r="T123" s="1337"/>
      <c r="U123" s="1337"/>
      <c r="V123" s="1337"/>
      <c r="W123" s="1337"/>
      <c r="X123" s="1337"/>
      <c r="Y123" s="1337"/>
      <c r="Z123" s="1337"/>
      <c r="AA123" s="1337"/>
      <c r="AB123" s="1337"/>
      <c r="AC123" s="1337"/>
      <c r="AD123" s="1337"/>
      <c r="AE123" s="1337"/>
      <c r="AF123" s="1337"/>
    </row>
    <row r="124" spans="6:32" ht="16.5" customHeight="1">
      <c r="F124" s="1337"/>
      <c r="G124" s="1337"/>
      <c r="H124" s="1337"/>
      <c r="I124" s="1337"/>
      <c r="J124" s="1337"/>
      <c r="K124" s="1337"/>
      <c r="L124" s="1337"/>
      <c r="M124" s="1337"/>
      <c r="N124" s="1337"/>
      <c r="O124" s="1337"/>
      <c r="P124" s="1337"/>
      <c r="Q124" s="1337"/>
      <c r="R124" s="1337"/>
      <c r="S124" s="1337"/>
      <c r="T124" s="1337"/>
      <c r="U124" s="1337"/>
      <c r="V124" s="1337"/>
      <c r="W124" s="1337"/>
      <c r="X124" s="1337"/>
      <c r="Y124" s="1337"/>
      <c r="Z124" s="1337"/>
      <c r="AA124" s="1337"/>
      <c r="AB124" s="1337"/>
      <c r="AC124" s="1337"/>
      <c r="AD124" s="1337"/>
      <c r="AE124" s="1337"/>
      <c r="AF124" s="1337"/>
    </row>
    <row r="125" spans="6:32" ht="16.5" customHeight="1">
      <c r="F125" s="1337"/>
      <c r="G125" s="1337"/>
      <c r="H125" s="1337"/>
      <c r="I125" s="1337"/>
      <c r="J125" s="1337"/>
      <c r="K125" s="1337"/>
      <c r="L125" s="1337"/>
      <c r="M125" s="1337"/>
      <c r="N125" s="1337"/>
      <c r="O125" s="1337"/>
      <c r="P125" s="1337"/>
      <c r="Q125" s="1337"/>
      <c r="R125" s="1337"/>
      <c r="S125" s="1337"/>
      <c r="T125" s="1337"/>
      <c r="U125" s="1337"/>
      <c r="V125" s="1337"/>
      <c r="W125" s="1337"/>
      <c r="X125" s="1337"/>
      <c r="Y125" s="1337"/>
      <c r="Z125" s="1337"/>
      <c r="AA125" s="1337"/>
      <c r="AB125" s="1337"/>
      <c r="AC125" s="1337"/>
      <c r="AD125" s="1337"/>
      <c r="AE125" s="1337"/>
      <c r="AF125" s="1337"/>
    </row>
    <row r="126" spans="6:32" ht="16.5" customHeight="1">
      <c r="F126" s="1337"/>
      <c r="G126" s="1337"/>
      <c r="H126" s="1337"/>
      <c r="I126" s="1337"/>
      <c r="J126" s="1337"/>
      <c r="K126" s="1337"/>
      <c r="L126" s="1337"/>
      <c r="M126" s="1337"/>
      <c r="N126" s="1337"/>
      <c r="O126" s="1337"/>
      <c r="P126" s="1337"/>
      <c r="Q126" s="1337"/>
      <c r="R126" s="1337"/>
      <c r="S126" s="1337"/>
      <c r="T126" s="1337"/>
      <c r="U126" s="1337"/>
      <c r="V126" s="1337"/>
      <c r="W126" s="1337"/>
      <c r="X126" s="1337"/>
      <c r="Y126" s="1337"/>
      <c r="Z126" s="1337"/>
      <c r="AA126" s="1337"/>
      <c r="AB126" s="1337"/>
      <c r="AC126" s="1337"/>
      <c r="AD126" s="1337"/>
      <c r="AE126" s="1337"/>
      <c r="AF126" s="1337"/>
    </row>
    <row r="127" spans="6:32" ht="16.5" customHeight="1">
      <c r="F127" s="1337"/>
      <c r="G127" s="1337"/>
      <c r="H127" s="1337"/>
      <c r="I127" s="1337"/>
      <c r="J127" s="1337"/>
      <c r="K127" s="1337"/>
      <c r="L127" s="1337"/>
      <c r="M127" s="1337"/>
      <c r="N127" s="1337"/>
      <c r="O127" s="1337"/>
      <c r="P127" s="1337"/>
      <c r="Q127" s="1337"/>
      <c r="R127" s="1337"/>
      <c r="S127" s="1337"/>
      <c r="T127" s="1337"/>
      <c r="U127" s="1337"/>
      <c r="V127" s="1337"/>
      <c r="W127" s="1337"/>
      <c r="X127" s="1337"/>
      <c r="Y127" s="1337"/>
      <c r="Z127" s="1337"/>
      <c r="AA127" s="1337"/>
      <c r="AB127" s="1337"/>
      <c r="AC127" s="1337"/>
      <c r="AD127" s="1337"/>
      <c r="AE127" s="1337"/>
      <c r="AF127" s="1337"/>
    </row>
    <row r="128" spans="6:32" ht="16.5" customHeight="1">
      <c r="F128" s="1337"/>
      <c r="G128" s="1337"/>
      <c r="H128" s="1337"/>
      <c r="I128" s="1337"/>
      <c r="J128" s="1337"/>
      <c r="K128" s="1337"/>
      <c r="L128" s="1337"/>
      <c r="M128" s="1337"/>
      <c r="N128" s="1337"/>
      <c r="O128" s="1337"/>
      <c r="P128" s="1337"/>
      <c r="Q128" s="1337"/>
      <c r="R128" s="1337"/>
      <c r="S128" s="1337"/>
      <c r="T128" s="1337"/>
      <c r="U128" s="1337"/>
      <c r="V128" s="1337"/>
      <c r="W128" s="1337"/>
      <c r="X128" s="1337"/>
      <c r="Y128" s="1337"/>
      <c r="Z128" s="1337"/>
      <c r="AA128" s="1337"/>
      <c r="AB128" s="1337"/>
      <c r="AC128" s="1337"/>
      <c r="AD128" s="1337"/>
      <c r="AE128" s="1337"/>
      <c r="AF128" s="1337"/>
    </row>
    <row r="129" spans="6:32" ht="16.5" customHeight="1">
      <c r="F129" s="1337"/>
      <c r="G129" s="1337"/>
      <c r="H129" s="1337"/>
      <c r="I129" s="1337"/>
      <c r="J129" s="1337"/>
      <c r="K129" s="1337"/>
      <c r="L129" s="1337"/>
      <c r="M129" s="1337"/>
      <c r="N129" s="1337"/>
      <c r="O129" s="1337"/>
      <c r="P129" s="1337"/>
      <c r="Q129" s="1337"/>
      <c r="R129" s="1337"/>
      <c r="S129" s="1337"/>
      <c r="T129" s="1337"/>
      <c r="U129" s="1337"/>
      <c r="V129" s="1337"/>
      <c r="W129" s="1337"/>
      <c r="X129" s="1337"/>
      <c r="Y129" s="1337"/>
      <c r="Z129" s="1337"/>
      <c r="AA129" s="1337"/>
      <c r="AB129" s="1337"/>
      <c r="AC129" s="1337"/>
      <c r="AD129" s="1337"/>
      <c r="AE129" s="1337"/>
      <c r="AF129" s="1337"/>
    </row>
    <row r="130" spans="6:32" ht="16.5" customHeight="1">
      <c r="F130" s="1337"/>
      <c r="G130" s="1337"/>
      <c r="H130" s="1337"/>
      <c r="I130" s="1337"/>
      <c r="J130" s="1337"/>
      <c r="K130" s="1337"/>
      <c r="L130" s="1337"/>
      <c r="M130" s="1337"/>
      <c r="N130" s="1337"/>
      <c r="O130" s="1337"/>
      <c r="P130" s="1337"/>
      <c r="Q130" s="1337"/>
      <c r="R130" s="1337"/>
      <c r="S130" s="1337"/>
      <c r="T130" s="1337"/>
      <c r="U130" s="1337"/>
      <c r="V130" s="1337"/>
      <c r="W130" s="1337"/>
      <c r="X130" s="1337"/>
      <c r="Y130" s="1337"/>
      <c r="Z130" s="1337"/>
      <c r="AA130" s="1337"/>
      <c r="AB130" s="1337"/>
      <c r="AC130" s="1337"/>
      <c r="AD130" s="1337"/>
      <c r="AE130" s="1337"/>
      <c r="AF130" s="1337"/>
    </row>
    <row r="131" spans="6:32" ht="16.5" customHeight="1">
      <c r="F131" s="1337"/>
      <c r="G131" s="1337"/>
      <c r="H131" s="1337"/>
      <c r="I131" s="1337"/>
      <c r="J131" s="1337"/>
      <c r="K131" s="1337"/>
      <c r="L131" s="1337"/>
      <c r="M131" s="1337"/>
      <c r="N131" s="1337"/>
      <c r="O131" s="1337"/>
      <c r="P131" s="1337"/>
      <c r="Q131" s="1337"/>
      <c r="R131" s="1337"/>
      <c r="S131" s="1337"/>
      <c r="T131" s="1337"/>
      <c r="U131" s="1337"/>
      <c r="V131" s="1337"/>
      <c r="W131" s="1337"/>
      <c r="X131" s="1337"/>
      <c r="Y131" s="1337"/>
      <c r="Z131" s="1337"/>
      <c r="AA131" s="1337"/>
      <c r="AB131" s="1337"/>
      <c r="AC131" s="1337"/>
      <c r="AD131" s="1337"/>
      <c r="AE131" s="1337"/>
      <c r="AF131" s="1337"/>
    </row>
    <row r="132" spans="6:32" ht="16.5" customHeight="1">
      <c r="F132" s="1337"/>
      <c r="G132" s="1337"/>
      <c r="H132" s="1337"/>
      <c r="I132" s="1337"/>
      <c r="J132" s="1337"/>
      <c r="K132" s="1337"/>
      <c r="L132" s="1337"/>
      <c r="M132" s="1337"/>
      <c r="N132" s="1337"/>
      <c r="O132" s="1337"/>
      <c r="P132" s="1337"/>
      <c r="Q132" s="1337"/>
      <c r="R132" s="1337"/>
      <c r="S132" s="1337"/>
      <c r="T132" s="1337"/>
      <c r="U132" s="1337"/>
      <c r="V132" s="1337"/>
      <c r="W132" s="1337"/>
      <c r="X132" s="1337"/>
      <c r="Y132" s="1337"/>
      <c r="Z132" s="1337"/>
      <c r="AA132" s="1337"/>
      <c r="AB132" s="1337"/>
      <c r="AC132" s="1337"/>
      <c r="AD132" s="1337"/>
      <c r="AE132" s="1337"/>
      <c r="AF132" s="1337"/>
    </row>
    <row r="133" spans="6:32" ht="16.5" customHeight="1">
      <c r="F133" s="1337"/>
      <c r="G133" s="1337"/>
      <c r="H133" s="1337"/>
      <c r="I133" s="1337"/>
      <c r="J133" s="1337"/>
      <c r="K133" s="1337"/>
      <c r="L133" s="1337"/>
      <c r="M133" s="1337"/>
      <c r="N133" s="1337"/>
      <c r="O133" s="1337"/>
      <c r="P133" s="1337"/>
      <c r="Q133" s="1337"/>
      <c r="R133" s="1337"/>
      <c r="S133" s="1337"/>
      <c r="T133" s="1337"/>
      <c r="U133" s="1337"/>
      <c r="V133" s="1337"/>
      <c r="W133" s="1337"/>
      <c r="X133" s="1337"/>
      <c r="Y133" s="1337"/>
      <c r="Z133" s="1337"/>
      <c r="AA133" s="1337"/>
      <c r="AB133" s="1337"/>
      <c r="AC133" s="1337"/>
      <c r="AD133" s="1337"/>
      <c r="AE133" s="1337"/>
      <c r="AF133" s="1337"/>
    </row>
    <row r="134" spans="6:32" ht="16.5" customHeight="1">
      <c r="F134" s="1337"/>
      <c r="G134" s="1337"/>
      <c r="H134" s="1337"/>
      <c r="I134" s="1337"/>
      <c r="J134" s="1337"/>
      <c r="K134" s="1337"/>
      <c r="L134" s="1337"/>
      <c r="M134" s="1337"/>
      <c r="N134" s="1337"/>
      <c r="O134" s="1337"/>
      <c r="P134" s="1337"/>
      <c r="Q134" s="1337"/>
      <c r="R134" s="1337"/>
      <c r="S134" s="1337"/>
      <c r="T134" s="1337"/>
      <c r="U134" s="1337"/>
      <c r="V134" s="1337"/>
      <c r="W134" s="1337"/>
      <c r="X134" s="1337"/>
      <c r="Y134" s="1337"/>
      <c r="Z134" s="1337"/>
      <c r="AA134" s="1337"/>
      <c r="AB134" s="1337"/>
      <c r="AC134" s="1337"/>
      <c r="AD134" s="1337"/>
      <c r="AE134" s="1337"/>
      <c r="AF134" s="1337"/>
    </row>
    <row r="135" spans="6:32" ht="16.5" customHeight="1">
      <c r="F135" s="1337"/>
      <c r="G135" s="1337"/>
      <c r="H135" s="1337"/>
      <c r="I135" s="1337"/>
      <c r="J135" s="1337"/>
      <c r="K135" s="1337"/>
      <c r="L135" s="1337"/>
      <c r="M135" s="1337"/>
      <c r="N135" s="1337"/>
      <c r="O135" s="1337"/>
      <c r="P135" s="1337"/>
      <c r="Q135" s="1337"/>
      <c r="R135" s="1337"/>
      <c r="S135" s="1337"/>
      <c r="T135" s="1337"/>
      <c r="U135" s="1337"/>
      <c r="V135" s="1337"/>
      <c r="W135" s="1337"/>
      <c r="X135" s="1337"/>
      <c r="Y135" s="1337"/>
      <c r="Z135" s="1337"/>
      <c r="AA135" s="1337"/>
      <c r="AB135" s="1337"/>
      <c r="AC135" s="1337"/>
      <c r="AD135" s="1337"/>
      <c r="AE135" s="1337"/>
      <c r="AF135" s="1337"/>
    </row>
    <row r="136" spans="6:32" ht="16.5" customHeight="1">
      <c r="F136" s="1337"/>
      <c r="G136" s="1337"/>
      <c r="H136" s="1337"/>
      <c r="I136" s="1337"/>
      <c r="J136" s="1337"/>
      <c r="K136" s="1337"/>
      <c r="L136" s="1337"/>
      <c r="M136" s="1337"/>
      <c r="N136" s="1337"/>
      <c r="O136" s="1337"/>
      <c r="P136" s="1337"/>
      <c r="Q136" s="1337"/>
      <c r="R136" s="1337"/>
      <c r="S136" s="1337"/>
      <c r="T136" s="1337"/>
      <c r="U136" s="1337"/>
      <c r="V136" s="1337"/>
      <c r="W136" s="1337"/>
      <c r="X136" s="1337"/>
      <c r="Y136" s="1337"/>
      <c r="Z136" s="1337"/>
      <c r="AA136" s="1337"/>
      <c r="AB136" s="1337"/>
      <c r="AC136" s="1337"/>
      <c r="AD136" s="1337"/>
      <c r="AE136" s="1337"/>
      <c r="AF136" s="1337"/>
    </row>
    <row r="137" spans="6:32" ht="16.5" customHeight="1">
      <c r="F137" s="1337"/>
      <c r="G137" s="1337"/>
      <c r="H137" s="1337"/>
      <c r="I137" s="1337"/>
      <c r="J137" s="1337"/>
      <c r="K137" s="1337"/>
      <c r="L137" s="1337"/>
      <c r="M137" s="1337"/>
      <c r="N137" s="1337"/>
      <c r="O137" s="1337"/>
      <c r="P137" s="1337"/>
      <c r="Q137" s="1337"/>
      <c r="R137" s="1337"/>
      <c r="S137" s="1337"/>
      <c r="T137" s="1337"/>
      <c r="U137" s="1337"/>
      <c r="V137" s="1337"/>
      <c r="W137" s="1337"/>
      <c r="X137" s="1337"/>
      <c r="Y137" s="1337"/>
      <c r="Z137" s="1337"/>
      <c r="AA137" s="1337"/>
      <c r="AB137" s="1337"/>
      <c r="AC137" s="1337"/>
      <c r="AD137" s="1337"/>
      <c r="AE137" s="1337"/>
      <c r="AF137" s="1337"/>
    </row>
    <row r="138" spans="6:32" ht="16.5" customHeight="1">
      <c r="F138" s="1337"/>
      <c r="G138" s="1337"/>
      <c r="H138" s="1337"/>
      <c r="I138" s="1337"/>
      <c r="J138" s="1337"/>
      <c r="K138" s="1337"/>
      <c r="L138" s="1337"/>
      <c r="M138" s="1337"/>
      <c r="N138" s="1337"/>
      <c r="O138" s="1337"/>
      <c r="P138" s="1337"/>
      <c r="Q138" s="1337"/>
      <c r="R138" s="1337"/>
      <c r="S138" s="1337"/>
      <c r="T138" s="1337"/>
      <c r="U138" s="1337"/>
      <c r="V138" s="1337"/>
      <c r="W138" s="1337"/>
      <c r="X138" s="1337"/>
      <c r="Y138" s="1337"/>
      <c r="Z138" s="1337"/>
      <c r="AA138" s="1337"/>
      <c r="AB138" s="1337"/>
      <c r="AC138" s="1337"/>
      <c r="AD138" s="1337"/>
      <c r="AE138" s="1337"/>
      <c r="AF138" s="1337"/>
    </row>
    <row r="139" spans="6:32" ht="16.5" customHeight="1">
      <c r="F139" s="1337"/>
      <c r="G139" s="1337"/>
      <c r="H139" s="1337"/>
      <c r="I139" s="1337"/>
      <c r="J139" s="1337"/>
      <c r="K139" s="1337"/>
      <c r="L139" s="1337"/>
      <c r="M139" s="1337"/>
      <c r="N139" s="1337"/>
      <c r="O139" s="1337"/>
      <c r="P139" s="1337"/>
      <c r="Q139" s="1337"/>
      <c r="R139" s="1337"/>
      <c r="S139" s="1337"/>
      <c r="T139" s="1337"/>
      <c r="U139" s="1337"/>
      <c r="V139" s="1337"/>
      <c r="W139" s="1337"/>
      <c r="X139" s="1337"/>
      <c r="Y139" s="1337"/>
      <c r="Z139" s="1337"/>
      <c r="AA139" s="1337"/>
      <c r="AB139" s="1337"/>
      <c r="AC139" s="1337"/>
      <c r="AD139" s="1337"/>
      <c r="AE139" s="1337"/>
      <c r="AF139" s="1337"/>
    </row>
    <row r="140" spans="6:32" ht="16.5" customHeight="1">
      <c r="F140" s="1337"/>
      <c r="G140" s="1337"/>
      <c r="H140" s="1337"/>
      <c r="I140" s="1337"/>
      <c r="J140" s="1337"/>
      <c r="K140" s="1337"/>
      <c r="L140" s="1337"/>
      <c r="M140" s="1337"/>
      <c r="N140" s="1337"/>
      <c r="O140" s="1337"/>
      <c r="P140" s="1337"/>
      <c r="Q140" s="1337"/>
      <c r="R140" s="1337"/>
      <c r="S140" s="1337"/>
      <c r="T140" s="1337"/>
      <c r="U140" s="1337"/>
      <c r="V140" s="1337"/>
      <c r="W140" s="1337"/>
      <c r="X140" s="1337"/>
      <c r="Y140" s="1337"/>
      <c r="Z140" s="1337"/>
      <c r="AA140" s="1337"/>
      <c r="AB140" s="1337"/>
      <c r="AC140" s="1337"/>
      <c r="AD140" s="1337"/>
      <c r="AE140" s="1337"/>
      <c r="AF140" s="1337"/>
    </row>
    <row r="141" spans="6:32" ht="16.5" customHeight="1">
      <c r="F141" s="1337"/>
      <c r="G141" s="1337"/>
      <c r="H141" s="1337"/>
      <c r="I141" s="1337"/>
      <c r="J141" s="1337"/>
      <c r="K141" s="1337"/>
      <c r="L141" s="1337"/>
      <c r="M141" s="1337"/>
      <c r="N141" s="1337"/>
      <c r="O141" s="1337"/>
      <c r="P141" s="1337"/>
      <c r="Q141" s="1337"/>
      <c r="R141" s="1337"/>
      <c r="S141" s="1337"/>
      <c r="T141" s="1337"/>
      <c r="U141" s="1337"/>
      <c r="V141" s="1337"/>
      <c r="W141" s="1337"/>
      <c r="X141" s="1337"/>
      <c r="Y141" s="1337"/>
      <c r="Z141" s="1337"/>
      <c r="AA141" s="1337"/>
      <c r="AB141" s="1337"/>
      <c r="AC141" s="1337"/>
      <c r="AD141" s="1337"/>
      <c r="AE141" s="1337"/>
      <c r="AF141" s="1337"/>
    </row>
    <row r="142" spans="6:32" ht="16.5" customHeight="1">
      <c r="F142" s="1337"/>
      <c r="G142" s="1337"/>
      <c r="H142" s="1337"/>
      <c r="I142" s="1337"/>
      <c r="J142" s="1337"/>
      <c r="K142" s="1337"/>
      <c r="L142" s="1337"/>
      <c r="M142" s="1337"/>
      <c r="N142" s="1337"/>
      <c r="O142" s="1337"/>
      <c r="P142" s="1337"/>
      <c r="Q142" s="1337"/>
      <c r="R142" s="1337"/>
      <c r="S142" s="1337"/>
      <c r="T142" s="1337"/>
      <c r="U142" s="1337"/>
      <c r="V142" s="1337"/>
      <c r="W142" s="1337"/>
      <c r="X142" s="1337"/>
      <c r="Y142" s="1337"/>
      <c r="Z142" s="1337"/>
      <c r="AA142" s="1337"/>
      <c r="AB142" s="1337"/>
      <c r="AC142" s="1337"/>
      <c r="AD142" s="1337"/>
      <c r="AE142" s="1337"/>
      <c r="AF142" s="1337"/>
    </row>
    <row r="143" spans="6:32" ht="16.5" customHeight="1">
      <c r="F143" s="1337"/>
      <c r="G143" s="1337"/>
      <c r="H143" s="1337"/>
      <c r="I143" s="1337"/>
      <c r="J143" s="1337"/>
      <c r="K143" s="1337"/>
      <c r="L143" s="1337"/>
      <c r="M143" s="1337"/>
      <c r="N143" s="1337"/>
      <c r="O143" s="1337"/>
      <c r="P143" s="1337"/>
      <c r="Q143" s="1337"/>
      <c r="R143" s="1337"/>
      <c r="S143" s="1337"/>
      <c r="T143" s="1337"/>
      <c r="U143" s="1337"/>
      <c r="V143" s="1337"/>
      <c r="W143" s="1337"/>
      <c r="X143" s="1337"/>
      <c r="Y143" s="1337"/>
      <c r="Z143" s="1337"/>
      <c r="AA143" s="1337"/>
      <c r="AB143" s="1337"/>
      <c r="AC143" s="1337"/>
      <c r="AD143" s="1337"/>
      <c r="AE143" s="1337"/>
      <c r="AF143" s="1337"/>
    </row>
    <row r="144" spans="6:32" ht="16.5" customHeight="1">
      <c r="F144" s="1337"/>
      <c r="G144" s="1337"/>
      <c r="H144" s="1337"/>
      <c r="I144" s="1337"/>
      <c r="J144" s="1337"/>
      <c r="K144" s="1337"/>
      <c r="L144" s="1337"/>
      <c r="M144" s="1337"/>
      <c r="N144" s="1337"/>
      <c r="O144" s="1337"/>
      <c r="P144" s="1337"/>
      <c r="Q144" s="1337"/>
      <c r="R144" s="1337"/>
      <c r="S144" s="1337"/>
      <c r="T144" s="1337"/>
      <c r="U144" s="1337"/>
      <c r="V144" s="1337"/>
      <c r="W144" s="1337"/>
      <c r="X144" s="1337"/>
      <c r="Y144" s="1337"/>
      <c r="Z144" s="1337"/>
      <c r="AA144" s="1337"/>
      <c r="AB144" s="1337"/>
      <c r="AC144" s="1337"/>
      <c r="AD144" s="1337"/>
      <c r="AE144" s="1337"/>
      <c r="AF144" s="1337"/>
    </row>
    <row r="145" spans="6:32" ht="16.5" customHeight="1">
      <c r="F145" s="1337"/>
      <c r="G145" s="1337"/>
      <c r="H145" s="1337"/>
      <c r="I145" s="1337"/>
      <c r="J145" s="1337"/>
      <c r="K145" s="1337"/>
      <c r="L145" s="1337"/>
      <c r="M145" s="1337"/>
      <c r="N145" s="1337"/>
      <c r="O145" s="1337"/>
      <c r="P145" s="1337"/>
      <c r="Q145" s="1337"/>
      <c r="R145" s="1337"/>
      <c r="S145" s="1337"/>
      <c r="T145" s="1337"/>
      <c r="U145" s="1337"/>
      <c r="V145" s="1337"/>
      <c r="W145" s="1337"/>
      <c r="X145" s="1337"/>
      <c r="Y145" s="1337"/>
      <c r="Z145" s="1337"/>
      <c r="AA145" s="1337"/>
      <c r="AB145" s="1337"/>
      <c r="AC145" s="1337"/>
      <c r="AD145" s="1337"/>
      <c r="AE145" s="1337"/>
      <c r="AF145" s="1337"/>
    </row>
    <row r="146" spans="6:32" ht="16.5" customHeight="1">
      <c r="F146" s="1337"/>
      <c r="G146" s="1337"/>
      <c r="H146" s="1337"/>
      <c r="I146" s="1337"/>
      <c r="J146" s="1337"/>
      <c r="K146" s="1337"/>
      <c r="L146" s="1337"/>
      <c r="M146" s="1337"/>
      <c r="N146" s="1337"/>
      <c r="O146" s="1337"/>
      <c r="P146" s="1337"/>
      <c r="Q146" s="1337"/>
      <c r="R146" s="1337"/>
      <c r="S146" s="1337"/>
      <c r="T146" s="1337"/>
      <c r="U146" s="1337"/>
      <c r="V146" s="1337"/>
      <c r="W146" s="1337"/>
      <c r="X146" s="1337"/>
      <c r="Y146" s="1337"/>
      <c r="Z146" s="1337"/>
      <c r="AA146" s="1337"/>
      <c r="AB146" s="1337"/>
      <c r="AC146" s="1337"/>
      <c r="AD146" s="1337"/>
      <c r="AE146" s="1337"/>
      <c r="AF146" s="1337"/>
    </row>
    <row r="147" spans="6:32" ht="16.5" customHeight="1">
      <c r="F147" s="1337"/>
      <c r="G147" s="1337"/>
      <c r="H147" s="1337"/>
      <c r="I147" s="1337"/>
      <c r="J147" s="1337"/>
      <c r="K147" s="1337"/>
      <c r="L147" s="1337"/>
      <c r="M147" s="1337"/>
      <c r="N147" s="1337"/>
      <c r="O147" s="1337"/>
      <c r="P147" s="1337"/>
      <c r="Q147" s="1337"/>
      <c r="R147" s="1337"/>
      <c r="S147" s="1337"/>
      <c r="T147" s="1337"/>
      <c r="U147" s="1337"/>
      <c r="V147" s="1337"/>
      <c r="W147" s="1337"/>
      <c r="X147" s="1337"/>
      <c r="Y147" s="1337"/>
      <c r="Z147" s="1337"/>
      <c r="AA147" s="1337"/>
      <c r="AB147" s="1337"/>
      <c r="AC147" s="1337"/>
      <c r="AD147" s="1337"/>
      <c r="AE147" s="1337"/>
      <c r="AF147" s="1337"/>
    </row>
    <row r="148" spans="6:32" ht="16.5" customHeight="1">
      <c r="F148" s="1337"/>
      <c r="G148" s="1337"/>
      <c r="H148" s="1337"/>
      <c r="I148" s="1337"/>
      <c r="J148" s="1337"/>
      <c r="K148" s="1337"/>
      <c r="L148" s="1337"/>
      <c r="M148" s="1337"/>
      <c r="N148" s="1337"/>
      <c r="O148" s="1337"/>
      <c r="P148" s="1337"/>
      <c r="Q148" s="1337"/>
      <c r="R148" s="1337"/>
      <c r="S148" s="1337"/>
      <c r="T148" s="1337"/>
      <c r="U148" s="1337"/>
      <c r="V148" s="1337"/>
      <c r="W148" s="1337"/>
      <c r="X148" s="1337"/>
      <c r="Y148" s="1337"/>
      <c r="Z148" s="1337"/>
      <c r="AA148" s="1337"/>
      <c r="AB148" s="1337"/>
      <c r="AC148" s="1337"/>
      <c r="AD148" s="1337"/>
      <c r="AE148" s="1337"/>
      <c r="AF148" s="1337"/>
    </row>
    <row r="149" spans="6:32" ht="16.5" customHeight="1">
      <c r="F149" s="1337"/>
      <c r="G149" s="1337"/>
      <c r="H149" s="1337"/>
      <c r="I149" s="1337"/>
      <c r="J149" s="1337"/>
      <c r="K149" s="1337"/>
      <c r="L149" s="1337"/>
      <c r="M149" s="1337"/>
      <c r="N149" s="1337"/>
      <c r="O149" s="1337"/>
      <c r="P149" s="1337"/>
      <c r="Q149" s="1337"/>
      <c r="R149" s="1337"/>
      <c r="S149" s="1337"/>
      <c r="T149" s="1337"/>
      <c r="U149" s="1337"/>
      <c r="V149" s="1337"/>
      <c r="W149" s="1337"/>
      <c r="X149" s="1337"/>
      <c r="Y149" s="1337"/>
      <c r="Z149" s="1337"/>
      <c r="AA149" s="1337"/>
      <c r="AB149" s="1337"/>
      <c r="AC149" s="1337"/>
      <c r="AD149" s="1337"/>
      <c r="AE149" s="1337"/>
      <c r="AF149" s="1337"/>
    </row>
    <row r="150" spans="6:32" ht="16.5" customHeight="1">
      <c r="F150" s="1337"/>
      <c r="G150" s="1337"/>
      <c r="H150" s="1337"/>
      <c r="I150" s="1337"/>
      <c r="J150" s="1337"/>
      <c r="K150" s="1337"/>
      <c r="L150" s="1337"/>
      <c r="M150" s="1337"/>
      <c r="N150" s="1337"/>
      <c r="O150" s="1337"/>
      <c r="P150" s="1337"/>
      <c r="Q150" s="1337"/>
      <c r="R150" s="1337"/>
      <c r="S150" s="1337"/>
      <c r="T150" s="1337"/>
      <c r="U150" s="1337"/>
      <c r="V150" s="1337"/>
      <c r="W150" s="1337"/>
      <c r="X150" s="1337"/>
      <c r="Y150" s="1337"/>
      <c r="Z150" s="1337"/>
      <c r="AA150" s="1337"/>
      <c r="AB150" s="1337"/>
      <c r="AC150" s="1337"/>
      <c r="AD150" s="1337"/>
      <c r="AE150" s="1337"/>
      <c r="AF150" s="1337"/>
    </row>
    <row r="151" spans="6:32" ht="16.5" customHeight="1">
      <c r="F151" s="1337"/>
      <c r="G151" s="1337"/>
      <c r="H151" s="1337"/>
      <c r="I151" s="1337"/>
      <c r="J151" s="1337"/>
      <c r="K151" s="1337"/>
      <c r="L151" s="1337"/>
      <c r="M151" s="1337"/>
      <c r="N151" s="1337"/>
      <c r="O151" s="1337"/>
      <c r="P151" s="1337"/>
      <c r="Q151" s="1337"/>
      <c r="R151" s="1337"/>
      <c r="S151" s="1337"/>
      <c r="T151" s="1337"/>
      <c r="U151" s="1337"/>
      <c r="V151" s="1337"/>
      <c r="W151" s="1337"/>
      <c r="X151" s="1337"/>
      <c r="Y151" s="1337"/>
      <c r="Z151" s="1337"/>
      <c r="AA151" s="1337"/>
      <c r="AB151" s="1337"/>
      <c r="AC151" s="1337"/>
      <c r="AD151" s="1337"/>
      <c r="AE151" s="1337"/>
      <c r="AF151" s="1337"/>
    </row>
    <row r="152" ht="16.5" customHeight="1">
      <c r="AF152" s="1337"/>
    </row>
    <row r="153" ht="16.5" customHeight="1">
      <c r="AF153" s="1337"/>
    </row>
    <row r="154" ht="16.5" customHeight="1">
      <c r="AF154" s="1337"/>
    </row>
    <row r="155" ht="16.5" customHeight="1">
      <c r="AF155" s="1337"/>
    </row>
    <row r="156" ht="16.5" customHeight="1"/>
    <row r="157" ht="16.5" customHeight="1"/>
    <row r="158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6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2.75"/>
  <cols>
    <col min="1" max="1" width="7.28125" style="652" customWidth="1"/>
    <col min="2" max="2" width="4.140625" style="652" customWidth="1"/>
    <col min="3" max="3" width="5.421875" style="652" customWidth="1"/>
    <col min="4" max="4" width="15.00390625" style="652" customWidth="1"/>
    <col min="5" max="5" width="14.421875" style="652" customWidth="1"/>
    <col min="6" max="6" width="22.28125" style="652" customWidth="1"/>
    <col min="7" max="7" width="20.28125" style="652" customWidth="1"/>
    <col min="8" max="8" width="9.7109375" style="652" customWidth="1"/>
    <col min="9" max="9" width="12.28125" style="652" customWidth="1"/>
    <col min="10" max="10" width="7.7109375" style="652" hidden="1" customWidth="1"/>
    <col min="11" max="11" width="16.421875" style="652" customWidth="1"/>
    <col min="12" max="12" width="16.7109375" style="652" customWidth="1"/>
    <col min="13" max="16" width="9.7109375" style="652" customWidth="1"/>
    <col min="17" max="17" width="5.8515625" style="652" customWidth="1"/>
    <col min="18" max="18" width="6.7109375" style="652" bestFit="1" customWidth="1"/>
    <col min="19" max="19" width="4.140625" style="652" hidden="1" customWidth="1"/>
    <col min="20" max="21" width="12.28125" style="652" hidden="1" customWidth="1"/>
    <col min="22" max="25" width="6.421875" style="652" hidden="1" customWidth="1"/>
    <col min="26" max="26" width="12.28125" style="652" hidden="1" customWidth="1"/>
    <col min="27" max="27" width="13.421875" style="652" hidden="1" customWidth="1"/>
    <col min="28" max="28" width="8.7109375" style="652" customWidth="1"/>
    <col min="29" max="29" width="10.421875" style="652" hidden="1" customWidth="1"/>
    <col min="30" max="30" width="15.7109375" style="652" customWidth="1"/>
    <col min="31" max="31" width="4.140625" style="652" customWidth="1"/>
    <col min="32" max="16384" width="11.421875" style="652" customWidth="1"/>
  </cols>
  <sheetData>
    <row r="1" spans="2:31" s="597" customFormat="1" ht="26.25"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9"/>
    </row>
    <row r="2" spans="1:31" s="597" customFormat="1" ht="26.25">
      <c r="A2" s="598"/>
      <c r="B2" s="600" t="str">
        <f>'TOT-1215'!B2</f>
        <v>ANEXO I al Memorándum D.T.E.E. N°  231  / 2017</v>
      </c>
      <c r="C2" s="600"/>
      <c r="D2" s="600"/>
      <c r="E2" s="600"/>
      <c r="F2" s="600"/>
      <c r="G2" s="601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</row>
    <row r="3" spans="1:31" s="603" customFormat="1" ht="17.25" customHeight="1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</row>
    <row r="4" spans="1:31" s="607" customFormat="1" ht="11.25">
      <c r="A4" s="604" t="s">
        <v>49</v>
      </c>
      <c r="B4" s="605"/>
      <c r="C4" s="605"/>
      <c r="D4" s="605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</row>
    <row r="5" spans="1:31" s="607" customFormat="1" ht="11.25">
      <c r="A5" s="604" t="s">
        <v>3</v>
      </c>
      <c r="B5" s="605"/>
      <c r="C5" s="605"/>
      <c r="D5" s="605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6"/>
      <c r="Y5" s="606"/>
      <c r="Z5" s="606"/>
      <c r="AA5" s="606"/>
      <c r="AB5" s="606"/>
      <c r="AC5" s="606"/>
      <c r="AD5" s="606"/>
      <c r="AE5" s="606"/>
    </row>
    <row r="6" spans="1:31" s="603" customFormat="1" ht="13.5" thickBot="1">
      <c r="A6" s="602"/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</row>
    <row r="7" spans="1:31" s="603" customFormat="1" ht="13.5" thickTop="1">
      <c r="A7" s="602"/>
      <c r="B7" s="608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10"/>
    </row>
    <row r="8" spans="2:35" s="611" customFormat="1" ht="20.25">
      <c r="B8" s="612"/>
      <c r="C8" s="613"/>
      <c r="D8" s="613"/>
      <c r="E8" s="613"/>
      <c r="F8" s="614" t="s">
        <v>20</v>
      </c>
      <c r="G8" s="613"/>
      <c r="H8" s="613"/>
      <c r="I8" s="613"/>
      <c r="J8" s="613"/>
      <c r="Q8" s="613"/>
      <c r="R8" s="613"/>
      <c r="S8" s="615"/>
      <c r="T8" s="615"/>
      <c r="U8" s="615"/>
      <c r="V8" s="613"/>
      <c r="W8" s="613"/>
      <c r="X8" s="613"/>
      <c r="Y8" s="613"/>
      <c r="Z8" s="613"/>
      <c r="AA8" s="613"/>
      <c r="AB8" s="613"/>
      <c r="AC8" s="613"/>
      <c r="AD8" s="616"/>
      <c r="AE8" s="617"/>
      <c r="AF8" s="613"/>
      <c r="AG8" s="613"/>
      <c r="AH8" s="616"/>
      <c r="AI8" s="616"/>
    </row>
    <row r="9" spans="1:31" s="603" customFormat="1" ht="12.75">
      <c r="A9" s="602"/>
      <c r="B9" s="618"/>
      <c r="C9" s="619"/>
      <c r="D9" s="619"/>
      <c r="E9" s="602"/>
      <c r="F9" s="619"/>
      <c r="G9" s="620"/>
      <c r="H9" s="602"/>
      <c r="I9" s="619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02"/>
      <c r="AE9" s="621"/>
    </row>
    <row r="10" spans="2:35" s="622" customFormat="1" ht="33" customHeight="1">
      <c r="B10" s="623"/>
      <c r="C10" s="624"/>
      <c r="D10" s="624"/>
      <c r="E10" s="624"/>
      <c r="F10" s="625" t="s">
        <v>50</v>
      </c>
      <c r="G10" s="624"/>
      <c r="H10" s="624"/>
      <c r="I10" s="624"/>
      <c r="J10" s="624"/>
      <c r="Q10" s="624"/>
      <c r="R10" s="624"/>
      <c r="S10" s="626"/>
      <c r="T10" s="626"/>
      <c r="U10" s="626"/>
      <c r="V10" s="624"/>
      <c r="W10" s="624"/>
      <c r="X10" s="624"/>
      <c r="Y10" s="624"/>
      <c r="Z10" s="624"/>
      <c r="AA10" s="624"/>
      <c r="AB10" s="624"/>
      <c r="AC10" s="624"/>
      <c r="AD10" s="627"/>
      <c r="AE10" s="628"/>
      <c r="AF10" s="624"/>
      <c r="AG10" s="624"/>
      <c r="AH10" s="627"/>
      <c r="AI10" s="627"/>
    </row>
    <row r="11" spans="1:31" s="635" customFormat="1" ht="33" customHeight="1">
      <c r="A11" s="629"/>
      <c r="B11" s="630"/>
      <c r="C11" s="631"/>
      <c r="D11" s="631"/>
      <c r="E11" s="629"/>
      <c r="F11" s="632" t="s">
        <v>474</v>
      </c>
      <c r="G11" s="631"/>
      <c r="H11" s="631"/>
      <c r="I11" s="633"/>
      <c r="J11" s="631"/>
      <c r="K11" s="631"/>
      <c r="L11" s="631"/>
      <c r="M11" s="631"/>
      <c r="N11" s="631"/>
      <c r="O11" s="629"/>
      <c r="P11" s="629"/>
      <c r="Q11" s="629"/>
      <c r="R11" s="629"/>
      <c r="S11" s="629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29"/>
      <c r="AE11" s="634"/>
    </row>
    <row r="12" spans="1:31" s="643" customFormat="1" ht="19.5">
      <c r="A12" s="636"/>
      <c r="B12" s="637" t="str">
        <f>'TOT-1215'!B14</f>
        <v>Desde el 01 al 31 de diciembre de 2015</v>
      </c>
      <c r="C12" s="638"/>
      <c r="D12" s="638"/>
      <c r="E12" s="639"/>
      <c r="F12" s="640"/>
      <c r="G12" s="640"/>
      <c r="H12" s="640"/>
      <c r="I12" s="640"/>
      <c r="J12" s="640"/>
      <c r="K12" s="640"/>
      <c r="L12" s="640"/>
      <c r="M12" s="640"/>
      <c r="N12" s="640"/>
      <c r="O12" s="639"/>
      <c r="P12" s="639"/>
      <c r="Q12" s="639"/>
      <c r="R12" s="639"/>
      <c r="S12" s="639"/>
      <c r="T12" s="640"/>
      <c r="U12" s="640"/>
      <c r="V12" s="640"/>
      <c r="W12" s="640"/>
      <c r="X12" s="640"/>
      <c r="Y12" s="640"/>
      <c r="Z12" s="640"/>
      <c r="AA12" s="640"/>
      <c r="AB12" s="640"/>
      <c r="AC12" s="640"/>
      <c r="AD12" s="641"/>
      <c r="AE12" s="642"/>
    </row>
    <row r="13" spans="1:31" s="603" customFormat="1" ht="12.75">
      <c r="A13" s="602"/>
      <c r="B13" s="618"/>
      <c r="C13" s="619"/>
      <c r="D13" s="619"/>
      <c r="E13" s="602"/>
      <c r="F13" s="619"/>
      <c r="G13" s="619"/>
      <c r="H13" s="619"/>
      <c r="I13" s="644"/>
      <c r="J13" s="619"/>
      <c r="K13" s="619"/>
      <c r="L13" s="619"/>
      <c r="M13" s="619"/>
      <c r="N13" s="619"/>
      <c r="O13" s="602"/>
      <c r="P13" s="602"/>
      <c r="Q13" s="602"/>
      <c r="R13" s="602"/>
      <c r="S13" s="602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02"/>
      <c r="AE13" s="621"/>
    </row>
    <row r="14" spans="1:31" s="603" customFormat="1" ht="16.5" customHeight="1" thickBot="1">
      <c r="A14" s="602"/>
      <c r="B14" s="618"/>
      <c r="C14" s="619"/>
      <c r="D14" s="619"/>
      <c r="E14" s="602"/>
      <c r="F14" s="645"/>
      <c r="G14" s="646"/>
      <c r="H14" s="647"/>
      <c r="I14" s="644"/>
      <c r="J14" s="619"/>
      <c r="K14" s="619"/>
      <c r="L14" s="619"/>
      <c r="M14" s="619"/>
      <c r="N14" s="2836"/>
      <c r="O14" s="2836"/>
      <c r="P14" s="2836"/>
      <c r="Q14" s="2836"/>
      <c r="R14" s="2836"/>
      <c r="S14" s="648"/>
      <c r="T14" s="648"/>
      <c r="U14" s="648"/>
      <c r="V14" s="619"/>
      <c r="W14" s="619"/>
      <c r="X14" s="619"/>
      <c r="Y14" s="619"/>
      <c r="Z14" s="619"/>
      <c r="AA14" s="619"/>
      <c r="AB14" s="619"/>
      <c r="AC14" s="619"/>
      <c r="AD14" s="602"/>
      <c r="AE14" s="621"/>
    </row>
    <row r="15" spans="1:31" s="603" customFormat="1" ht="16.5" customHeight="1" thickBot="1" thickTop="1">
      <c r="A15" s="602"/>
      <c r="B15" s="618"/>
      <c r="C15" s="619"/>
      <c r="D15" s="619"/>
      <c r="E15" s="602"/>
      <c r="F15" s="649" t="s">
        <v>357</v>
      </c>
      <c r="G15" s="650"/>
      <c r="H15" s="651">
        <v>0.764</v>
      </c>
      <c r="I15" s="652"/>
      <c r="J15" s="602"/>
      <c r="K15" s="653"/>
      <c r="L15" s="602"/>
      <c r="M15" s="602"/>
      <c r="N15" s="654"/>
      <c r="O15" s="654"/>
      <c r="P15" s="654"/>
      <c r="Q15" s="654"/>
      <c r="R15" s="655"/>
      <c r="S15" s="648"/>
      <c r="T15" s="648"/>
      <c r="U15" s="648"/>
      <c r="V15" s="619"/>
      <c r="W15" s="619"/>
      <c r="X15" s="619"/>
      <c r="Y15" s="619"/>
      <c r="Z15" s="619"/>
      <c r="AA15" s="619"/>
      <c r="AB15" s="619"/>
      <c r="AC15" s="619"/>
      <c r="AD15" s="602"/>
      <c r="AE15" s="621"/>
    </row>
    <row r="16" spans="1:31" s="603" customFormat="1" ht="16.5" customHeight="1" thickBot="1" thickTop="1">
      <c r="A16" s="602"/>
      <c r="B16" s="618"/>
      <c r="C16" s="619"/>
      <c r="D16" s="619"/>
      <c r="E16" s="602"/>
      <c r="F16" s="656" t="s">
        <v>53</v>
      </c>
      <c r="G16" s="657"/>
      <c r="H16" s="658">
        <v>200</v>
      </c>
      <c r="I16" s="652"/>
      <c r="J16" s="619"/>
      <c r="L16" s="659"/>
      <c r="M16" s="619"/>
      <c r="N16" s="654"/>
      <c r="O16" s="654"/>
      <c r="P16" s="654"/>
      <c r="Q16" s="654"/>
      <c r="R16" s="655"/>
      <c r="S16" s="648"/>
      <c r="T16" s="648"/>
      <c r="U16" s="648"/>
      <c r="V16" s="619"/>
      <c r="W16" s="660"/>
      <c r="X16" s="660"/>
      <c r="Y16" s="660"/>
      <c r="Z16" s="660"/>
      <c r="AA16" s="660"/>
      <c r="AB16" s="660"/>
      <c r="AC16" s="602"/>
      <c r="AD16" s="602"/>
      <c r="AE16" s="621"/>
    </row>
    <row r="17" spans="1:31" s="603" customFormat="1" ht="16.5" customHeight="1" thickTop="1">
      <c r="A17" s="602"/>
      <c r="B17" s="618"/>
      <c r="C17" s="619"/>
      <c r="D17" s="619"/>
      <c r="E17" s="602"/>
      <c r="F17" s="661"/>
      <c r="G17" s="662"/>
      <c r="H17" s="663"/>
      <c r="I17" s="652"/>
      <c r="J17" s="619"/>
      <c r="K17" s="653"/>
      <c r="L17" s="659"/>
      <c r="M17" s="619"/>
      <c r="N17" s="654"/>
      <c r="O17" s="654"/>
      <c r="P17" s="654"/>
      <c r="Q17" s="654"/>
      <c r="R17" s="655"/>
      <c r="S17" s="648"/>
      <c r="T17" s="648"/>
      <c r="U17" s="648"/>
      <c r="V17" s="619"/>
      <c r="W17" s="660"/>
      <c r="X17" s="660"/>
      <c r="Y17" s="660"/>
      <c r="Z17" s="660"/>
      <c r="AA17" s="660"/>
      <c r="AB17" s="660"/>
      <c r="AC17" s="602"/>
      <c r="AD17" s="602"/>
      <c r="AE17" s="621"/>
    </row>
    <row r="18" spans="1:31" s="603" customFormat="1" ht="16.5" customHeight="1" thickBot="1">
      <c r="A18" s="602"/>
      <c r="B18" s="618"/>
      <c r="C18" s="664">
        <v>3</v>
      </c>
      <c r="D18" s="664">
        <v>4</v>
      </c>
      <c r="E18" s="664">
        <v>5</v>
      </c>
      <c r="F18" s="664">
        <v>6</v>
      </c>
      <c r="G18" s="664">
        <v>7</v>
      </c>
      <c r="H18" s="664">
        <v>8</v>
      </c>
      <c r="I18" s="664">
        <v>9</v>
      </c>
      <c r="J18" s="664">
        <v>10</v>
      </c>
      <c r="K18" s="664">
        <v>11</v>
      </c>
      <c r="L18" s="664">
        <v>12</v>
      </c>
      <c r="M18" s="664">
        <v>13</v>
      </c>
      <c r="N18" s="664">
        <v>14</v>
      </c>
      <c r="O18" s="664">
        <v>15</v>
      </c>
      <c r="P18" s="664">
        <v>16</v>
      </c>
      <c r="Q18" s="664">
        <v>17</v>
      </c>
      <c r="R18" s="664">
        <v>18</v>
      </c>
      <c r="S18" s="664">
        <v>19</v>
      </c>
      <c r="T18" s="664">
        <v>20</v>
      </c>
      <c r="U18" s="664">
        <v>21</v>
      </c>
      <c r="V18" s="664">
        <v>22</v>
      </c>
      <c r="W18" s="664">
        <v>23</v>
      </c>
      <c r="X18" s="664">
        <v>24</v>
      </c>
      <c r="Y18" s="664">
        <v>25</v>
      </c>
      <c r="Z18" s="664">
        <v>26</v>
      </c>
      <c r="AA18" s="664">
        <v>27</v>
      </c>
      <c r="AB18" s="664">
        <v>28</v>
      </c>
      <c r="AC18" s="664">
        <v>29</v>
      </c>
      <c r="AD18" s="664">
        <v>30</v>
      </c>
      <c r="AE18" s="621"/>
    </row>
    <row r="19" spans="1:31" s="603" customFormat="1" ht="33.75" customHeight="1" thickBot="1" thickTop="1">
      <c r="A19" s="602"/>
      <c r="B19" s="618"/>
      <c r="C19" s="665" t="s">
        <v>25</v>
      </c>
      <c r="D19" s="666" t="s">
        <v>26</v>
      </c>
      <c r="E19" s="666" t="s">
        <v>27</v>
      </c>
      <c r="F19" s="667" t="s">
        <v>54</v>
      </c>
      <c r="G19" s="668" t="s">
        <v>55</v>
      </c>
      <c r="H19" s="669" t="s">
        <v>56</v>
      </c>
      <c r="I19" s="670" t="s">
        <v>28</v>
      </c>
      <c r="J19" s="671" t="s">
        <v>32</v>
      </c>
      <c r="K19" s="668" t="s">
        <v>33</v>
      </c>
      <c r="L19" s="668" t="s">
        <v>34</v>
      </c>
      <c r="M19" s="667" t="s">
        <v>57</v>
      </c>
      <c r="N19" s="667" t="s">
        <v>36</v>
      </c>
      <c r="O19" s="672" t="s">
        <v>321</v>
      </c>
      <c r="P19" s="672" t="s">
        <v>37</v>
      </c>
      <c r="Q19" s="673" t="s">
        <v>39</v>
      </c>
      <c r="R19" s="673" t="s">
        <v>58</v>
      </c>
      <c r="S19" s="674" t="s">
        <v>31</v>
      </c>
      <c r="T19" s="675" t="s">
        <v>40</v>
      </c>
      <c r="U19" s="676" t="s">
        <v>41</v>
      </c>
      <c r="V19" s="677" t="s">
        <v>59</v>
      </c>
      <c r="W19" s="678"/>
      <c r="X19" s="679" t="s">
        <v>60</v>
      </c>
      <c r="Y19" s="680"/>
      <c r="Z19" s="681" t="s">
        <v>44</v>
      </c>
      <c r="AA19" s="682" t="s">
        <v>45</v>
      </c>
      <c r="AB19" s="683" t="s">
        <v>46</v>
      </c>
      <c r="AC19" s="684" t="s">
        <v>61</v>
      </c>
      <c r="AD19" s="670" t="s">
        <v>47</v>
      </c>
      <c r="AE19" s="621"/>
    </row>
    <row r="20" spans="1:31" s="603" customFormat="1" ht="16.5" customHeight="1" thickTop="1">
      <c r="A20" s="602"/>
      <c r="B20" s="618"/>
      <c r="C20" s="685"/>
      <c r="D20" s="685"/>
      <c r="E20" s="685"/>
      <c r="F20" s="686"/>
      <c r="G20" s="686"/>
      <c r="H20" s="686"/>
      <c r="I20" s="687"/>
      <c r="J20" s="688"/>
      <c r="K20" s="686"/>
      <c r="L20" s="686"/>
      <c r="M20" s="686"/>
      <c r="N20" s="686"/>
      <c r="O20" s="686"/>
      <c r="P20" s="689"/>
      <c r="Q20" s="690"/>
      <c r="R20" s="686"/>
      <c r="S20" s="691"/>
      <c r="T20" s="692"/>
      <c r="U20" s="693"/>
      <c r="V20" s="694"/>
      <c r="W20" s="695"/>
      <c r="X20" s="696"/>
      <c r="Y20" s="697"/>
      <c r="Z20" s="698"/>
      <c r="AA20" s="699"/>
      <c r="AB20" s="690"/>
      <c r="AC20" s="700"/>
      <c r="AD20" s="701"/>
      <c r="AE20" s="621"/>
    </row>
    <row r="21" spans="1:31" s="603" customFormat="1" ht="16.5" customHeight="1">
      <c r="A21" s="602"/>
      <c r="B21" s="618"/>
      <c r="C21" s="702"/>
      <c r="D21" s="702"/>
      <c r="E21" s="702"/>
      <c r="F21" s="702"/>
      <c r="G21" s="702"/>
      <c r="H21" s="702"/>
      <c r="I21" s="703"/>
      <c r="J21" s="704"/>
      <c r="K21" s="702"/>
      <c r="L21" s="702"/>
      <c r="M21" s="702"/>
      <c r="N21" s="702"/>
      <c r="O21" s="702"/>
      <c r="P21" s="705"/>
      <c r="Q21" s="706"/>
      <c r="R21" s="702"/>
      <c r="S21" s="707"/>
      <c r="T21" s="708"/>
      <c r="U21" s="709"/>
      <c r="V21" s="710"/>
      <c r="W21" s="711"/>
      <c r="X21" s="712"/>
      <c r="Y21" s="713"/>
      <c r="Z21" s="714"/>
      <c r="AA21" s="715"/>
      <c r="AB21" s="706"/>
      <c r="AC21" s="716"/>
      <c r="AD21" s="717"/>
      <c r="AE21" s="621"/>
    </row>
    <row r="22" spans="1:31" s="603" customFormat="1" ht="16.5" customHeight="1">
      <c r="A22" s="602"/>
      <c r="B22" s="618"/>
      <c r="C22" s="702">
        <v>35</v>
      </c>
      <c r="D22" s="702">
        <v>296000</v>
      </c>
      <c r="E22" s="718">
        <v>4825</v>
      </c>
      <c r="F22" s="719" t="s">
        <v>418</v>
      </c>
      <c r="G22" s="720" t="s">
        <v>367</v>
      </c>
      <c r="H22" s="721">
        <v>300</v>
      </c>
      <c r="I22" s="722" t="s">
        <v>134</v>
      </c>
      <c r="J22" s="723">
        <f>H22*$H$15</f>
        <v>229.20000000000002</v>
      </c>
      <c r="K22" s="724">
        <v>42354.41736111111</v>
      </c>
      <c r="L22" s="724">
        <v>42354.71041666667</v>
      </c>
      <c r="M22" s="725">
        <f aca="true" t="shared" si="0" ref="M22:M41">IF(F22="","",(L22-K22)*24)</f>
        <v>7.03333333338378</v>
      </c>
      <c r="N22" s="726">
        <f aca="true" t="shared" si="1" ref="N22:N41">IF(F22="","",ROUND((L22-K22)*24*60,0))</f>
        <v>422</v>
      </c>
      <c r="O22" s="727" t="s">
        <v>332</v>
      </c>
      <c r="P22" s="728" t="str">
        <f aca="true" t="shared" si="2" ref="P22:P41">IF(F22="","","--")</f>
        <v>--</v>
      </c>
      <c r="Q22" s="729" t="str">
        <f aca="true" t="shared" si="3" ref="Q22:Q41">IF(F22="","",IF(OR(O22="P",O22="RP"),"--","NO"))</f>
        <v>--</v>
      </c>
      <c r="R22" s="730" t="str">
        <f>IF(F22="","","NO")</f>
        <v>NO</v>
      </c>
      <c r="S22" s="707">
        <f aca="true" t="shared" si="4" ref="S22:S41">$H$16*IF(OR(O22="P",O22="RP"),0.1,1)*IF(R22="SI",1,0.1)</f>
        <v>2</v>
      </c>
      <c r="T22" s="731">
        <f aca="true" t="shared" si="5" ref="T22:T41">IF(O22="P",J22*S22*ROUND(N22/60,2),"--")</f>
        <v>3222.552</v>
      </c>
      <c r="U22" s="732" t="str">
        <f aca="true" t="shared" si="6" ref="U22:U41">IF(O22="RP",J22*S22*P22/100*ROUND(N22/60,2),"--")</f>
        <v>--</v>
      </c>
      <c r="V22" s="733" t="str">
        <f aca="true" t="shared" si="7" ref="V22:V41">IF(AND(O22="F",Q22="NO"),J22*S22,"--")</f>
        <v>--</v>
      </c>
      <c r="W22" s="734" t="str">
        <f aca="true" t="shared" si="8" ref="W22:W41">IF(O22="F",J22*S22*ROUND(N22/60,2),"--")</f>
        <v>--</v>
      </c>
      <c r="X22" s="735" t="str">
        <f aca="true" t="shared" si="9" ref="X22:X41">IF(AND(O22="R",Q22="NO"),J22*S22*P22/100,"--")</f>
        <v>--</v>
      </c>
      <c r="Y22" s="736" t="str">
        <f aca="true" t="shared" si="10" ref="Y22:Y41">IF(O22="R",J22*S22*P22/100*ROUND(N22/60,2),"--")</f>
        <v>--</v>
      </c>
      <c r="Z22" s="737" t="str">
        <f aca="true" t="shared" si="11" ref="Z22:Z41">IF(O22="RF",J22*S22*ROUND(N22/60,2),"--")</f>
        <v>--</v>
      </c>
      <c r="AA22" s="738" t="str">
        <f aca="true" t="shared" si="12" ref="AA22:AA41">IF(O22="RR",J22*S22*P22/100*ROUND(N22/60,2),"--")</f>
        <v>--</v>
      </c>
      <c r="AB22" s="739" t="str">
        <f aca="true" t="shared" si="13" ref="AB22:AB41">IF(F22="","","SI")</f>
        <v>SI</v>
      </c>
      <c r="AC22" s="740">
        <f aca="true" t="shared" si="14" ref="AC22:AC41">SUM(T22:AA22)*IF(AB22="SI",1,2)</f>
        <v>3222.552</v>
      </c>
      <c r="AD22" s="741">
        <f>IF(F22="","",AC22*IF(AND(P22&lt;&gt;"--",O22="RF"),P22/100,1))</f>
        <v>3222.552</v>
      </c>
      <c r="AE22" s="621"/>
    </row>
    <row r="23" spans="1:31" s="603" customFormat="1" ht="16.5" customHeight="1">
      <c r="A23" s="602"/>
      <c r="B23" s="618"/>
      <c r="C23" s="702"/>
      <c r="D23" s="702"/>
      <c r="E23" s="718"/>
      <c r="F23" s="719"/>
      <c r="G23" s="720"/>
      <c r="H23" s="721"/>
      <c r="I23" s="722"/>
      <c r="J23" s="723"/>
      <c r="K23" s="742"/>
      <c r="L23" s="742"/>
      <c r="M23" s="725"/>
      <c r="N23" s="726"/>
      <c r="O23" s="743"/>
      <c r="P23" s="728"/>
      <c r="Q23" s="729"/>
      <c r="R23" s="730"/>
      <c r="S23" s="707"/>
      <c r="T23" s="731"/>
      <c r="U23" s="732"/>
      <c r="V23" s="733"/>
      <c r="W23" s="734"/>
      <c r="X23" s="735"/>
      <c r="Y23" s="736"/>
      <c r="Z23" s="737"/>
      <c r="AA23" s="738"/>
      <c r="AB23" s="739"/>
      <c r="AC23" s="740"/>
      <c r="AD23" s="741"/>
      <c r="AE23" s="621"/>
    </row>
    <row r="24" spans="1:31" s="603" customFormat="1" ht="16.5" customHeight="1">
      <c r="A24" s="602"/>
      <c r="B24" s="618"/>
      <c r="C24" s="702"/>
      <c r="D24" s="702"/>
      <c r="E24" s="718"/>
      <c r="F24" s="719"/>
      <c r="G24" s="720"/>
      <c r="H24" s="721"/>
      <c r="I24" s="722"/>
      <c r="J24" s="723">
        <f aca="true" t="shared" si="15" ref="J24:J41">IF(F24="RINCÓN",H24*$H$15,H24*$H$14)</f>
        <v>0</v>
      </c>
      <c r="K24" s="742"/>
      <c r="L24" s="742"/>
      <c r="M24" s="725"/>
      <c r="N24" s="726"/>
      <c r="O24" s="743"/>
      <c r="P24" s="728"/>
      <c r="Q24" s="729"/>
      <c r="R24" s="730">
        <f>IF(F24="","","NO")</f>
      </c>
      <c r="S24" s="707">
        <f>$H$16*IF(OR(O24="P",O24="RP"),0.1,1)*IF(R24="SI",1,0.1)</f>
        <v>20</v>
      </c>
      <c r="T24" s="731" t="str">
        <f>IF(O24="P",J24*S24*ROUND(N24/60,2),"--")</f>
        <v>--</v>
      </c>
      <c r="U24" s="732" t="str">
        <f>IF(O24="RP",J24*S24*P24/100*ROUND(N24/60,2),"--")</f>
        <v>--</v>
      </c>
      <c r="V24" s="733" t="str">
        <f>IF(AND(O24="F",Q24="NO"),J24*S24,"--")</f>
        <v>--</v>
      </c>
      <c r="W24" s="734" t="str">
        <f>IF(O24="F",J24*S24*ROUND(N24/60,2),"--")</f>
        <v>--</v>
      </c>
      <c r="X24" s="735" t="str">
        <f>IF(AND(O24="R",Q24="NO"),J24*S24*P24/100,"--")</f>
        <v>--</v>
      </c>
      <c r="Y24" s="736" t="str">
        <f>IF(O24="R",J24*S24*P24/100*ROUND(N24/60,2),"--")</f>
        <v>--</v>
      </c>
      <c r="Z24" s="737" t="str">
        <f>IF(O24="RF",J24*S24*ROUND(N24/60,2),"--")</f>
        <v>--</v>
      </c>
      <c r="AA24" s="738" t="str">
        <f>IF(O24="RR",J24*S24*P24/100*ROUND(N24/60,2),"--")</f>
        <v>--</v>
      </c>
      <c r="AB24" s="739">
        <f>IF(F24="","","SI")</f>
      </c>
      <c r="AC24" s="740">
        <f>SUM(T24:AA24)*IF(AB24="SI",1,2)</f>
        <v>0</v>
      </c>
      <c r="AD24" s="741">
        <f>IF(F24="","",AC24*$L$16*IF(AND(P24&lt;&gt;"--",O24="RF"),P24/100,1))</f>
      </c>
      <c r="AE24" s="621"/>
    </row>
    <row r="25" spans="1:31" s="603" customFormat="1" ht="16.5" customHeight="1">
      <c r="A25" s="602"/>
      <c r="B25" s="618"/>
      <c r="C25" s="702"/>
      <c r="D25" s="702"/>
      <c r="E25" s="702"/>
      <c r="F25" s="719"/>
      <c r="G25" s="720"/>
      <c r="H25" s="721"/>
      <c r="I25" s="744"/>
      <c r="J25" s="723">
        <f t="shared" si="15"/>
        <v>0</v>
      </c>
      <c r="K25" s="742"/>
      <c r="L25" s="742"/>
      <c r="M25" s="725">
        <f t="shared" si="0"/>
      </c>
      <c r="N25" s="726">
        <f t="shared" si="1"/>
      </c>
      <c r="O25" s="743"/>
      <c r="P25" s="728">
        <f t="shared" si="2"/>
      </c>
      <c r="Q25" s="729">
        <f t="shared" si="3"/>
      </c>
      <c r="R25" s="730">
        <f aca="true" t="shared" si="16" ref="R25:R41">IF(F25="","","NO")</f>
      </c>
      <c r="S25" s="707">
        <f t="shared" si="4"/>
        <v>20</v>
      </c>
      <c r="T25" s="731" t="str">
        <f t="shared" si="5"/>
        <v>--</v>
      </c>
      <c r="U25" s="732" t="str">
        <f t="shared" si="6"/>
        <v>--</v>
      </c>
      <c r="V25" s="733" t="str">
        <f t="shared" si="7"/>
        <v>--</v>
      </c>
      <c r="W25" s="734" t="str">
        <f t="shared" si="8"/>
        <v>--</v>
      </c>
      <c r="X25" s="735" t="str">
        <f t="shared" si="9"/>
        <v>--</v>
      </c>
      <c r="Y25" s="736" t="str">
        <f t="shared" si="10"/>
        <v>--</v>
      </c>
      <c r="Z25" s="737" t="str">
        <f t="shared" si="11"/>
        <v>--</v>
      </c>
      <c r="AA25" s="738" t="str">
        <f t="shared" si="12"/>
        <v>--</v>
      </c>
      <c r="AB25" s="739">
        <f t="shared" si="13"/>
      </c>
      <c r="AC25" s="740">
        <f t="shared" si="14"/>
        <v>0</v>
      </c>
      <c r="AD25" s="741">
        <f aca="true" t="shared" si="17" ref="AD25:AD41">IF(F25="","",AC25*$L$16*IF(AND(P25&lt;&gt;"--",O25="RF"),P25/100,1))</f>
      </c>
      <c r="AE25" s="621"/>
    </row>
    <row r="26" spans="1:31" s="603" customFormat="1" ht="16.5" customHeight="1">
      <c r="A26" s="602"/>
      <c r="B26" s="618"/>
      <c r="C26" s="702"/>
      <c r="D26" s="702"/>
      <c r="E26" s="718"/>
      <c r="F26" s="719"/>
      <c r="G26" s="720"/>
      <c r="H26" s="721"/>
      <c r="I26" s="744"/>
      <c r="J26" s="723">
        <f t="shared" si="15"/>
        <v>0</v>
      </c>
      <c r="K26" s="742"/>
      <c r="L26" s="742"/>
      <c r="M26" s="725">
        <f t="shared" si="0"/>
      </c>
      <c r="N26" s="726">
        <f t="shared" si="1"/>
      </c>
      <c r="O26" s="743"/>
      <c r="P26" s="728">
        <f t="shared" si="2"/>
      </c>
      <c r="Q26" s="729">
        <f t="shared" si="3"/>
      </c>
      <c r="R26" s="730">
        <f t="shared" si="16"/>
      </c>
      <c r="S26" s="707">
        <f t="shared" si="4"/>
        <v>20</v>
      </c>
      <c r="T26" s="731" t="str">
        <f t="shared" si="5"/>
        <v>--</v>
      </c>
      <c r="U26" s="732" t="str">
        <f t="shared" si="6"/>
        <v>--</v>
      </c>
      <c r="V26" s="733" t="str">
        <f t="shared" si="7"/>
        <v>--</v>
      </c>
      <c r="W26" s="734" t="str">
        <f t="shared" si="8"/>
        <v>--</v>
      </c>
      <c r="X26" s="735" t="str">
        <f t="shared" si="9"/>
        <v>--</v>
      </c>
      <c r="Y26" s="736" t="str">
        <f t="shared" si="10"/>
        <v>--</v>
      </c>
      <c r="Z26" s="737" t="str">
        <f t="shared" si="11"/>
        <v>--</v>
      </c>
      <c r="AA26" s="738" t="str">
        <f t="shared" si="12"/>
        <v>--</v>
      </c>
      <c r="AB26" s="739">
        <f t="shared" si="13"/>
      </c>
      <c r="AC26" s="740">
        <f t="shared" si="14"/>
        <v>0</v>
      </c>
      <c r="AD26" s="741">
        <f t="shared" si="17"/>
      </c>
      <c r="AE26" s="621"/>
    </row>
    <row r="27" spans="1:31" s="603" customFormat="1" ht="16.5" customHeight="1">
      <c r="A27" s="602"/>
      <c r="B27" s="618"/>
      <c r="C27" s="702"/>
      <c r="D27" s="702"/>
      <c r="E27" s="702"/>
      <c r="F27" s="719"/>
      <c r="G27" s="720"/>
      <c r="H27" s="721"/>
      <c r="I27" s="744"/>
      <c r="J27" s="723">
        <f t="shared" si="15"/>
        <v>0</v>
      </c>
      <c r="K27" s="742"/>
      <c r="L27" s="742"/>
      <c r="M27" s="725">
        <f t="shared" si="0"/>
      </c>
      <c r="N27" s="726">
        <f t="shared" si="1"/>
      </c>
      <c r="O27" s="743"/>
      <c r="P27" s="728">
        <f t="shared" si="2"/>
      </c>
      <c r="Q27" s="729">
        <f t="shared" si="3"/>
      </c>
      <c r="R27" s="730">
        <f t="shared" si="16"/>
      </c>
      <c r="S27" s="707">
        <f t="shared" si="4"/>
        <v>20</v>
      </c>
      <c r="T27" s="731" t="str">
        <f t="shared" si="5"/>
        <v>--</v>
      </c>
      <c r="U27" s="732" t="str">
        <f t="shared" si="6"/>
        <v>--</v>
      </c>
      <c r="V27" s="733" t="str">
        <f t="shared" si="7"/>
        <v>--</v>
      </c>
      <c r="W27" s="734" t="str">
        <f t="shared" si="8"/>
        <v>--</v>
      </c>
      <c r="X27" s="735" t="str">
        <f t="shared" si="9"/>
        <v>--</v>
      </c>
      <c r="Y27" s="736" t="str">
        <f t="shared" si="10"/>
        <v>--</v>
      </c>
      <c r="Z27" s="737" t="str">
        <f t="shared" si="11"/>
        <v>--</v>
      </c>
      <c r="AA27" s="738" t="str">
        <f t="shared" si="12"/>
        <v>--</v>
      </c>
      <c r="AB27" s="739">
        <f t="shared" si="13"/>
      </c>
      <c r="AC27" s="740">
        <f t="shared" si="14"/>
        <v>0</v>
      </c>
      <c r="AD27" s="741">
        <f t="shared" si="17"/>
      </c>
      <c r="AE27" s="621"/>
    </row>
    <row r="28" spans="1:32" s="603" customFormat="1" ht="16.5" customHeight="1">
      <c r="A28" s="602"/>
      <c r="B28" s="618"/>
      <c r="C28" s="702"/>
      <c r="D28" s="702"/>
      <c r="E28" s="718"/>
      <c r="F28" s="719"/>
      <c r="G28" s="720"/>
      <c r="H28" s="721"/>
      <c r="I28" s="744"/>
      <c r="J28" s="723">
        <f t="shared" si="15"/>
        <v>0</v>
      </c>
      <c r="K28" s="742"/>
      <c r="L28" s="742"/>
      <c r="M28" s="725">
        <f t="shared" si="0"/>
      </c>
      <c r="N28" s="726">
        <f t="shared" si="1"/>
      </c>
      <c r="O28" s="743"/>
      <c r="P28" s="728">
        <f t="shared" si="2"/>
      </c>
      <c r="Q28" s="729">
        <f t="shared" si="3"/>
      </c>
      <c r="R28" s="730">
        <f t="shared" si="16"/>
      </c>
      <c r="S28" s="707">
        <f t="shared" si="4"/>
        <v>20</v>
      </c>
      <c r="T28" s="731" t="str">
        <f t="shared" si="5"/>
        <v>--</v>
      </c>
      <c r="U28" s="732" t="str">
        <f t="shared" si="6"/>
        <v>--</v>
      </c>
      <c r="V28" s="733" t="str">
        <f t="shared" si="7"/>
        <v>--</v>
      </c>
      <c r="W28" s="734" t="str">
        <f t="shared" si="8"/>
        <v>--</v>
      </c>
      <c r="X28" s="735" t="str">
        <f t="shared" si="9"/>
        <v>--</v>
      </c>
      <c r="Y28" s="736" t="str">
        <f t="shared" si="10"/>
        <v>--</v>
      </c>
      <c r="Z28" s="737" t="str">
        <f t="shared" si="11"/>
        <v>--</v>
      </c>
      <c r="AA28" s="738" t="str">
        <f t="shared" si="12"/>
        <v>--</v>
      </c>
      <c r="AB28" s="739">
        <f t="shared" si="13"/>
      </c>
      <c r="AC28" s="740">
        <f t="shared" si="14"/>
        <v>0</v>
      </c>
      <c r="AD28" s="741">
        <f t="shared" si="17"/>
      </c>
      <c r="AE28" s="621"/>
      <c r="AF28" s="619"/>
    </row>
    <row r="29" spans="1:31" s="603" customFormat="1" ht="16.5" customHeight="1">
      <c r="A29" s="602"/>
      <c r="B29" s="618"/>
      <c r="C29" s="702"/>
      <c r="D29" s="702"/>
      <c r="E29" s="702"/>
      <c r="F29" s="719"/>
      <c r="G29" s="720"/>
      <c r="H29" s="721"/>
      <c r="I29" s="744"/>
      <c r="J29" s="723">
        <f t="shared" si="15"/>
        <v>0</v>
      </c>
      <c r="K29" s="742"/>
      <c r="L29" s="742"/>
      <c r="M29" s="725">
        <f t="shared" si="0"/>
      </c>
      <c r="N29" s="726">
        <f t="shared" si="1"/>
      </c>
      <c r="O29" s="743"/>
      <c r="P29" s="728">
        <f t="shared" si="2"/>
      </c>
      <c r="Q29" s="729">
        <f t="shared" si="3"/>
      </c>
      <c r="R29" s="730">
        <f t="shared" si="16"/>
      </c>
      <c r="S29" s="707">
        <f t="shared" si="4"/>
        <v>20</v>
      </c>
      <c r="T29" s="731" t="str">
        <f t="shared" si="5"/>
        <v>--</v>
      </c>
      <c r="U29" s="732" t="str">
        <f t="shared" si="6"/>
        <v>--</v>
      </c>
      <c r="V29" s="733" t="str">
        <f t="shared" si="7"/>
        <v>--</v>
      </c>
      <c r="W29" s="734" t="str">
        <f t="shared" si="8"/>
        <v>--</v>
      </c>
      <c r="X29" s="735" t="str">
        <f t="shared" si="9"/>
        <v>--</v>
      </c>
      <c r="Y29" s="736" t="str">
        <f t="shared" si="10"/>
        <v>--</v>
      </c>
      <c r="Z29" s="737" t="str">
        <f t="shared" si="11"/>
        <v>--</v>
      </c>
      <c r="AA29" s="738" t="str">
        <f t="shared" si="12"/>
        <v>--</v>
      </c>
      <c r="AB29" s="739">
        <f t="shared" si="13"/>
      </c>
      <c r="AC29" s="740">
        <f t="shared" si="14"/>
        <v>0</v>
      </c>
      <c r="AD29" s="741">
        <f t="shared" si="17"/>
      </c>
      <c r="AE29" s="621"/>
    </row>
    <row r="30" spans="1:31" s="603" customFormat="1" ht="16.5" customHeight="1">
      <c r="A30" s="602"/>
      <c r="B30" s="618"/>
      <c r="C30" s="702"/>
      <c r="D30" s="702"/>
      <c r="E30" s="718"/>
      <c r="F30" s="719"/>
      <c r="G30" s="720"/>
      <c r="H30" s="721"/>
      <c r="I30" s="744"/>
      <c r="J30" s="723">
        <f t="shared" si="15"/>
        <v>0</v>
      </c>
      <c r="K30" s="742"/>
      <c r="L30" s="742"/>
      <c r="M30" s="725">
        <f t="shared" si="0"/>
      </c>
      <c r="N30" s="726">
        <f t="shared" si="1"/>
      </c>
      <c r="O30" s="743"/>
      <c r="P30" s="728">
        <f t="shared" si="2"/>
      </c>
      <c r="Q30" s="729">
        <f t="shared" si="3"/>
      </c>
      <c r="R30" s="730">
        <f t="shared" si="16"/>
      </c>
      <c r="S30" s="707">
        <f t="shared" si="4"/>
        <v>20</v>
      </c>
      <c r="T30" s="731" t="str">
        <f t="shared" si="5"/>
        <v>--</v>
      </c>
      <c r="U30" s="732" t="str">
        <f t="shared" si="6"/>
        <v>--</v>
      </c>
      <c r="V30" s="733" t="str">
        <f t="shared" si="7"/>
        <v>--</v>
      </c>
      <c r="W30" s="734" t="str">
        <f t="shared" si="8"/>
        <v>--</v>
      </c>
      <c r="X30" s="735" t="str">
        <f t="shared" si="9"/>
        <v>--</v>
      </c>
      <c r="Y30" s="736" t="str">
        <f t="shared" si="10"/>
        <v>--</v>
      </c>
      <c r="Z30" s="737" t="str">
        <f t="shared" si="11"/>
        <v>--</v>
      </c>
      <c r="AA30" s="738" t="str">
        <f t="shared" si="12"/>
        <v>--</v>
      </c>
      <c r="AB30" s="739">
        <f t="shared" si="13"/>
      </c>
      <c r="AC30" s="740">
        <f t="shared" si="14"/>
        <v>0</v>
      </c>
      <c r="AD30" s="741">
        <f t="shared" si="17"/>
      </c>
      <c r="AE30" s="621"/>
    </row>
    <row r="31" spans="1:31" s="603" customFormat="1" ht="16.5" customHeight="1">
      <c r="A31" s="602"/>
      <c r="B31" s="618"/>
      <c r="C31" s="702"/>
      <c r="D31" s="702"/>
      <c r="E31" s="702"/>
      <c r="F31" s="719"/>
      <c r="G31" s="720"/>
      <c r="H31" s="721"/>
      <c r="I31" s="744"/>
      <c r="J31" s="723">
        <f t="shared" si="15"/>
        <v>0</v>
      </c>
      <c r="K31" s="742"/>
      <c r="L31" s="742"/>
      <c r="M31" s="725">
        <f t="shared" si="0"/>
      </c>
      <c r="N31" s="726">
        <f t="shared" si="1"/>
      </c>
      <c r="O31" s="743"/>
      <c r="P31" s="728">
        <f t="shared" si="2"/>
      </c>
      <c r="Q31" s="729">
        <f t="shared" si="3"/>
      </c>
      <c r="R31" s="730">
        <f t="shared" si="16"/>
      </c>
      <c r="S31" s="707">
        <f t="shared" si="4"/>
        <v>20</v>
      </c>
      <c r="T31" s="731" t="str">
        <f t="shared" si="5"/>
        <v>--</v>
      </c>
      <c r="U31" s="732" t="str">
        <f t="shared" si="6"/>
        <v>--</v>
      </c>
      <c r="V31" s="733" t="str">
        <f t="shared" si="7"/>
        <v>--</v>
      </c>
      <c r="W31" s="734" t="str">
        <f t="shared" si="8"/>
        <v>--</v>
      </c>
      <c r="X31" s="735" t="str">
        <f t="shared" si="9"/>
        <v>--</v>
      </c>
      <c r="Y31" s="736" t="str">
        <f t="shared" si="10"/>
        <v>--</v>
      </c>
      <c r="Z31" s="737" t="str">
        <f t="shared" si="11"/>
        <v>--</v>
      </c>
      <c r="AA31" s="738" t="str">
        <f t="shared" si="12"/>
        <v>--</v>
      </c>
      <c r="AB31" s="739">
        <f t="shared" si="13"/>
      </c>
      <c r="AC31" s="740">
        <f t="shared" si="14"/>
        <v>0</v>
      </c>
      <c r="AD31" s="741">
        <f t="shared" si="17"/>
      </c>
      <c r="AE31" s="621"/>
    </row>
    <row r="32" spans="1:31" s="603" customFormat="1" ht="16.5" customHeight="1">
      <c r="A32" s="602"/>
      <c r="B32" s="618"/>
      <c r="C32" s="702"/>
      <c r="D32" s="702"/>
      <c r="E32" s="718"/>
      <c r="F32" s="719"/>
      <c r="G32" s="745"/>
      <c r="H32" s="721"/>
      <c r="I32" s="744"/>
      <c r="J32" s="723">
        <f t="shared" si="15"/>
        <v>0</v>
      </c>
      <c r="K32" s="742"/>
      <c r="L32" s="742"/>
      <c r="M32" s="725">
        <f t="shared" si="0"/>
      </c>
      <c r="N32" s="726">
        <f t="shared" si="1"/>
      </c>
      <c r="O32" s="743"/>
      <c r="P32" s="728">
        <f t="shared" si="2"/>
      </c>
      <c r="Q32" s="729">
        <f t="shared" si="3"/>
      </c>
      <c r="R32" s="730">
        <f t="shared" si="16"/>
      </c>
      <c r="S32" s="707">
        <f t="shared" si="4"/>
        <v>20</v>
      </c>
      <c r="T32" s="731" t="str">
        <f t="shared" si="5"/>
        <v>--</v>
      </c>
      <c r="U32" s="732" t="str">
        <f t="shared" si="6"/>
        <v>--</v>
      </c>
      <c r="V32" s="733" t="str">
        <f t="shared" si="7"/>
        <v>--</v>
      </c>
      <c r="W32" s="734" t="str">
        <f t="shared" si="8"/>
        <v>--</v>
      </c>
      <c r="X32" s="735" t="str">
        <f t="shared" si="9"/>
        <v>--</v>
      </c>
      <c r="Y32" s="736" t="str">
        <f t="shared" si="10"/>
        <v>--</v>
      </c>
      <c r="Z32" s="737" t="str">
        <f t="shared" si="11"/>
        <v>--</v>
      </c>
      <c r="AA32" s="738" t="str">
        <f t="shared" si="12"/>
        <v>--</v>
      </c>
      <c r="AB32" s="739">
        <f t="shared" si="13"/>
      </c>
      <c r="AC32" s="740">
        <f t="shared" si="14"/>
        <v>0</v>
      </c>
      <c r="AD32" s="741">
        <f t="shared" si="17"/>
      </c>
      <c r="AE32" s="621"/>
    </row>
    <row r="33" spans="1:31" s="603" customFormat="1" ht="16.5" customHeight="1">
      <c r="A33" s="602"/>
      <c r="B33" s="618"/>
      <c r="C33" s="702"/>
      <c r="D33" s="702"/>
      <c r="E33" s="702"/>
      <c r="F33" s="719"/>
      <c r="G33" s="745"/>
      <c r="H33" s="721"/>
      <c r="I33" s="744"/>
      <c r="J33" s="723">
        <f t="shared" si="15"/>
        <v>0</v>
      </c>
      <c r="K33" s="742"/>
      <c r="L33" s="742"/>
      <c r="M33" s="725">
        <f t="shared" si="0"/>
      </c>
      <c r="N33" s="726">
        <f t="shared" si="1"/>
      </c>
      <c r="O33" s="743"/>
      <c r="P33" s="728">
        <f t="shared" si="2"/>
      </c>
      <c r="Q33" s="729">
        <f t="shared" si="3"/>
      </c>
      <c r="R33" s="730">
        <f t="shared" si="16"/>
      </c>
      <c r="S33" s="707">
        <f t="shared" si="4"/>
        <v>20</v>
      </c>
      <c r="T33" s="731" t="str">
        <f t="shared" si="5"/>
        <v>--</v>
      </c>
      <c r="U33" s="732" t="str">
        <f t="shared" si="6"/>
        <v>--</v>
      </c>
      <c r="V33" s="733" t="str">
        <f t="shared" si="7"/>
        <v>--</v>
      </c>
      <c r="W33" s="734" t="str">
        <f t="shared" si="8"/>
        <v>--</v>
      </c>
      <c r="X33" s="735" t="str">
        <f t="shared" si="9"/>
        <v>--</v>
      </c>
      <c r="Y33" s="736" t="str">
        <f t="shared" si="10"/>
        <v>--</v>
      </c>
      <c r="Z33" s="737" t="str">
        <f t="shared" si="11"/>
        <v>--</v>
      </c>
      <c r="AA33" s="738" t="str">
        <f t="shared" si="12"/>
        <v>--</v>
      </c>
      <c r="AB33" s="739">
        <f t="shared" si="13"/>
      </c>
      <c r="AC33" s="740">
        <f t="shared" si="14"/>
        <v>0</v>
      </c>
      <c r="AD33" s="741">
        <f t="shared" si="17"/>
      </c>
      <c r="AE33" s="621"/>
    </row>
    <row r="34" spans="1:31" s="603" customFormat="1" ht="16.5" customHeight="1">
      <c r="A34" s="602"/>
      <c r="B34" s="618"/>
      <c r="C34" s="702"/>
      <c r="D34" s="702"/>
      <c r="E34" s="718"/>
      <c r="F34" s="719"/>
      <c r="G34" s="745"/>
      <c r="H34" s="721"/>
      <c r="I34" s="744"/>
      <c r="J34" s="723">
        <f t="shared" si="15"/>
        <v>0</v>
      </c>
      <c r="K34" s="742"/>
      <c r="L34" s="742"/>
      <c r="M34" s="725">
        <f t="shared" si="0"/>
      </c>
      <c r="N34" s="726">
        <f t="shared" si="1"/>
      </c>
      <c r="O34" s="743"/>
      <c r="P34" s="728">
        <f t="shared" si="2"/>
      </c>
      <c r="Q34" s="729">
        <f t="shared" si="3"/>
      </c>
      <c r="R34" s="730">
        <f t="shared" si="16"/>
      </c>
      <c r="S34" s="707">
        <f t="shared" si="4"/>
        <v>20</v>
      </c>
      <c r="T34" s="731" t="str">
        <f t="shared" si="5"/>
        <v>--</v>
      </c>
      <c r="U34" s="732" t="str">
        <f t="shared" si="6"/>
        <v>--</v>
      </c>
      <c r="V34" s="733" t="str">
        <f t="shared" si="7"/>
        <v>--</v>
      </c>
      <c r="W34" s="734" t="str">
        <f t="shared" si="8"/>
        <v>--</v>
      </c>
      <c r="X34" s="735" t="str">
        <f t="shared" si="9"/>
        <v>--</v>
      </c>
      <c r="Y34" s="736" t="str">
        <f t="shared" si="10"/>
        <v>--</v>
      </c>
      <c r="Z34" s="737" t="str">
        <f t="shared" si="11"/>
        <v>--</v>
      </c>
      <c r="AA34" s="738" t="str">
        <f t="shared" si="12"/>
        <v>--</v>
      </c>
      <c r="AB34" s="739">
        <f t="shared" si="13"/>
      </c>
      <c r="AC34" s="740">
        <f t="shared" si="14"/>
        <v>0</v>
      </c>
      <c r="AD34" s="741">
        <f t="shared" si="17"/>
      </c>
      <c r="AE34" s="621"/>
    </row>
    <row r="35" spans="1:31" s="603" customFormat="1" ht="16.5" customHeight="1">
      <c r="A35" s="602"/>
      <c r="B35" s="618"/>
      <c r="C35" s="702"/>
      <c r="D35" s="702"/>
      <c r="E35" s="702"/>
      <c r="F35" s="719"/>
      <c r="G35" s="745"/>
      <c r="H35" s="721"/>
      <c r="I35" s="744"/>
      <c r="J35" s="723">
        <f t="shared" si="15"/>
        <v>0</v>
      </c>
      <c r="K35" s="742"/>
      <c r="L35" s="742"/>
      <c r="M35" s="725">
        <f t="shared" si="0"/>
      </c>
      <c r="N35" s="726">
        <f t="shared" si="1"/>
      </c>
      <c r="O35" s="743"/>
      <c r="P35" s="728">
        <f t="shared" si="2"/>
      </c>
      <c r="Q35" s="729">
        <f t="shared" si="3"/>
      </c>
      <c r="R35" s="730">
        <f t="shared" si="16"/>
      </c>
      <c r="S35" s="707">
        <f t="shared" si="4"/>
        <v>20</v>
      </c>
      <c r="T35" s="731" t="str">
        <f t="shared" si="5"/>
        <v>--</v>
      </c>
      <c r="U35" s="732" t="str">
        <f t="shared" si="6"/>
        <v>--</v>
      </c>
      <c r="V35" s="733" t="str">
        <f t="shared" si="7"/>
        <v>--</v>
      </c>
      <c r="W35" s="734" t="str">
        <f t="shared" si="8"/>
        <v>--</v>
      </c>
      <c r="X35" s="735" t="str">
        <f t="shared" si="9"/>
        <v>--</v>
      </c>
      <c r="Y35" s="736" t="str">
        <f t="shared" si="10"/>
        <v>--</v>
      </c>
      <c r="Z35" s="737" t="str">
        <f t="shared" si="11"/>
        <v>--</v>
      </c>
      <c r="AA35" s="738" t="str">
        <f t="shared" si="12"/>
        <v>--</v>
      </c>
      <c r="AB35" s="739">
        <f t="shared" si="13"/>
      </c>
      <c r="AC35" s="740">
        <f t="shared" si="14"/>
        <v>0</v>
      </c>
      <c r="AD35" s="741">
        <f t="shared" si="17"/>
      </c>
      <c r="AE35" s="621"/>
    </row>
    <row r="36" spans="1:31" s="603" customFormat="1" ht="16.5" customHeight="1">
      <c r="A36" s="602"/>
      <c r="B36" s="618"/>
      <c r="C36" s="702"/>
      <c r="D36" s="702"/>
      <c r="E36" s="718"/>
      <c r="F36" s="719"/>
      <c r="G36" s="745"/>
      <c r="H36" s="721"/>
      <c r="I36" s="744"/>
      <c r="J36" s="723">
        <f t="shared" si="15"/>
        <v>0</v>
      </c>
      <c r="K36" s="742"/>
      <c r="L36" s="742"/>
      <c r="M36" s="725">
        <f t="shared" si="0"/>
      </c>
      <c r="N36" s="726">
        <f t="shared" si="1"/>
      </c>
      <c r="O36" s="743"/>
      <c r="P36" s="728">
        <f t="shared" si="2"/>
      </c>
      <c r="Q36" s="729">
        <f t="shared" si="3"/>
      </c>
      <c r="R36" s="730">
        <f t="shared" si="16"/>
      </c>
      <c r="S36" s="707">
        <f t="shared" si="4"/>
        <v>20</v>
      </c>
      <c r="T36" s="731" t="str">
        <f t="shared" si="5"/>
        <v>--</v>
      </c>
      <c r="U36" s="732" t="str">
        <f t="shared" si="6"/>
        <v>--</v>
      </c>
      <c r="V36" s="733" t="str">
        <f t="shared" si="7"/>
        <v>--</v>
      </c>
      <c r="W36" s="734" t="str">
        <f t="shared" si="8"/>
        <v>--</v>
      </c>
      <c r="X36" s="735" t="str">
        <f t="shared" si="9"/>
        <v>--</v>
      </c>
      <c r="Y36" s="736" t="str">
        <f t="shared" si="10"/>
        <v>--</v>
      </c>
      <c r="Z36" s="737" t="str">
        <f t="shared" si="11"/>
        <v>--</v>
      </c>
      <c r="AA36" s="738" t="str">
        <f t="shared" si="12"/>
        <v>--</v>
      </c>
      <c r="AB36" s="739">
        <f t="shared" si="13"/>
      </c>
      <c r="AC36" s="740">
        <f t="shared" si="14"/>
        <v>0</v>
      </c>
      <c r="AD36" s="741">
        <f t="shared" si="17"/>
      </c>
      <c r="AE36" s="621"/>
    </row>
    <row r="37" spans="1:31" s="603" customFormat="1" ht="16.5" customHeight="1">
      <c r="A37" s="602"/>
      <c r="B37" s="618"/>
      <c r="C37" s="702"/>
      <c r="D37" s="702"/>
      <c r="E37" s="702"/>
      <c r="F37" s="719"/>
      <c r="G37" s="745"/>
      <c r="H37" s="721"/>
      <c r="I37" s="744"/>
      <c r="J37" s="723">
        <f t="shared" si="15"/>
        <v>0</v>
      </c>
      <c r="K37" s="742"/>
      <c r="L37" s="742"/>
      <c r="M37" s="725">
        <f t="shared" si="0"/>
      </c>
      <c r="N37" s="726">
        <f t="shared" si="1"/>
      </c>
      <c r="O37" s="743"/>
      <c r="P37" s="728">
        <f t="shared" si="2"/>
      </c>
      <c r="Q37" s="729">
        <f t="shared" si="3"/>
      </c>
      <c r="R37" s="730">
        <f t="shared" si="16"/>
      </c>
      <c r="S37" s="707">
        <f t="shared" si="4"/>
        <v>20</v>
      </c>
      <c r="T37" s="731" t="str">
        <f t="shared" si="5"/>
        <v>--</v>
      </c>
      <c r="U37" s="732" t="str">
        <f t="shared" si="6"/>
        <v>--</v>
      </c>
      <c r="V37" s="733" t="str">
        <f t="shared" si="7"/>
        <v>--</v>
      </c>
      <c r="W37" s="734" t="str">
        <f t="shared" si="8"/>
        <v>--</v>
      </c>
      <c r="X37" s="735" t="str">
        <f t="shared" si="9"/>
        <v>--</v>
      </c>
      <c r="Y37" s="736" t="str">
        <f t="shared" si="10"/>
        <v>--</v>
      </c>
      <c r="Z37" s="737" t="str">
        <f t="shared" si="11"/>
        <v>--</v>
      </c>
      <c r="AA37" s="738" t="str">
        <f t="shared" si="12"/>
        <v>--</v>
      </c>
      <c r="AB37" s="739">
        <f t="shared" si="13"/>
      </c>
      <c r="AC37" s="740">
        <f t="shared" si="14"/>
        <v>0</v>
      </c>
      <c r="AD37" s="741">
        <f t="shared" si="17"/>
      </c>
      <c r="AE37" s="621"/>
    </row>
    <row r="38" spans="1:31" s="603" customFormat="1" ht="16.5" customHeight="1">
      <c r="A38" s="602"/>
      <c r="B38" s="618"/>
      <c r="C38" s="702"/>
      <c r="D38" s="702"/>
      <c r="E38" s="718"/>
      <c r="F38" s="719"/>
      <c r="G38" s="745"/>
      <c r="H38" s="721"/>
      <c r="I38" s="744"/>
      <c r="J38" s="723">
        <f t="shared" si="15"/>
        <v>0</v>
      </c>
      <c r="K38" s="742"/>
      <c r="L38" s="742"/>
      <c r="M38" s="725">
        <f t="shared" si="0"/>
      </c>
      <c r="N38" s="726">
        <f t="shared" si="1"/>
      </c>
      <c r="O38" s="743"/>
      <c r="P38" s="728">
        <f t="shared" si="2"/>
      </c>
      <c r="Q38" s="729">
        <f t="shared" si="3"/>
      </c>
      <c r="R38" s="730">
        <f t="shared" si="16"/>
      </c>
      <c r="S38" s="707">
        <f t="shared" si="4"/>
        <v>20</v>
      </c>
      <c r="T38" s="731" t="str">
        <f t="shared" si="5"/>
        <v>--</v>
      </c>
      <c r="U38" s="732" t="str">
        <f t="shared" si="6"/>
        <v>--</v>
      </c>
      <c r="V38" s="733" t="str">
        <f t="shared" si="7"/>
        <v>--</v>
      </c>
      <c r="W38" s="734" t="str">
        <f t="shared" si="8"/>
        <v>--</v>
      </c>
      <c r="X38" s="735" t="str">
        <f t="shared" si="9"/>
        <v>--</v>
      </c>
      <c r="Y38" s="736" t="str">
        <f t="shared" si="10"/>
        <v>--</v>
      </c>
      <c r="Z38" s="737" t="str">
        <f t="shared" si="11"/>
        <v>--</v>
      </c>
      <c r="AA38" s="738" t="str">
        <f t="shared" si="12"/>
        <v>--</v>
      </c>
      <c r="AB38" s="739">
        <f t="shared" si="13"/>
      </c>
      <c r="AC38" s="740">
        <f t="shared" si="14"/>
        <v>0</v>
      </c>
      <c r="AD38" s="741">
        <f t="shared" si="17"/>
      </c>
      <c r="AE38" s="621"/>
    </row>
    <row r="39" spans="1:31" s="603" customFormat="1" ht="16.5" customHeight="1">
      <c r="A39" s="602"/>
      <c r="B39" s="618"/>
      <c r="C39" s="702"/>
      <c r="D39" s="702"/>
      <c r="E39" s="702"/>
      <c r="F39" s="719"/>
      <c r="G39" s="745"/>
      <c r="H39" s="721"/>
      <c r="I39" s="744"/>
      <c r="J39" s="723">
        <f t="shared" si="15"/>
        <v>0</v>
      </c>
      <c r="K39" s="742"/>
      <c r="L39" s="742"/>
      <c r="M39" s="725">
        <f t="shared" si="0"/>
      </c>
      <c r="N39" s="726">
        <f t="shared" si="1"/>
      </c>
      <c r="O39" s="743"/>
      <c r="P39" s="728">
        <f t="shared" si="2"/>
      </c>
      <c r="Q39" s="729">
        <f t="shared" si="3"/>
      </c>
      <c r="R39" s="730">
        <f t="shared" si="16"/>
      </c>
      <c r="S39" s="707">
        <f t="shared" si="4"/>
        <v>20</v>
      </c>
      <c r="T39" s="731" t="str">
        <f t="shared" si="5"/>
        <v>--</v>
      </c>
      <c r="U39" s="732" t="str">
        <f t="shared" si="6"/>
        <v>--</v>
      </c>
      <c r="V39" s="733" t="str">
        <f t="shared" si="7"/>
        <v>--</v>
      </c>
      <c r="W39" s="734" t="str">
        <f t="shared" si="8"/>
        <v>--</v>
      </c>
      <c r="X39" s="735" t="str">
        <f t="shared" si="9"/>
        <v>--</v>
      </c>
      <c r="Y39" s="736" t="str">
        <f t="shared" si="10"/>
        <v>--</v>
      </c>
      <c r="Z39" s="737" t="str">
        <f t="shared" si="11"/>
        <v>--</v>
      </c>
      <c r="AA39" s="738" t="str">
        <f t="shared" si="12"/>
        <v>--</v>
      </c>
      <c r="AB39" s="739">
        <f t="shared" si="13"/>
      </c>
      <c r="AC39" s="740">
        <f t="shared" si="14"/>
        <v>0</v>
      </c>
      <c r="AD39" s="741">
        <f t="shared" si="17"/>
      </c>
      <c r="AE39" s="621"/>
    </row>
    <row r="40" spans="1:31" s="603" customFormat="1" ht="16.5" customHeight="1">
      <c r="A40" s="602"/>
      <c r="B40" s="618"/>
      <c r="C40" s="702"/>
      <c r="D40" s="702"/>
      <c r="E40" s="718"/>
      <c r="F40" s="719"/>
      <c r="G40" s="745"/>
      <c r="H40" s="721"/>
      <c r="I40" s="744"/>
      <c r="J40" s="723">
        <f t="shared" si="15"/>
        <v>0</v>
      </c>
      <c r="K40" s="742"/>
      <c r="L40" s="742"/>
      <c r="M40" s="725">
        <f t="shared" si="0"/>
      </c>
      <c r="N40" s="726">
        <f t="shared" si="1"/>
      </c>
      <c r="O40" s="743"/>
      <c r="P40" s="728">
        <f t="shared" si="2"/>
      </c>
      <c r="Q40" s="729">
        <f t="shared" si="3"/>
      </c>
      <c r="R40" s="730">
        <f t="shared" si="16"/>
      </c>
      <c r="S40" s="707">
        <f t="shared" si="4"/>
        <v>20</v>
      </c>
      <c r="T40" s="731" t="str">
        <f t="shared" si="5"/>
        <v>--</v>
      </c>
      <c r="U40" s="732" t="str">
        <f t="shared" si="6"/>
        <v>--</v>
      </c>
      <c r="V40" s="733" t="str">
        <f t="shared" si="7"/>
        <v>--</v>
      </c>
      <c r="W40" s="734" t="str">
        <f t="shared" si="8"/>
        <v>--</v>
      </c>
      <c r="X40" s="735" t="str">
        <f t="shared" si="9"/>
        <v>--</v>
      </c>
      <c r="Y40" s="736" t="str">
        <f t="shared" si="10"/>
        <v>--</v>
      </c>
      <c r="Z40" s="737" t="str">
        <f t="shared" si="11"/>
        <v>--</v>
      </c>
      <c r="AA40" s="738" t="str">
        <f t="shared" si="12"/>
        <v>--</v>
      </c>
      <c r="AB40" s="739">
        <f t="shared" si="13"/>
      </c>
      <c r="AC40" s="740">
        <f t="shared" si="14"/>
        <v>0</v>
      </c>
      <c r="AD40" s="741">
        <f t="shared" si="17"/>
      </c>
      <c r="AE40" s="621"/>
    </row>
    <row r="41" spans="1:31" s="603" customFormat="1" ht="16.5" customHeight="1">
      <c r="A41" s="602"/>
      <c r="B41" s="618"/>
      <c r="C41" s="702"/>
      <c r="D41" s="702"/>
      <c r="E41" s="702"/>
      <c r="F41" s="719"/>
      <c r="G41" s="745"/>
      <c r="H41" s="721"/>
      <c r="I41" s="744"/>
      <c r="J41" s="723">
        <f t="shared" si="15"/>
        <v>0</v>
      </c>
      <c r="K41" s="742"/>
      <c r="L41" s="742"/>
      <c r="M41" s="725">
        <f t="shared" si="0"/>
      </c>
      <c r="N41" s="726">
        <f t="shared" si="1"/>
      </c>
      <c r="O41" s="743"/>
      <c r="P41" s="728">
        <f t="shared" si="2"/>
      </c>
      <c r="Q41" s="729">
        <f t="shared" si="3"/>
      </c>
      <c r="R41" s="730">
        <f t="shared" si="16"/>
      </c>
      <c r="S41" s="707">
        <f t="shared" si="4"/>
        <v>20</v>
      </c>
      <c r="T41" s="731" t="str">
        <f t="shared" si="5"/>
        <v>--</v>
      </c>
      <c r="U41" s="732" t="str">
        <f t="shared" si="6"/>
        <v>--</v>
      </c>
      <c r="V41" s="733" t="str">
        <f t="shared" si="7"/>
        <v>--</v>
      </c>
      <c r="W41" s="734" t="str">
        <f t="shared" si="8"/>
        <v>--</v>
      </c>
      <c r="X41" s="735" t="str">
        <f t="shared" si="9"/>
        <v>--</v>
      </c>
      <c r="Y41" s="736" t="str">
        <f t="shared" si="10"/>
        <v>--</v>
      </c>
      <c r="Z41" s="737" t="str">
        <f t="shared" si="11"/>
        <v>--</v>
      </c>
      <c r="AA41" s="738" t="str">
        <f t="shared" si="12"/>
        <v>--</v>
      </c>
      <c r="AB41" s="739">
        <f t="shared" si="13"/>
      </c>
      <c r="AC41" s="740">
        <f t="shared" si="14"/>
        <v>0</v>
      </c>
      <c r="AD41" s="741">
        <f t="shared" si="17"/>
      </c>
      <c r="AE41" s="621"/>
    </row>
    <row r="42" spans="1:31" s="603" customFormat="1" ht="16.5" customHeight="1" thickBot="1">
      <c r="A42" s="602"/>
      <c r="B42" s="618"/>
      <c r="C42" s="746"/>
      <c r="D42" s="746"/>
      <c r="E42" s="746"/>
      <c r="F42" s="746"/>
      <c r="G42" s="746"/>
      <c r="H42" s="746"/>
      <c r="I42" s="747"/>
      <c r="J42" s="748"/>
      <c r="K42" s="749"/>
      <c r="L42" s="750"/>
      <c r="M42" s="751"/>
      <c r="N42" s="752"/>
      <c r="O42" s="753"/>
      <c r="P42" s="754"/>
      <c r="Q42" s="755"/>
      <c r="R42" s="755"/>
      <c r="S42" s="756"/>
      <c r="T42" s="757"/>
      <c r="U42" s="758"/>
      <c r="V42" s="759"/>
      <c r="W42" s="760"/>
      <c r="X42" s="761"/>
      <c r="Y42" s="762"/>
      <c r="Z42" s="763"/>
      <c r="AA42" s="764"/>
      <c r="AB42" s="765"/>
      <c r="AC42" s="766"/>
      <c r="AD42" s="767"/>
      <c r="AE42" s="621"/>
    </row>
    <row r="43" spans="1:31" s="603" customFormat="1" ht="16.5" customHeight="1" thickBot="1" thickTop="1">
      <c r="A43" s="602"/>
      <c r="B43" s="618"/>
      <c r="C43" s="768" t="s">
        <v>359</v>
      </c>
      <c r="D43" s="769" t="s">
        <v>365</v>
      </c>
      <c r="E43" s="770"/>
      <c r="F43" s="771"/>
      <c r="G43" s="619"/>
      <c r="H43" s="619"/>
      <c r="I43" s="619"/>
      <c r="J43" s="619"/>
      <c r="K43" s="619"/>
      <c r="L43" s="660"/>
      <c r="M43" s="619"/>
      <c r="N43" s="619"/>
      <c r="O43" s="619"/>
      <c r="P43" s="619"/>
      <c r="Q43" s="619"/>
      <c r="R43" s="619"/>
      <c r="S43" s="772"/>
      <c r="T43" s="773">
        <f aca="true" t="shared" si="18" ref="T43:AA43">SUM(T20:T42)</f>
        <v>3222.552</v>
      </c>
      <c r="U43" s="774">
        <f t="shared" si="18"/>
        <v>0</v>
      </c>
      <c r="V43" s="775">
        <f t="shared" si="18"/>
        <v>0</v>
      </c>
      <c r="W43" s="776">
        <f t="shared" si="18"/>
        <v>0</v>
      </c>
      <c r="X43" s="777">
        <f t="shared" si="18"/>
        <v>0</v>
      </c>
      <c r="Y43" s="778">
        <f t="shared" si="18"/>
        <v>0</v>
      </c>
      <c r="Z43" s="779">
        <f t="shared" si="18"/>
        <v>0</v>
      </c>
      <c r="AA43" s="780">
        <f t="shared" si="18"/>
        <v>0</v>
      </c>
      <c r="AB43" s="602"/>
      <c r="AC43" s="781">
        <f>ROUND(SUM(AC20:AC42),2)</f>
        <v>3222.55</v>
      </c>
      <c r="AD43" s="782">
        <f>ROUND(SUM(AD20:AD42),2)</f>
        <v>3222.55</v>
      </c>
      <c r="AE43" s="621"/>
    </row>
    <row r="44" spans="1:31" s="603" customFormat="1" ht="16.5" customHeight="1" thickBot="1" thickTop="1">
      <c r="A44" s="602"/>
      <c r="B44" s="783"/>
      <c r="C44" s="784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784"/>
      <c r="Z44" s="784"/>
      <c r="AA44" s="784"/>
      <c r="AB44" s="784"/>
      <c r="AC44" s="784"/>
      <c r="AD44" s="784"/>
      <c r="AE44" s="785"/>
    </row>
    <row r="45" spans="1:32" ht="16.5" customHeight="1" thickTop="1">
      <c r="A45" s="786"/>
      <c r="F45" s="787"/>
      <c r="G45" s="787"/>
      <c r="H45" s="787"/>
      <c r="I45" s="787"/>
      <c r="J45" s="787"/>
      <c r="K45" s="787"/>
      <c r="L45" s="787"/>
      <c r="M45" s="787"/>
      <c r="N45" s="787"/>
      <c r="O45" s="787"/>
      <c r="P45" s="787"/>
      <c r="Q45" s="787"/>
      <c r="R45" s="787"/>
      <c r="S45" s="787"/>
      <c r="T45" s="787"/>
      <c r="U45" s="787"/>
      <c r="V45" s="787"/>
      <c r="W45" s="787"/>
      <c r="X45" s="787"/>
      <c r="Y45" s="787"/>
      <c r="Z45" s="787"/>
      <c r="AA45" s="787"/>
      <c r="AB45" s="787"/>
      <c r="AC45" s="787"/>
      <c r="AD45" s="787"/>
      <c r="AE45" s="787"/>
      <c r="AF45" s="787"/>
    </row>
    <row r="46" spans="1:32" ht="16.5" customHeight="1">
      <c r="A46" s="786"/>
      <c r="F46" s="787"/>
      <c r="G46" s="787"/>
      <c r="H46" s="787"/>
      <c r="I46" s="787"/>
      <c r="J46" s="787"/>
      <c r="K46" s="787"/>
      <c r="L46" s="787"/>
      <c r="M46" s="787"/>
      <c r="N46" s="787"/>
      <c r="O46" s="787"/>
      <c r="P46" s="787"/>
      <c r="Q46" s="787"/>
      <c r="R46" s="787"/>
      <c r="S46" s="787"/>
      <c r="T46" s="787"/>
      <c r="U46" s="787"/>
      <c r="V46" s="787"/>
      <c r="W46" s="787"/>
      <c r="X46" s="787"/>
      <c r="Y46" s="787"/>
      <c r="Z46" s="787"/>
      <c r="AA46" s="787"/>
      <c r="AB46" s="787"/>
      <c r="AC46" s="787"/>
      <c r="AD46" s="787"/>
      <c r="AE46" s="787"/>
      <c r="AF46" s="787"/>
    </row>
    <row r="47" spans="1:32" ht="16.5" customHeight="1">
      <c r="A47" s="786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7"/>
      <c r="Z47" s="787"/>
      <c r="AA47" s="787"/>
      <c r="AB47" s="787"/>
      <c r="AC47" s="787"/>
      <c r="AD47" s="787"/>
      <c r="AE47" s="787"/>
      <c r="AF47" s="787"/>
    </row>
    <row r="48" spans="1:32" ht="16.5" customHeight="1">
      <c r="A48" s="786"/>
      <c r="F48" s="787"/>
      <c r="G48" s="787"/>
      <c r="H48" s="787"/>
      <c r="I48" s="787"/>
      <c r="J48" s="787"/>
      <c r="K48" s="787"/>
      <c r="L48" s="787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7"/>
      <c r="X48" s="787"/>
      <c r="Y48" s="787"/>
      <c r="Z48" s="787"/>
      <c r="AA48" s="787"/>
      <c r="AB48" s="787"/>
      <c r="AC48" s="787"/>
      <c r="AD48" s="787"/>
      <c r="AE48" s="787"/>
      <c r="AF48" s="787"/>
    </row>
    <row r="49" spans="6:32" ht="16.5" customHeight="1">
      <c r="F49" s="787"/>
      <c r="G49" s="787"/>
      <c r="H49" s="787"/>
      <c r="I49" s="787"/>
      <c r="J49" s="787"/>
      <c r="K49" s="787"/>
      <c r="L49" s="787"/>
      <c r="M49" s="787"/>
      <c r="N49" s="787"/>
      <c r="O49" s="787"/>
      <c r="P49" s="787"/>
      <c r="Q49" s="787"/>
      <c r="R49" s="787"/>
      <c r="S49" s="787"/>
      <c r="T49" s="787"/>
      <c r="U49" s="787"/>
      <c r="V49" s="787"/>
      <c r="W49" s="787"/>
      <c r="X49" s="787"/>
      <c r="Y49" s="787"/>
      <c r="Z49" s="787"/>
      <c r="AA49" s="787"/>
      <c r="AB49" s="787"/>
      <c r="AC49" s="787"/>
      <c r="AD49" s="787"/>
      <c r="AE49" s="787"/>
      <c r="AF49" s="787"/>
    </row>
    <row r="50" spans="6:32" ht="16.5" customHeight="1">
      <c r="F50" s="787"/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787"/>
      <c r="R50" s="787"/>
      <c r="S50" s="787"/>
      <c r="T50" s="787"/>
      <c r="U50" s="787"/>
      <c r="V50" s="787"/>
      <c r="W50" s="787"/>
      <c r="X50" s="787"/>
      <c r="Y50" s="787"/>
      <c r="Z50" s="787"/>
      <c r="AA50" s="787"/>
      <c r="AB50" s="787"/>
      <c r="AC50" s="787"/>
      <c r="AD50" s="787"/>
      <c r="AE50" s="787"/>
      <c r="AF50" s="787"/>
    </row>
    <row r="51" spans="6:32" ht="16.5" customHeight="1">
      <c r="F51" s="787"/>
      <c r="G51" s="787"/>
      <c r="H51" s="787"/>
      <c r="I51" s="787"/>
      <c r="J51" s="787"/>
      <c r="K51" s="787"/>
      <c r="L51" s="787"/>
      <c r="M51" s="787"/>
      <c r="N51" s="787"/>
      <c r="O51" s="787"/>
      <c r="P51" s="787"/>
      <c r="Q51" s="787"/>
      <c r="R51" s="787"/>
      <c r="S51" s="787"/>
      <c r="T51" s="787"/>
      <c r="U51" s="787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</row>
    <row r="52" spans="6:32" ht="16.5" customHeight="1"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7"/>
      <c r="AF52" s="787"/>
    </row>
    <row r="53" spans="6:32" ht="16.5" customHeight="1">
      <c r="F53" s="787"/>
      <c r="G53" s="787"/>
      <c r="H53" s="787"/>
      <c r="I53" s="787"/>
      <c r="J53" s="787"/>
      <c r="K53" s="787"/>
      <c r="L53" s="787"/>
      <c r="M53" s="787"/>
      <c r="N53" s="787"/>
      <c r="O53" s="787"/>
      <c r="P53" s="787"/>
      <c r="Q53" s="787"/>
      <c r="R53" s="787"/>
      <c r="S53" s="787"/>
      <c r="T53" s="787"/>
      <c r="U53" s="787"/>
      <c r="V53" s="787"/>
      <c r="W53" s="787"/>
      <c r="X53" s="787"/>
      <c r="Y53" s="787"/>
      <c r="Z53" s="787"/>
      <c r="AA53" s="787"/>
      <c r="AB53" s="787"/>
      <c r="AC53" s="787"/>
      <c r="AD53" s="787"/>
      <c r="AE53" s="787"/>
      <c r="AF53" s="787"/>
    </row>
    <row r="54" spans="6:32" ht="16.5" customHeight="1">
      <c r="F54" s="787"/>
      <c r="G54" s="787"/>
      <c r="H54" s="787"/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7"/>
      <c r="Z54" s="787"/>
      <c r="AA54" s="787"/>
      <c r="AB54" s="787"/>
      <c r="AC54" s="787"/>
      <c r="AD54" s="787"/>
      <c r="AE54" s="787"/>
      <c r="AF54" s="787"/>
    </row>
    <row r="55" spans="6:32" ht="16.5" customHeight="1">
      <c r="F55" s="787"/>
      <c r="G55" s="787"/>
      <c r="H55" s="787"/>
      <c r="I55" s="787"/>
      <c r="J55" s="787"/>
      <c r="K55" s="787"/>
      <c r="L55" s="787"/>
      <c r="M55" s="787"/>
      <c r="N55" s="787"/>
      <c r="O55" s="787"/>
      <c r="P55" s="787"/>
      <c r="Q55" s="787"/>
      <c r="R55" s="787"/>
      <c r="S55" s="787"/>
      <c r="T55" s="787"/>
      <c r="U55" s="787"/>
      <c r="V55" s="787"/>
      <c r="W55" s="787"/>
      <c r="X55" s="787"/>
      <c r="Y55" s="787"/>
      <c r="Z55" s="787"/>
      <c r="AA55" s="787"/>
      <c r="AB55" s="787"/>
      <c r="AC55" s="787"/>
      <c r="AD55" s="787"/>
      <c r="AE55" s="787"/>
      <c r="AF55" s="787"/>
    </row>
    <row r="56" spans="6:32" ht="16.5" customHeight="1">
      <c r="F56" s="787"/>
      <c r="G56" s="787"/>
      <c r="H56" s="787"/>
      <c r="I56" s="787"/>
      <c r="J56" s="787"/>
      <c r="K56" s="787"/>
      <c r="L56" s="787"/>
      <c r="M56" s="787"/>
      <c r="N56" s="787"/>
      <c r="O56" s="787"/>
      <c r="P56" s="787"/>
      <c r="Q56" s="787"/>
      <c r="R56" s="787"/>
      <c r="S56" s="787"/>
      <c r="T56" s="787"/>
      <c r="U56" s="787"/>
      <c r="V56" s="787"/>
      <c r="W56" s="787"/>
      <c r="X56" s="787"/>
      <c r="Y56" s="787"/>
      <c r="Z56" s="787"/>
      <c r="AA56" s="787"/>
      <c r="AB56" s="787"/>
      <c r="AC56" s="787"/>
      <c r="AD56" s="787"/>
      <c r="AE56" s="787"/>
      <c r="AF56" s="787"/>
    </row>
    <row r="57" spans="6:32" ht="16.5" customHeight="1">
      <c r="F57" s="787"/>
      <c r="G57" s="787"/>
      <c r="H57" s="787"/>
      <c r="I57" s="787"/>
      <c r="J57" s="787"/>
      <c r="K57" s="787"/>
      <c r="L57" s="787"/>
      <c r="M57" s="787"/>
      <c r="N57" s="787"/>
      <c r="O57" s="787"/>
      <c r="P57" s="787"/>
      <c r="Q57" s="787"/>
      <c r="R57" s="787"/>
      <c r="S57" s="787"/>
      <c r="T57" s="787"/>
      <c r="U57" s="787"/>
      <c r="V57" s="787"/>
      <c r="W57" s="787"/>
      <c r="X57" s="787"/>
      <c r="Y57" s="787"/>
      <c r="Z57" s="787"/>
      <c r="AA57" s="787"/>
      <c r="AB57" s="787"/>
      <c r="AC57" s="787"/>
      <c r="AD57" s="787"/>
      <c r="AE57" s="787"/>
      <c r="AF57" s="787"/>
    </row>
    <row r="58" spans="6:32" ht="16.5" customHeight="1">
      <c r="F58" s="787"/>
      <c r="G58" s="787"/>
      <c r="H58" s="787"/>
      <c r="I58" s="787"/>
      <c r="J58" s="787"/>
      <c r="K58" s="787"/>
      <c r="L58" s="787"/>
      <c r="M58" s="787"/>
      <c r="N58" s="787"/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87"/>
      <c r="Z58" s="787"/>
      <c r="AA58" s="787"/>
      <c r="AB58" s="787"/>
      <c r="AC58" s="787"/>
      <c r="AD58" s="787"/>
      <c r="AE58" s="787"/>
      <c r="AF58" s="787"/>
    </row>
    <row r="59" spans="6:32" ht="16.5" customHeight="1">
      <c r="F59" s="787"/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7"/>
      <c r="X59" s="787"/>
      <c r="Y59" s="787"/>
      <c r="Z59" s="787"/>
      <c r="AA59" s="787"/>
      <c r="AB59" s="787"/>
      <c r="AC59" s="787"/>
      <c r="AD59" s="787"/>
      <c r="AE59" s="787"/>
      <c r="AF59" s="787"/>
    </row>
    <row r="60" spans="6:32" ht="16.5" customHeight="1">
      <c r="F60" s="787"/>
      <c r="G60" s="787"/>
      <c r="H60" s="787"/>
      <c r="I60" s="787"/>
      <c r="J60" s="787"/>
      <c r="K60" s="787"/>
      <c r="L60" s="787"/>
      <c r="M60" s="787"/>
      <c r="N60" s="787"/>
      <c r="O60" s="787"/>
      <c r="P60" s="787"/>
      <c r="Q60" s="787"/>
      <c r="R60" s="787"/>
      <c r="S60" s="787"/>
      <c r="T60" s="787"/>
      <c r="U60" s="787"/>
      <c r="V60" s="787"/>
      <c r="W60" s="787"/>
      <c r="X60" s="787"/>
      <c r="Y60" s="787"/>
      <c r="Z60" s="787"/>
      <c r="AA60" s="787"/>
      <c r="AB60" s="787"/>
      <c r="AC60" s="787"/>
      <c r="AD60" s="787"/>
      <c r="AE60" s="787"/>
      <c r="AF60" s="787"/>
    </row>
    <row r="61" spans="6:32" ht="16.5" customHeight="1">
      <c r="F61" s="787"/>
      <c r="G61" s="787"/>
      <c r="H61" s="787"/>
      <c r="I61" s="787"/>
      <c r="J61" s="787"/>
      <c r="K61" s="787"/>
      <c r="L61" s="787"/>
      <c r="M61" s="787"/>
      <c r="N61" s="787"/>
      <c r="O61" s="787"/>
      <c r="P61" s="787"/>
      <c r="Q61" s="787"/>
      <c r="R61" s="787"/>
      <c r="S61" s="787"/>
      <c r="T61" s="787"/>
      <c r="U61" s="787"/>
      <c r="V61" s="787"/>
      <c r="W61" s="787"/>
      <c r="X61" s="787"/>
      <c r="Y61" s="787"/>
      <c r="Z61" s="787"/>
      <c r="AA61" s="787"/>
      <c r="AB61" s="787"/>
      <c r="AC61" s="787"/>
      <c r="AD61" s="787"/>
      <c r="AE61" s="787"/>
      <c r="AF61" s="787"/>
    </row>
    <row r="62" spans="6:32" ht="16.5" customHeight="1">
      <c r="F62" s="787"/>
      <c r="G62" s="787"/>
      <c r="H62" s="787"/>
      <c r="I62" s="787"/>
      <c r="J62" s="787"/>
      <c r="K62" s="787"/>
      <c r="L62" s="787"/>
      <c r="M62" s="787"/>
      <c r="N62" s="787"/>
      <c r="O62" s="787"/>
      <c r="P62" s="787"/>
      <c r="Q62" s="787"/>
      <c r="R62" s="787"/>
      <c r="S62" s="787"/>
      <c r="T62" s="787"/>
      <c r="U62" s="787"/>
      <c r="V62" s="787"/>
      <c r="W62" s="787"/>
      <c r="X62" s="787"/>
      <c r="Y62" s="787"/>
      <c r="Z62" s="787"/>
      <c r="AA62" s="787"/>
      <c r="AB62" s="787"/>
      <c r="AC62" s="787"/>
      <c r="AD62" s="787"/>
      <c r="AE62" s="787"/>
      <c r="AF62" s="787"/>
    </row>
    <row r="63" spans="6:32" ht="16.5" customHeight="1">
      <c r="F63" s="787"/>
      <c r="G63" s="787"/>
      <c r="H63" s="787"/>
      <c r="I63" s="787"/>
      <c r="J63" s="787"/>
      <c r="K63" s="787"/>
      <c r="L63" s="787"/>
      <c r="M63" s="787"/>
      <c r="N63" s="787"/>
      <c r="O63" s="787"/>
      <c r="P63" s="787"/>
      <c r="Q63" s="787"/>
      <c r="R63" s="787"/>
      <c r="S63" s="787"/>
      <c r="T63" s="787"/>
      <c r="U63" s="787"/>
      <c r="V63" s="787"/>
      <c r="W63" s="787"/>
      <c r="X63" s="787"/>
      <c r="Y63" s="787"/>
      <c r="Z63" s="787"/>
      <c r="AA63" s="787"/>
      <c r="AB63" s="787"/>
      <c r="AC63" s="787"/>
      <c r="AD63" s="787"/>
      <c r="AE63" s="787"/>
      <c r="AF63" s="787"/>
    </row>
    <row r="64" spans="6:32" ht="16.5" customHeight="1">
      <c r="F64" s="787"/>
      <c r="G64" s="787"/>
      <c r="H64" s="787"/>
      <c r="I64" s="787"/>
      <c r="J64" s="787"/>
      <c r="K64" s="787"/>
      <c r="L64" s="787"/>
      <c r="M64" s="787"/>
      <c r="N64" s="787"/>
      <c r="O64" s="787"/>
      <c r="P64" s="787"/>
      <c r="Q64" s="787"/>
      <c r="R64" s="787"/>
      <c r="S64" s="787"/>
      <c r="T64" s="787"/>
      <c r="U64" s="787"/>
      <c r="V64" s="787"/>
      <c r="W64" s="787"/>
      <c r="X64" s="787"/>
      <c r="Y64" s="787"/>
      <c r="Z64" s="787"/>
      <c r="AA64" s="787"/>
      <c r="AB64" s="787"/>
      <c r="AC64" s="787"/>
      <c r="AD64" s="787"/>
      <c r="AE64" s="787"/>
      <c r="AF64" s="787"/>
    </row>
    <row r="65" spans="6:32" ht="16.5" customHeight="1">
      <c r="F65" s="787"/>
      <c r="G65" s="787"/>
      <c r="H65" s="787"/>
      <c r="I65" s="787"/>
      <c r="J65" s="787"/>
      <c r="K65" s="787"/>
      <c r="L65" s="787"/>
      <c r="M65" s="787"/>
      <c r="N65" s="787"/>
      <c r="O65" s="787"/>
      <c r="P65" s="787"/>
      <c r="Q65" s="787"/>
      <c r="R65" s="787"/>
      <c r="S65" s="787"/>
      <c r="T65" s="787"/>
      <c r="U65" s="787"/>
      <c r="V65" s="787"/>
      <c r="W65" s="787"/>
      <c r="X65" s="787"/>
      <c r="Y65" s="787"/>
      <c r="Z65" s="787"/>
      <c r="AA65" s="787"/>
      <c r="AB65" s="787"/>
      <c r="AC65" s="787"/>
      <c r="AD65" s="787"/>
      <c r="AE65" s="787"/>
      <c r="AF65" s="787"/>
    </row>
    <row r="66" spans="6:32" ht="16.5" customHeight="1">
      <c r="F66" s="787"/>
      <c r="G66" s="787"/>
      <c r="H66" s="787"/>
      <c r="I66" s="787"/>
      <c r="J66" s="787"/>
      <c r="K66" s="787"/>
      <c r="L66" s="787"/>
      <c r="M66" s="787"/>
      <c r="N66" s="787"/>
      <c r="O66" s="787"/>
      <c r="P66" s="787"/>
      <c r="Q66" s="787"/>
      <c r="R66" s="787"/>
      <c r="S66" s="787"/>
      <c r="T66" s="787"/>
      <c r="U66" s="787"/>
      <c r="V66" s="787"/>
      <c r="W66" s="787"/>
      <c r="X66" s="787"/>
      <c r="Y66" s="787"/>
      <c r="Z66" s="787"/>
      <c r="AA66" s="787"/>
      <c r="AB66" s="787"/>
      <c r="AC66" s="787"/>
      <c r="AD66" s="787"/>
      <c r="AE66" s="787"/>
      <c r="AF66" s="787"/>
    </row>
    <row r="67" spans="6:32" ht="16.5" customHeight="1">
      <c r="F67" s="787"/>
      <c r="G67" s="787"/>
      <c r="H67" s="787"/>
      <c r="I67" s="787"/>
      <c r="J67" s="787"/>
      <c r="K67" s="787"/>
      <c r="L67" s="787"/>
      <c r="M67" s="787"/>
      <c r="N67" s="787"/>
      <c r="O67" s="787"/>
      <c r="P67" s="787"/>
      <c r="Q67" s="787"/>
      <c r="R67" s="787"/>
      <c r="S67" s="787"/>
      <c r="T67" s="787"/>
      <c r="U67" s="787"/>
      <c r="V67" s="787"/>
      <c r="W67" s="787"/>
      <c r="X67" s="787"/>
      <c r="Y67" s="787"/>
      <c r="Z67" s="787"/>
      <c r="AA67" s="787"/>
      <c r="AB67" s="787"/>
      <c r="AC67" s="787"/>
      <c r="AD67" s="787"/>
      <c r="AE67" s="787"/>
      <c r="AF67" s="787"/>
    </row>
    <row r="68" spans="6:32" ht="16.5" customHeight="1">
      <c r="F68" s="787"/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  <c r="R68" s="787"/>
      <c r="S68" s="787"/>
      <c r="T68" s="787"/>
      <c r="U68" s="787"/>
      <c r="V68" s="787"/>
      <c r="W68" s="787"/>
      <c r="X68" s="787"/>
      <c r="Y68" s="787"/>
      <c r="Z68" s="787"/>
      <c r="AA68" s="787"/>
      <c r="AB68" s="787"/>
      <c r="AC68" s="787"/>
      <c r="AD68" s="787"/>
      <c r="AE68" s="787"/>
      <c r="AF68" s="787"/>
    </row>
    <row r="69" spans="6:32" ht="16.5" customHeight="1">
      <c r="F69" s="787"/>
      <c r="G69" s="787"/>
      <c r="H69" s="787"/>
      <c r="I69" s="787"/>
      <c r="J69" s="787"/>
      <c r="K69" s="787"/>
      <c r="L69" s="787"/>
      <c r="M69" s="787"/>
      <c r="N69" s="787"/>
      <c r="O69" s="787"/>
      <c r="P69" s="787"/>
      <c r="Q69" s="787"/>
      <c r="R69" s="787"/>
      <c r="S69" s="787"/>
      <c r="T69" s="787"/>
      <c r="U69" s="787"/>
      <c r="V69" s="787"/>
      <c r="W69" s="787"/>
      <c r="X69" s="787"/>
      <c r="Y69" s="787"/>
      <c r="Z69" s="787"/>
      <c r="AA69" s="787"/>
      <c r="AB69" s="787"/>
      <c r="AC69" s="787"/>
      <c r="AD69" s="787"/>
      <c r="AE69" s="787"/>
      <c r="AF69" s="787"/>
    </row>
    <row r="70" spans="6:32" ht="16.5" customHeight="1">
      <c r="F70" s="787"/>
      <c r="G70" s="787"/>
      <c r="H70" s="787"/>
      <c r="I70" s="787"/>
      <c r="J70" s="787"/>
      <c r="K70" s="787"/>
      <c r="L70" s="787"/>
      <c r="M70" s="787"/>
      <c r="N70" s="787"/>
      <c r="O70" s="787"/>
      <c r="P70" s="787"/>
      <c r="Q70" s="787"/>
      <c r="R70" s="787"/>
      <c r="S70" s="787"/>
      <c r="T70" s="787"/>
      <c r="U70" s="787"/>
      <c r="V70" s="787"/>
      <c r="W70" s="787"/>
      <c r="X70" s="787"/>
      <c r="Y70" s="787"/>
      <c r="Z70" s="787"/>
      <c r="AA70" s="787"/>
      <c r="AB70" s="787"/>
      <c r="AC70" s="787"/>
      <c r="AD70" s="787"/>
      <c r="AE70" s="787"/>
      <c r="AF70" s="787"/>
    </row>
    <row r="71" spans="6:32" ht="16.5" customHeight="1">
      <c r="F71" s="787"/>
      <c r="G71" s="787"/>
      <c r="H71" s="787"/>
      <c r="I71" s="787"/>
      <c r="J71" s="787"/>
      <c r="K71" s="787"/>
      <c r="L71" s="787"/>
      <c r="M71" s="787"/>
      <c r="N71" s="787"/>
      <c r="O71" s="787"/>
      <c r="P71" s="787"/>
      <c r="Q71" s="787"/>
      <c r="R71" s="787"/>
      <c r="S71" s="787"/>
      <c r="T71" s="787"/>
      <c r="U71" s="787"/>
      <c r="V71" s="787"/>
      <c r="W71" s="787"/>
      <c r="X71" s="787"/>
      <c r="Y71" s="787"/>
      <c r="Z71" s="787"/>
      <c r="AA71" s="787"/>
      <c r="AB71" s="787"/>
      <c r="AC71" s="787"/>
      <c r="AD71" s="787"/>
      <c r="AE71" s="787"/>
      <c r="AF71" s="787"/>
    </row>
    <row r="72" spans="6:32" ht="16.5" customHeight="1">
      <c r="F72" s="787"/>
      <c r="G72" s="787"/>
      <c r="H72" s="787"/>
      <c r="I72" s="787"/>
      <c r="J72" s="787"/>
      <c r="K72" s="787"/>
      <c r="L72" s="787"/>
      <c r="M72" s="787"/>
      <c r="N72" s="787"/>
      <c r="O72" s="787"/>
      <c r="P72" s="787"/>
      <c r="Q72" s="787"/>
      <c r="R72" s="787"/>
      <c r="S72" s="787"/>
      <c r="T72" s="787"/>
      <c r="U72" s="787"/>
      <c r="V72" s="787"/>
      <c r="W72" s="787"/>
      <c r="X72" s="787"/>
      <c r="Y72" s="787"/>
      <c r="Z72" s="787"/>
      <c r="AA72" s="787"/>
      <c r="AB72" s="787"/>
      <c r="AC72" s="787"/>
      <c r="AD72" s="787"/>
      <c r="AE72" s="787"/>
      <c r="AF72" s="787"/>
    </row>
    <row r="73" spans="6:32" ht="16.5" customHeight="1">
      <c r="F73" s="787"/>
      <c r="G73" s="787"/>
      <c r="H73" s="787"/>
      <c r="I73" s="787"/>
      <c r="J73" s="787"/>
      <c r="K73" s="787"/>
      <c r="L73" s="787"/>
      <c r="M73" s="787"/>
      <c r="N73" s="787"/>
      <c r="O73" s="787"/>
      <c r="P73" s="787"/>
      <c r="Q73" s="787"/>
      <c r="R73" s="787"/>
      <c r="S73" s="787"/>
      <c r="T73" s="787"/>
      <c r="U73" s="787"/>
      <c r="V73" s="787"/>
      <c r="W73" s="787"/>
      <c r="X73" s="787"/>
      <c r="Y73" s="787"/>
      <c r="Z73" s="787"/>
      <c r="AA73" s="787"/>
      <c r="AB73" s="787"/>
      <c r="AC73" s="787"/>
      <c r="AD73" s="787"/>
      <c r="AE73" s="787"/>
      <c r="AF73" s="787"/>
    </row>
    <row r="74" spans="6:32" ht="16.5" customHeight="1">
      <c r="F74" s="787"/>
      <c r="G74" s="787"/>
      <c r="H74" s="787"/>
      <c r="I74" s="787"/>
      <c r="J74" s="787"/>
      <c r="K74" s="787"/>
      <c r="L74" s="787"/>
      <c r="M74" s="787"/>
      <c r="N74" s="787"/>
      <c r="O74" s="787"/>
      <c r="P74" s="787"/>
      <c r="Q74" s="787"/>
      <c r="R74" s="787"/>
      <c r="S74" s="787"/>
      <c r="T74" s="787"/>
      <c r="U74" s="787"/>
      <c r="V74" s="787"/>
      <c r="W74" s="787"/>
      <c r="X74" s="787"/>
      <c r="Y74" s="787"/>
      <c r="Z74" s="787"/>
      <c r="AA74" s="787"/>
      <c r="AB74" s="787"/>
      <c r="AC74" s="787"/>
      <c r="AD74" s="787"/>
      <c r="AE74" s="787"/>
      <c r="AF74" s="787"/>
    </row>
    <row r="75" spans="6:32" ht="16.5" customHeight="1">
      <c r="F75" s="787"/>
      <c r="G75" s="787"/>
      <c r="H75" s="787"/>
      <c r="I75" s="787"/>
      <c r="J75" s="787"/>
      <c r="K75" s="787"/>
      <c r="L75" s="787"/>
      <c r="M75" s="787"/>
      <c r="N75" s="787"/>
      <c r="O75" s="787"/>
      <c r="P75" s="787"/>
      <c r="Q75" s="787"/>
      <c r="R75" s="787"/>
      <c r="S75" s="787"/>
      <c r="T75" s="787"/>
      <c r="U75" s="787"/>
      <c r="V75" s="787"/>
      <c r="W75" s="787"/>
      <c r="X75" s="787"/>
      <c r="Y75" s="787"/>
      <c r="Z75" s="787"/>
      <c r="AA75" s="787"/>
      <c r="AB75" s="787"/>
      <c r="AC75" s="787"/>
      <c r="AD75" s="787"/>
      <c r="AE75" s="787"/>
      <c r="AF75" s="787"/>
    </row>
    <row r="76" spans="6:32" ht="16.5" customHeight="1">
      <c r="F76" s="787"/>
      <c r="G76" s="787"/>
      <c r="H76" s="787"/>
      <c r="I76" s="787"/>
      <c r="J76" s="787"/>
      <c r="K76" s="787"/>
      <c r="L76" s="787"/>
      <c r="M76" s="787"/>
      <c r="N76" s="787"/>
      <c r="O76" s="787"/>
      <c r="P76" s="787"/>
      <c r="Q76" s="787"/>
      <c r="R76" s="787"/>
      <c r="S76" s="787"/>
      <c r="T76" s="787"/>
      <c r="U76" s="787"/>
      <c r="V76" s="787"/>
      <c r="W76" s="787"/>
      <c r="X76" s="787"/>
      <c r="Y76" s="787"/>
      <c r="Z76" s="787"/>
      <c r="AA76" s="787"/>
      <c r="AB76" s="787"/>
      <c r="AC76" s="787"/>
      <c r="AD76" s="787"/>
      <c r="AE76" s="787"/>
      <c r="AF76" s="787"/>
    </row>
    <row r="77" spans="6:32" ht="16.5" customHeight="1">
      <c r="F77" s="787"/>
      <c r="G77" s="787"/>
      <c r="H77" s="787"/>
      <c r="I77" s="787"/>
      <c r="J77" s="787"/>
      <c r="K77" s="787"/>
      <c r="L77" s="787"/>
      <c r="M77" s="787"/>
      <c r="N77" s="787"/>
      <c r="O77" s="787"/>
      <c r="P77" s="787"/>
      <c r="Q77" s="787"/>
      <c r="R77" s="787"/>
      <c r="S77" s="787"/>
      <c r="T77" s="787"/>
      <c r="U77" s="787"/>
      <c r="V77" s="787"/>
      <c r="W77" s="787"/>
      <c r="X77" s="787"/>
      <c r="Y77" s="787"/>
      <c r="Z77" s="787"/>
      <c r="AA77" s="787"/>
      <c r="AB77" s="787"/>
      <c r="AC77" s="787"/>
      <c r="AD77" s="787"/>
      <c r="AE77" s="787"/>
      <c r="AF77" s="787"/>
    </row>
    <row r="78" spans="6:32" ht="16.5" customHeight="1">
      <c r="F78" s="787"/>
      <c r="G78" s="787"/>
      <c r="H78" s="787"/>
      <c r="I78" s="787"/>
      <c r="J78" s="787"/>
      <c r="K78" s="787"/>
      <c r="L78" s="787"/>
      <c r="M78" s="787"/>
      <c r="N78" s="787"/>
      <c r="O78" s="787"/>
      <c r="P78" s="787"/>
      <c r="Q78" s="787"/>
      <c r="R78" s="787"/>
      <c r="S78" s="787"/>
      <c r="T78" s="787"/>
      <c r="U78" s="787"/>
      <c r="V78" s="787"/>
      <c r="W78" s="787"/>
      <c r="X78" s="787"/>
      <c r="Y78" s="787"/>
      <c r="Z78" s="787"/>
      <c r="AA78" s="787"/>
      <c r="AB78" s="787"/>
      <c r="AC78" s="787"/>
      <c r="AD78" s="787"/>
      <c r="AE78" s="787"/>
      <c r="AF78" s="787"/>
    </row>
    <row r="79" spans="6:32" ht="16.5" customHeight="1">
      <c r="F79" s="787"/>
      <c r="G79" s="787"/>
      <c r="H79" s="787"/>
      <c r="I79" s="787"/>
      <c r="J79" s="787"/>
      <c r="K79" s="787"/>
      <c r="L79" s="787"/>
      <c r="M79" s="787"/>
      <c r="N79" s="787"/>
      <c r="O79" s="787"/>
      <c r="P79" s="787"/>
      <c r="Q79" s="787"/>
      <c r="R79" s="787"/>
      <c r="S79" s="787"/>
      <c r="T79" s="787"/>
      <c r="U79" s="787"/>
      <c r="V79" s="787"/>
      <c r="W79" s="787"/>
      <c r="X79" s="787"/>
      <c r="Y79" s="787"/>
      <c r="Z79" s="787"/>
      <c r="AA79" s="787"/>
      <c r="AB79" s="787"/>
      <c r="AC79" s="787"/>
      <c r="AD79" s="787"/>
      <c r="AE79" s="787"/>
      <c r="AF79" s="787"/>
    </row>
    <row r="80" spans="6:32" ht="16.5" customHeight="1">
      <c r="F80" s="787"/>
      <c r="G80" s="787"/>
      <c r="H80" s="787"/>
      <c r="I80" s="787"/>
      <c r="J80" s="787"/>
      <c r="K80" s="787"/>
      <c r="L80" s="787"/>
      <c r="M80" s="787"/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7"/>
      <c r="Y80" s="787"/>
      <c r="Z80" s="787"/>
      <c r="AA80" s="787"/>
      <c r="AB80" s="787"/>
      <c r="AC80" s="787"/>
      <c r="AD80" s="787"/>
      <c r="AE80" s="787"/>
      <c r="AF80" s="787"/>
    </row>
    <row r="81" spans="6:32" ht="16.5" customHeight="1">
      <c r="F81" s="787"/>
      <c r="G81" s="787"/>
      <c r="H81" s="787"/>
      <c r="I81" s="787"/>
      <c r="J81" s="787"/>
      <c r="K81" s="787"/>
      <c r="L81" s="787"/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7"/>
      <c r="AC81" s="787"/>
      <c r="AD81" s="787"/>
      <c r="AE81" s="787"/>
      <c r="AF81" s="787"/>
    </row>
    <row r="82" spans="6:32" ht="16.5" customHeight="1">
      <c r="F82" s="787"/>
      <c r="G82" s="787"/>
      <c r="H82" s="787"/>
      <c r="I82" s="787"/>
      <c r="J82" s="787"/>
      <c r="K82" s="787"/>
      <c r="L82" s="787"/>
      <c r="M82" s="787"/>
      <c r="N82" s="787"/>
      <c r="O82" s="787"/>
      <c r="P82" s="787"/>
      <c r="Q82" s="787"/>
      <c r="R82" s="787"/>
      <c r="S82" s="787"/>
      <c r="T82" s="787"/>
      <c r="U82" s="787"/>
      <c r="V82" s="787"/>
      <c r="W82" s="787"/>
      <c r="X82" s="787"/>
      <c r="Y82" s="787"/>
      <c r="Z82" s="787"/>
      <c r="AA82" s="787"/>
      <c r="AB82" s="787"/>
      <c r="AC82" s="787"/>
      <c r="AD82" s="787"/>
      <c r="AE82" s="787"/>
      <c r="AF82" s="787"/>
    </row>
    <row r="83" spans="6:32" ht="16.5" customHeight="1">
      <c r="F83" s="787"/>
      <c r="G83" s="787"/>
      <c r="H83" s="787"/>
      <c r="I83" s="787"/>
      <c r="J83" s="787"/>
      <c r="K83" s="787"/>
      <c r="L83" s="787"/>
      <c r="M83" s="787"/>
      <c r="N83" s="787"/>
      <c r="O83" s="787"/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7"/>
      <c r="AA83" s="787"/>
      <c r="AB83" s="787"/>
      <c r="AC83" s="787"/>
      <c r="AD83" s="787"/>
      <c r="AE83" s="787"/>
      <c r="AF83" s="787"/>
    </row>
    <row r="84" spans="6:32" ht="16.5" customHeight="1">
      <c r="F84" s="787"/>
      <c r="G84" s="787"/>
      <c r="H84" s="787"/>
      <c r="I84" s="787"/>
      <c r="J84" s="787"/>
      <c r="K84" s="787"/>
      <c r="L84" s="787"/>
      <c r="M84" s="787"/>
      <c r="N84" s="787"/>
      <c r="O84" s="787"/>
      <c r="P84" s="787"/>
      <c r="Q84" s="787"/>
      <c r="R84" s="787"/>
      <c r="S84" s="787"/>
      <c r="T84" s="787"/>
      <c r="U84" s="787"/>
      <c r="V84" s="787"/>
      <c r="W84" s="787"/>
      <c r="X84" s="787"/>
      <c r="Y84" s="787"/>
      <c r="Z84" s="787"/>
      <c r="AA84" s="787"/>
      <c r="AB84" s="787"/>
      <c r="AC84" s="787"/>
      <c r="AD84" s="787"/>
      <c r="AE84" s="787"/>
      <c r="AF84" s="787"/>
    </row>
    <row r="85" spans="6:32" ht="16.5" customHeight="1">
      <c r="F85" s="787"/>
      <c r="G85" s="787"/>
      <c r="H85" s="787"/>
      <c r="I85" s="787"/>
      <c r="J85" s="787"/>
      <c r="K85" s="787"/>
      <c r="L85" s="787"/>
      <c r="M85" s="787"/>
      <c r="N85" s="787"/>
      <c r="O85" s="787"/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</row>
    <row r="86" spans="6:32" ht="16.5" customHeight="1">
      <c r="F86" s="787"/>
      <c r="G86" s="787"/>
      <c r="H86" s="787"/>
      <c r="I86" s="787"/>
      <c r="J86" s="787"/>
      <c r="K86" s="787"/>
      <c r="L86" s="787"/>
      <c r="M86" s="787"/>
      <c r="N86" s="787"/>
      <c r="O86" s="787"/>
      <c r="P86" s="787"/>
      <c r="Q86" s="787"/>
      <c r="R86" s="787"/>
      <c r="S86" s="787"/>
      <c r="T86" s="787"/>
      <c r="U86" s="787"/>
      <c r="V86" s="787"/>
      <c r="W86" s="787"/>
      <c r="X86" s="787"/>
      <c r="Y86" s="787"/>
      <c r="Z86" s="787"/>
      <c r="AA86" s="787"/>
      <c r="AB86" s="787"/>
      <c r="AC86" s="787"/>
      <c r="AD86" s="787"/>
      <c r="AE86" s="787"/>
      <c r="AF86" s="787"/>
    </row>
    <row r="87" spans="6:32" ht="16.5" customHeight="1">
      <c r="F87" s="787"/>
      <c r="G87" s="787"/>
      <c r="H87" s="787"/>
      <c r="I87" s="787"/>
      <c r="J87" s="787"/>
      <c r="K87" s="787"/>
      <c r="L87" s="787"/>
      <c r="M87" s="787"/>
      <c r="N87" s="787"/>
      <c r="O87" s="787"/>
      <c r="P87" s="787"/>
      <c r="Q87" s="787"/>
      <c r="R87" s="787"/>
      <c r="S87" s="787"/>
      <c r="T87" s="787"/>
      <c r="U87" s="787"/>
      <c r="V87" s="787"/>
      <c r="W87" s="787"/>
      <c r="X87" s="787"/>
      <c r="Y87" s="787"/>
      <c r="Z87" s="787"/>
      <c r="AA87" s="787"/>
      <c r="AB87" s="787"/>
      <c r="AC87" s="787"/>
      <c r="AD87" s="787"/>
      <c r="AE87" s="787"/>
      <c r="AF87" s="787"/>
    </row>
    <row r="88" spans="6:32" ht="16.5" customHeight="1">
      <c r="F88" s="787"/>
      <c r="G88" s="787"/>
      <c r="H88" s="787"/>
      <c r="I88" s="787"/>
      <c r="J88" s="787"/>
      <c r="K88" s="787"/>
      <c r="L88" s="787"/>
      <c r="M88" s="787"/>
      <c r="N88" s="787"/>
      <c r="O88" s="787"/>
      <c r="P88" s="787"/>
      <c r="Q88" s="787"/>
      <c r="R88" s="787"/>
      <c r="S88" s="787"/>
      <c r="T88" s="787"/>
      <c r="U88" s="787"/>
      <c r="V88" s="787"/>
      <c r="W88" s="787"/>
      <c r="X88" s="787"/>
      <c r="Y88" s="787"/>
      <c r="Z88" s="787"/>
      <c r="AA88" s="787"/>
      <c r="AB88" s="787"/>
      <c r="AC88" s="787"/>
      <c r="AD88" s="787"/>
      <c r="AE88" s="787"/>
      <c r="AF88" s="787"/>
    </row>
    <row r="89" spans="6:32" ht="16.5" customHeight="1">
      <c r="F89" s="787"/>
      <c r="G89" s="787"/>
      <c r="H89" s="787"/>
      <c r="I89" s="787"/>
      <c r="J89" s="787"/>
      <c r="K89" s="787"/>
      <c r="L89" s="787"/>
      <c r="M89" s="787"/>
      <c r="N89" s="787"/>
      <c r="O89" s="787"/>
      <c r="P89" s="787"/>
      <c r="Q89" s="787"/>
      <c r="R89" s="787"/>
      <c r="S89" s="787"/>
      <c r="T89" s="787"/>
      <c r="U89" s="787"/>
      <c r="V89" s="787"/>
      <c r="W89" s="787"/>
      <c r="X89" s="787"/>
      <c r="Y89" s="787"/>
      <c r="Z89" s="787"/>
      <c r="AA89" s="787"/>
      <c r="AB89" s="787"/>
      <c r="AC89" s="787"/>
      <c r="AD89" s="787"/>
      <c r="AE89" s="787"/>
      <c r="AF89" s="787"/>
    </row>
    <row r="90" spans="6:32" ht="16.5" customHeight="1">
      <c r="F90" s="787"/>
      <c r="G90" s="787"/>
      <c r="H90" s="787"/>
      <c r="I90" s="787"/>
      <c r="J90" s="787"/>
      <c r="K90" s="787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7"/>
      <c r="W90" s="787"/>
      <c r="X90" s="787"/>
      <c r="Y90" s="787"/>
      <c r="Z90" s="787"/>
      <c r="AA90" s="787"/>
      <c r="AB90" s="787"/>
      <c r="AC90" s="787"/>
      <c r="AD90" s="787"/>
      <c r="AE90" s="787"/>
      <c r="AF90" s="787"/>
    </row>
    <row r="91" spans="6:32" ht="16.5" customHeight="1">
      <c r="F91" s="787"/>
      <c r="G91" s="787"/>
      <c r="H91" s="787"/>
      <c r="I91" s="787"/>
      <c r="J91" s="787"/>
      <c r="K91" s="787"/>
      <c r="L91" s="787"/>
      <c r="M91" s="787"/>
      <c r="N91" s="787"/>
      <c r="O91" s="787"/>
      <c r="P91" s="787"/>
      <c r="Q91" s="787"/>
      <c r="R91" s="787"/>
      <c r="S91" s="787"/>
      <c r="T91" s="787"/>
      <c r="U91" s="787"/>
      <c r="V91" s="787"/>
      <c r="W91" s="787"/>
      <c r="X91" s="787"/>
      <c r="Y91" s="787"/>
      <c r="Z91" s="787"/>
      <c r="AA91" s="787"/>
      <c r="AB91" s="787"/>
      <c r="AC91" s="787"/>
      <c r="AD91" s="787"/>
      <c r="AE91" s="787"/>
      <c r="AF91" s="787"/>
    </row>
    <row r="92" spans="6:32" ht="16.5" customHeight="1">
      <c r="F92" s="787"/>
      <c r="G92" s="787"/>
      <c r="H92" s="787"/>
      <c r="I92" s="787"/>
      <c r="J92" s="787"/>
      <c r="K92" s="787"/>
      <c r="L92" s="787"/>
      <c r="M92" s="787"/>
      <c r="N92" s="787"/>
      <c r="O92" s="787"/>
      <c r="P92" s="787"/>
      <c r="Q92" s="787"/>
      <c r="R92" s="787"/>
      <c r="S92" s="787"/>
      <c r="T92" s="787"/>
      <c r="U92" s="787"/>
      <c r="V92" s="787"/>
      <c r="W92" s="787"/>
      <c r="X92" s="787"/>
      <c r="Y92" s="787"/>
      <c r="Z92" s="787"/>
      <c r="AA92" s="787"/>
      <c r="AB92" s="787"/>
      <c r="AC92" s="787"/>
      <c r="AD92" s="787"/>
      <c r="AE92" s="787"/>
      <c r="AF92" s="787"/>
    </row>
    <row r="93" spans="6:32" ht="16.5" customHeight="1">
      <c r="F93" s="787"/>
      <c r="G93" s="787"/>
      <c r="H93" s="787"/>
      <c r="I93" s="787"/>
      <c r="J93" s="787"/>
      <c r="K93" s="787"/>
      <c r="L93" s="787"/>
      <c r="M93" s="787"/>
      <c r="N93" s="787"/>
      <c r="O93" s="787"/>
      <c r="P93" s="787"/>
      <c r="Q93" s="787"/>
      <c r="R93" s="787"/>
      <c r="S93" s="787"/>
      <c r="T93" s="787"/>
      <c r="U93" s="787"/>
      <c r="V93" s="787"/>
      <c r="W93" s="787"/>
      <c r="X93" s="787"/>
      <c r="Y93" s="787"/>
      <c r="Z93" s="787"/>
      <c r="AA93" s="787"/>
      <c r="AB93" s="787"/>
      <c r="AC93" s="787"/>
      <c r="AD93" s="787"/>
      <c r="AE93" s="787"/>
      <c r="AF93" s="787"/>
    </row>
    <row r="94" spans="6:32" ht="16.5" customHeight="1">
      <c r="F94" s="787"/>
      <c r="G94" s="787"/>
      <c r="H94" s="787"/>
      <c r="I94" s="787"/>
      <c r="J94" s="787"/>
      <c r="K94" s="787"/>
      <c r="L94" s="787"/>
      <c r="M94" s="787"/>
      <c r="N94" s="787"/>
      <c r="O94" s="787"/>
      <c r="P94" s="787"/>
      <c r="Q94" s="787"/>
      <c r="R94" s="787"/>
      <c r="S94" s="787"/>
      <c r="T94" s="787"/>
      <c r="U94" s="787"/>
      <c r="V94" s="787"/>
      <c r="W94" s="787"/>
      <c r="X94" s="787"/>
      <c r="Y94" s="787"/>
      <c r="Z94" s="787"/>
      <c r="AA94" s="787"/>
      <c r="AB94" s="787"/>
      <c r="AC94" s="787"/>
      <c r="AD94" s="787"/>
      <c r="AE94" s="787"/>
      <c r="AF94" s="787"/>
    </row>
    <row r="95" spans="6:32" ht="16.5" customHeight="1">
      <c r="F95" s="787"/>
      <c r="G95" s="787"/>
      <c r="H95" s="787"/>
      <c r="I95" s="787"/>
      <c r="J95" s="787"/>
      <c r="K95" s="787"/>
      <c r="L95" s="787"/>
      <c r="M95" s="787"/>
      <c r="N95" s="787"/>
      <c r="O95" s="787"/>
      <c r="P95" s="787"/>
      <c r="Q95" s="787"/>
      <c r="R95" s="787"/>
      <c r="S95" s="787"/>
      <c r="T95" s="787"/>
      <c r="U95" s="787"/>
      <c r="V95" s="787"/>
      <c r="W95" s="787"/>
      <c r="X95" s="787"/>
      <c r="Y95" s="787"/>
      <c r="Z95" s="787"/>
      <c r="AA95" s="787"/>
      <c r="AB95" s="787"/>
      <c r="AC95" s="787"/>
      <c r="AD95" s="787"/>
      <c r="AE95" s="787"/>
      <c r="AF95" s="787"/>
    </row>
    <row r="96" spans="6:32" ht="16.5" customHeight="1">
      <c r="F96" s="787"/>
      <c r="G96" s="787"/>
      <c r="H96" s="787"/>
      <c r="I96" s="787"/>
      <c r="J96" s="787"/>
      <c r="K96" s="787"/>
      <c r="L96" s="787"/>
      <c r="M96" s="787"/>
      <c r="N96" s="787"/>
      <c r="O96" s="787"/>
      <c r="P96" s="787"/>
      <c r="Q96" s="787"/>
      <c r="R96" s="787"/>
      <c r="S96" s="787"/>
      <c r="T96" s="787"/>
      <c r="U96" s="787"/>
      <c r="V96" s="787"/>
      <c r="W96" s="787"/>
      <c r="X96" s="787"/>
      <c r="Y96" s="787"/>
      <c r="Z96" s="787"/>
      <c r="AA96" s="787"/>
      <c r="AB96" s="787"/>
      <c r="AC96" s="787"/>
      <c r="AD96" s="787"/>
      <c r="AE96" s="787"/>
      <c r="AF96" s="787"/>
    </row>
    <row r="97" spans="6:32" ht="16.5" customHeight="1">
      <c r="F97" s="787"/>
      <c r="G97" s="787"/>
      <c r="H97" s="787"/>
      <c r="I97" s="787"/>
      <c r="J97" s="787"/>
      <c r="K97" s="787"/>
      <c r="L97" s="787"/>
      <c r="M97" s="787"/>
      <c r="N97" s="787"/>
      <c r="O97" s="787"/>
      <c r="P97" s="787"/>
      <c r="Q97" s="787"/>
      <c r="R97" s="787"/>
      <c r="S97" s="787"/>
      <c r="T97" s="787"/>
      <c r="U97" s="787"/>
      <c r="V97" s="787"/>
      <c r="W97" s="787"/>
      <c r="X97" s="787"/>
      <c r="Y97" s="787"/>
      <c r="Z97" s="787"/>
      <c r="AA97" s="787"/>
      <c r="AB97" s="787"/>
      <c r="AC97" s="787"/>
      <c r="AD97" s="787"/>
      <c r="AE97" s="787"/>
      <c r="AF97" s="787"/>
    </row>
    <row r="98" spans="6:32" ht="16.5" customHeight="1">
      <c r="F98" s="787"/>
      <c r="G98" s="787"/>
      <c r="H98" s="787"/>
      <c r="I98" s="787"/>
      <c r="J98" s="787"/>
      <c r="K98" s="787"/>
      <c r="L98" s="787"/>
      <c r="M98" s="787"/>
      <c r="N98" s="787"/>
      <c r="O98" s="787"/>
      <c r="P98" s="787"/>
      <c r="Q98" s="787"/>
      <c r="R98" s="787"/>
      <c r="S98" s="787"/>
      <c r="T98" s="787"/>
      <c r="U98" s="787"/>
      <c r="V98" s="787"/>
      <c r="W98" s="787"/>
      <c r="X98" s="787"/>
      <c r="Y98" s="787"/>
      <c r="Z98" s="787"/>
      <c r="AA98" s="787"/>
      <c r="AB98" s="787"/>
      <c r="AC98" s="787"/>
      <c r="AD98" s="787"/>
      <c r="AE98" s="787"/>
      <c r="AF98" s="787"/>
    </row>
    <row r="99" spans="6:32" ht="16.5" customHeight="1">
      <c r="F99" s="787"/>
      <c r="G99" s="787"/>
      <c r="H99" s="787"/>
      <c r="I99" s="787"/>
      <c r="J99" s="787"/>
      <c r="K99" s="787"/>
      <c r="L99" s="787"/>
      <c r="M99" s="787"/>
      <c r="N99" s="787"/>
      <c r="O99" s="787"/>
      <c r="P99" s="787"/>
      <c r="Q99" s="787"/>
      <c r="R99" s="787"/>
      <c r="S99" s="787"/>
      <c r="T99" s="787"/>
      <c r="U99" s="787"/>
      <c r="V99" s="787"/>
      <c r="W99" s="787"/>
      <c r="X99" s="787"/>
      <c r="Y99" s="787"/>
      <c r="Z99" s="787"/>
      <c r="AA99" s="787"/>
      <c r="AB99" s="787"/>
      <c r="AC99" s="787"/>
      <c r="AD99" s="787"/>
      <c r="AE99" s="787"/>
      <c r="AF99" s="787"/>
    </row>
    <row r="100" spans="6:32" ht="16.5" customHeight="1">
      <c r="F100" s="787"/>
      <c r="G100" s="787"/>
      <c r="H100" s="787"/>
      <c r="I100" s="787"/>
      <c r="J100" s="787"/>
      <c r="K100" s="787"/>
      <c r="L100" s="787"/>
      <c r="M100" s="787"/>
      <c r="N100" s="787"/>
      <c r="O100" s="787"/>
      <c r="P100" s="787"/>
      <c r="Q100" s="787"/>
      <c r="R100" s="787"/>
      <c r="S100" s="787"/>
      <c r="T100" s="787"/>
      <c r="U100" s="787"/>
      <c r="V100" s="787"/>
      <c r="W100" s="787"/>
      <c r="X100" s="787"/>
      <c r="Y100" s="787"/>
      <c r="Z100" s="787"/>
      <c r="AA100" s="787"/>
      <c r="AB100" s="787"/>
      <c r="AC100" s="787"/>
      <c r="AD100" s="787"/>
      <c r="AE100" s="787"/>
      <c r="AF100" s="787"/>
    </row>
    <row r="101" spans="6:32" ht="16.5" customHeight="1">
      <c r="F101" s="787"/>
      <c r="G101" s="787"/>
      <c r="H101" s="787"/>
      <c r="I101" s="787"/>
      <c r="J101" s="787"/>
      <c r="K101" s="787"/>
      <c r="L101" s="787"/>
      <c r="M101" s="787"/>
      <c r="N101" s="787"/>
      <c r="O101" s="787"/>
      <c r="P101" s="787"/>
      <c r="Q101" s="787"/>
      <c r="R101" s="787"/>
      <c r="S101" s="787"/>
      <c r="T101" s="787"/>
      <c r="U101" s="787"/>
      <c r="V101" s="787"/>
      <c r="W101" s="787"/>
      <c r="X101" s="787"/>
      <c r="Y101" s="787"/>
      <c r="Z101" s="787"/>
      <c r="AA101" s="787"/>
      <c r="AB101" s="787"/>
      <c r="AC101" s="787"/>
      <c r="AD101" s="787"/>
      <c r="AE101" s="787"/>
      <c r="AF101" s="787"/>
    </row>
    <row r="102" spans="6:32" ht="16.5" customHeight="1">
      <c r="F102" s="787"/>
      <c r="G102" s="787"/>
      <c r="H102" s="787"/>
      <c r="I102" s="787"/>
      <c r="J102" s="787"/>
      <c r="K102" s="787"/>
      <c r="L102" s="787"/>
      <c r="M102" s="787"/>
      <c r="N102" s="787"/>
      <c r="O102" s="787"/>
      <c r="P102" s="787"/>
      <c r="Q102" s="787"/>
      <c r="R102" s="787"/>
      <c r="S102" s="787"/>
      <c r="T102" s="787"/>
      <c r="U102" s="787"/>
      <c r="V102" s="787"/>
      <c r="W102" s="787"/>
      <c r="X102" s="787"/>
      <c r="Y102" s="787"/>
      <c r="Z102" s="787"/>
      <c r="AA102" s="787"/>
      <c r="AB102" s="787"/>
      <c r="AC102" s="787"/>
      <c r="AD102" s="787"/>
      <c r="AE102" s="787"/>
      <c r="AF102" s="787"/>
    </row>
    <row r="103" spans="6:32" ht="16.5" customHeight="1">
      <c r="F103" s="787"/>
      <c r="G103" s="787"/>
      <c r="H103" s="787"/>
      <c r="I103" s="787"/>
      <c r="J103" s="787"/>
      <c r="K103" s="787"/>
      <c r="L103" s="787"/>
      <c r="M103" s="787"/>
      <c r="N103" s="787"/>
      <c r="O103" s="787"/>
      <c r="P103" s="787"/>
      <c r="Q103" s="787"/>
      <c r="R103" s="787"/>
      <c r="S103" s="787"/>
      <c r="T103" s="787"/>
      <c r="U103" s="787"/>
      <c r="V103" s="787"/>
      <c r="W103" s="787"/>
      <c r="X103" s="787"/>
      <c r="Y103" s="787"/>
      <c r="Z103" s="787"/>
      <c r="AA103" s="787"/>
      <c r="AB103" s="787"/>
      <c r="AC103" s="787"/>
      <c r="AD103" s="787"/>
      <c r="AE103" s="787"/>
      <c r="AF103" s="787"/>
    </row>
    <row r="104" spans="6:32" ht="16.5" customHeight="1">
      <c r="F104" s="787"/>
      <c r="G104" s="787"/>
      <c r="H104" s="787"/>
      <c r="I104" s="787"/>
      <c r="J104" s="787"/>
      <c r="K104" s="787"/>
      <c r="L104" s="787"/>
      <c r="M104" s="787"/>
      <c r="N104" s="787"/>
      <c r="O104" s="787"/>
      <c r="P104" s="787"/>
      <c r="Q104" s="787"/>
      <c r="R104" s="787"/>
      <c r="S104" s="787"/>
      <c r="T104" s="787"/>
      <c r="U104" s="787"/>
      <c r="V104" s="787"/>
      <c r="W104" s="787"/>
      <c r="X104" s="787"/>
      <c r="Y104" s="787"/>
      <c r="Z104" s="787"/>
      <c r="AA104" s="787"/>
      <c r="AB104" s="787"/>
      <c r="AC104" s="787"/>
      <c r="AD104" s="787"/>
      <c r="AE104" s="787"/>
      <c r="AF104" s="787"/>
    </row>
    <row r="105" spans="6:32" ht="16.5" customHeight="1">
      <c r="F105" s="787"/>
      <c r="G105" s="787"/>
      <c r="H105" s="787"/>
      <c r="I105" s="787"/>
      <c r="J105" s="787"/>
      <c r="K105" s="787"/>
      <c r="L105" s="787"/>
      <c r="M105" s="787"/>
      <c r="N105" s="787"/>
      <c r="O105" s="787"/>
      <c r="P105" s="787"/>
      <c r="Q105" s="787"/>
      <c r="R105" s="787"/>
      <c r="S105" s="787"/>
      <c r="T105" s="787"/>
      <c r="U105" s="787"/>
      <c r="V105" s="787"/>
      <c r="W105" s="787"/>
      <c r="X105" s="787"/>
      <c r="Y105" s="787"/>
      <c r="Z105" s="787"/>
      <c r="AA105" s="787"/>
      <c r="AB105" s="787"/>
      <c r="AC105" s="787"/>
      <c r="AD105" s="787"/>
      <c r="AE105" s="787"/>
      <c r="AF105" s="787"/>
    </row>
    <row r="106" spans="6:32" ht="16.5" customHeight="1">
      <c r="F106" s="787"/>
      <c r="G106" s="787"/>
      <c r="H106" s="787"/>
      <c r="I106" s="787"/>
      <c r="J106" s="787"/>
      <c r="K106" s="787"/>
      <c r="L106" s="787"/>
      <c r="M106" s="787"/>
      <c r="N106" s="787"/>
      <c r="O106" s="787"/>
      <c r="P106" s="787"/>
      <c r="Q106" s="787"/>
      <c r="R106" s="787"/>
      <c r="S106" s="787"/>
      <c r="T106" s="787"/>
      <c r="U106" s="787"/>
      <c r="V106" s="787"/>
      <c r="W106" s="787"/>
      <c r="X106" s="787"/>
      <c r="Y106" s="787"/>
      <c r="Z106" s="787"/>
      <c r="AA106" s="787"/>
      <c r="AB106" s="787"/>
      <c r="AC106" s="787"/>
      <c r="AD106" s="787"/>
      <c r="AE106" s="787"/>
      <c r="AF106" s="787"/>
    </row>
    <row r="107" spans="6:32" ht="16.5" customHeight="1">
      <c r="F107" s="787"/>
      <c r="G107" s="787"/>
      <c r="H107" s="787"/>
      <c r="I107" s="787"/>
      <c r="J107" s="787"/>
      <c r="K107" s="787"/>
      <c r="L107" s="787"/>
      <c r="M107" s="787"/>
      <c r="N107" s="787"/>
      <c r="O107" s="787"/>
      <c r="P107" s="787"/>
      <c r="Q107" s="787"/>
      <c r="R107" s="787"/>
      <c r="S107" s="787"/>
      <c r="T107" s="787"/>
      <c r="U107" s="787"/>
      <c r="V107" s="787"/>
      <c r="W107" s="787"/>
      <c r="X107" s="787"/>
      <c r="Y107" s="787"/>
      <c r="Z107" s="787"/>
      <c r="AA107" s="787"/>
      <c r="AB107" s="787"/>
      <c r="AC107" s="787"/>
      <c r="AD107" s="787"/>
      <c r="AE107" s="787"/>
      <c r="AF107" s="787"/>
    </row>
    <row r="108" spans="6:32" ht="16.5" customHeight="1">
      <c r="F108" s="787"/>
      <c r="G108" s="787"/>
      <c r="H108" s="787"/>
      <c r="I108" s="787"/>
      <c r="J108" s="787"/>
      <c r="K108" s="787"/>
      <c r="L108" s="787"/>
      <c r="M108" s="787"/>
      <c r="N108" s="787"/>
      <c r="O108" s="787"/>
      <c r="P108" s="787"/>
      <c r="Q108" s="787"/>
      <c r="R108" s="787"/>
      <c r="S108" s="787"/>
      <c r="T108" s="787"/>
      <c r="U108" s="787"/>
      <c r="V108" s="787"/>
      <c r="W108" s="787"/>
      <c r="X108" s="787"/>
      <c r="Y108" s="787"/>
      <c r="Z108" s="787"/>
      <c r="AA108" s="787"/>
      <c r="AB108" s="787"/>
      <c r="AC108" s="787"/>
      <c r="AD108" s="787"/>
      <c r="AE108" s="787"/>
      <c r="AF108" s="787"/>
    </row>
    <row r="109" spans="6:32" ht="16.5" customHeight="1">
      <c r="F109" s="787"/>
      <c r="G109" s="787"/>
      <c r="H109" s="787"/>
      <c r="I109" s="787"/>
      <c r="J109" s="787"/>
      <c r="K109" s="787"/>
      <c r="L109" s="787"/>
      <c r="M109" s="787"/>
      <c r="N109" s="787"/>
      <c r="O109" s="787"/>
      <c r="P109" s="787"/>
      <c r="Q109" s="787"/>
      <c r="R109" s="787"/>
      <c r="S109" s="787"/>
      <c r="T109" s="787"/>
      <c r="U109" s="787"/>
      <c r="V109" s="787"/>
      <c r="W109" s="787"/>
      <c r="X109" s="787"/>
      <c r="Y109" s="787"/>
      <c r="Z109" s="787"/>
      <c r="AA109" s="787"/>
      <c r="AB109" s="787"/>
      <c r="AC109" s="787"/>
      <c r="AD109" s="787"/>
      <c r="AE109" s="787"/>
      <c r="AF109" s="787"/>
    </row>
    <row r="110" spans="6:32" ht="16.5" customHeight="1">
      <c r="F110" s="787"/>
      <c r="G110" s="787"/>
      <c r="H110" s="787"/>
      <c r="I110" s="787"/>
      <c r="J110" s="787"/>
      <c r="K110" s="787"/>
      <c r="L110" s="787"/>
      <c r="M110" s="787"/>
      <c r="N110" s="787"/>
      <c r="O110" s="787"/>
      <c r="P110" s="787"/>
      <c r="Q110" s="787"/>
      <c r="R110" s="787"/>
      <c r="S110" s="787"/>
      <c r="T110" s="787"/>
      <c r="U110" s="787"/>
      <c r="V110" s="787"/>
      <c r="W110" s="787"/>
      <c r="X110" s="787"/>
      <c r="Y110" s="787"/>
      <c r="Z110" s="787"/>
      <c r="AA110" s="787"/>
      <c r="AB110" s="787"/>
      <c r="AC110" s="787"/>
      <c r="AD110" s="787"/>
      <c r="AE110" s="787"/>
      <c r="AF110" s="787"/>
    </row>
    <row r="111" spans="6:32" ht="16.5" customHeight="1">
      <c r="F111" s="787"/>
      <c r="G111" s="787"/>
      <c r="H111" s="787"/>
      <c r="I111" s="787"/>
      <c r="J111" s="787"/>
      <c r="K111" s="787"/>
      <c r="L111" s="787"/>
      <c r="M111" s="787"/>
      <c r="N111" s="787"/>
      <c r="O111" s="787"/>
      <c r="P111" s="787"/>
      <c r="Q111" s="787"/>
      <c r="R111" s="787"/>
      <c r="S111" s="787"/>
      <c r="T111" s="787"/>
      <c r="U111" s="787"/>
      <c r="V111" s="787"/>
      <c r="W111" s="787"/>
      <c r="X111" s="787"/>
      <c r="Y111" s="787"/>
      <c r="Z111" s="787"/>
      <c r="AA111" s="787"/>
      <c r="AB111" s="787"/>
      <c r="AC111" s="787"/>
      <c r="AD111" s="787"/>
      <c r="AE111" s="787"/>
      <c r="AF111" s="787"/>
    </row>
    <row r="112" spans="6:32" ht="16.5" customHeight="1">
      <c r="F112" s="787"/>
      <c r="G112" s="787"/>
      <c r="H112" s="787"/>
      <c r="I112" s="787"/>
      <c r="J112" s="787"/>
      <c r="K112" s="787"/>
      <c r="L112" s="787"/>
      <c r="M112" s="787"/>
      <c r="N112" s="787"/>
      <c r="O112" s="787"/>
      <c r="P112" s="787"/>
      <c r="Q112" s="787"/>
      <c r="R112" s="787"/>
      <c r="S112" s="787"/>
      <c r="T112" s="787"/>
      <c r="U112" s="787"/>
      <c r="V112" s="787"/>
      <c r="W112" s="787"/>
      <c r="X112" s="787"/>
      <c r="Y112" s="787"/>
      <c r="Z112" s="787"/>
      <c r="AA112" s="787"/>
      <c r="AB112" s="787"/>
      <c r="AC112" s="787"/>
      <c r="AD112" s="787"/>
      <c r="AE112" s="787"/>
      <c r="AF112" s="787"/>
    </row>
    <row r="113" spans="6:32" ht="16.5" customHeight="1">
      <c r="F113" s="787"/>
      <c r="G113" s="787"/>
      <c r="H113" s="787"/>
      <c r="I113" s="787"/>
      <c r="J113" s="787"/>
      <c r="K113" s="787"/>
      <c r="L113" s="787"/>
      <c r="M113" s="787"/>
      <c r="N113" s="787"/>
      <c r="O113" s="787"/>
      <c r="P113" s="787"/>
      <c r="Q113" s="787"/>
      <c r="R113" s="787"/>
      <c r="S113" s="787"/>
      <c r="T113" s="787"/>
      <c r="U113" s="787"/>
      <c r="V113" s="787"/>
      <c r="W113" s="787"/>
      <c r="X113" s="787"/>
      <c r="Y113" s="787"/>
      <c r="Z113" s="787"/>
      <c r="AA113" s="787"/>
      <c r="AB113" s="787"/>
      <c r="AC113" s="787"/>
      <c r="AD113" s="787"/>
      <c r="AE113" s="787"/>
      <c r="AF113" s="787"/>
    </row>
    <row r="114" spans="6:32" ht="16.5" customHeight="1">
      <c r="F114" s="787"/>
      <c r="G114" s="787"/>
      <c r="H114" s="787"/>
      <c r="I114" s="787"/>
      <c r="J114" s="787"/>
      <c r="K114" s="787"/>
      <c r="L114" s="787"/>
      <c r="M114" s="787"/>
      <c r="N114" s="787"/>
      <c r="O114" s="787"/>
      <c r="P114" s="787"/>
      <c r="Q114" s="787"/>
      <c r="R114" s="787"/>
      <c r="S114" s="787"/>
      <c r="T114" s="787"/>
      <c r="U114" s="787"/>
      <c r="V114" s="787"/>
      <c r="W114" s="787"/>
      <c r="X114" s="787"/>
      <c r="Y114" s="787"/>
      <c r="Z114" s="787"/>
      <c r="AA114" s="787"/>
      <c r="AB114" s="787"/>
      <c r="AC114" s="787"/>
      <c r="AD114" s="787"/>
      <c r="AE114" s="787"/>
      <c r="AF114" s="787"/>
    </row>
    <row r="115" spans="6:32" ht="16.5" customHeight="1">
      <c r="F115" s="787"/>
      <c r="G115" s="787"/>
      <c r="H115" s="787"/>
      <c r="I115" s="787"/>
      <c r="J115" s="787"/>
      <c r="K115" s="787"/>
      <c r="L115" s="787"/>
      <c r="M115" s="787"/>
      <c r="N115" s="787"/>
      <c r="O115" s="787"/>
      <c r="P115" s="787"/>
      <c r="Q115" s="787"/>
      <c r="R115" s="787"/>
      <c r="S115" s="787"/>
      <c r="T115" s="787"/>
      <c r="U115" s="787"/>
      <c r="V115" s="787"/>
      <c r="W115" s="787"/>
      <c r="X115" s="787"/>
      <c r="Y115" s="787"/>
      <c r="Z115" s="787"/>
      <c r="AA115" s="787"/>
      <c r="AB115" s="787"/>
      <c r="AC115" s="787"/>
      <c r="AD115" s="787"/>
      <c r="AE115" s="787"/>
      <c r="AF115" s="787"/>
    </row>
    <row r="116" spans="6:32" ht="16.5" customHeight="1">
      <c r="F116" s="787"/>
      <c r="G116" s="787"/>
      <c r="H116" s="787"/>
      <c r="I116" s="787"/>
      <c r="J116" s="787"/>
      <c r="K116" s="787"/>
      <c r="L116" s="787"/>
      <c r="M116" s="787"/>
      <c r="N116" s="787"/>
      <c r="O116" s="787"/>
      <c r="P116" s="787"/>
      <c r="Q116" s="787"/>
      <c r="R116" s="787"/>
      <c r="S116" s="787"/>
      <c r="T116" s="787"/>
      <c r="U116" s="787"/>
      <c r="V116" s="787"/>
      <c r="W116" s="787"/>
      <c r="X116" s="787"/>
      <c r="Y116" s="787"/>
      <c r="Z116" s="787"/>
      <c r="AA116" s="787"/>
      <c r="AB116" s="787"/>
      <c r="AC116" s="787"/>
      <c r="AD116" s="787"/>
      <c r="AE116" s="787"/>
      <c r="AF116" s="787"/>
    </row>
    <row r="117" spans="6:32" ht="16.5" customHeight="1">
      <c r="F117" s="787"/>
      <c r="G117" s="787"/>
      <c r="H117" s="787"/>
      <c r="I117" s="787"/>
      <c r="J117" s="787"/>
      <c r="K117" s="787"/>
      <c r="L117" s="787"/>
      <c r="M117" s="787"/>
      <c r="N117" s="787"/>
      <c r="O117" s="787"/>
      <c r="P117" s="787"/>
      <c r="Q117" s="787"/>
      <c r="R117" s="787"/>
      <c r="S117" s="787"/>
      <c r="T117" s="787"/>
      <c r="U117" s="787"/>
      <c r="V117" s="787"/>
      <c r="W117" s="787"/>
      <c r="X117" s="787"/>
      <c r="Y117" s="787"/>
      <c r="Z117" s="787"/>
      <c r="AA117" s="787"/>
      <c r="AB117" s="787"/>
      <c r="AC117" s="787"/>
      <c r="AD117" s="787"/>
      <c r="AE117" s="787"/>
      <c r="AF117" s="787"/>
    </row>
    <row r="118" spans="6:32" ht="16.5" customHeight="1">
      <c r="F118" s="787"/>
      <c r="G118" s="787"/>
      <c r="H118" s="787"/>
      <c r="I118" s="787"/>
      <c r="J118" s="787"/>
      <c r="K118" s="787"/>
      <c r="L118" s="787"/>
      <c r="M118" s="787"/>
      <c r="N118" s="787"/>
      <c r="O118" s="787"/>
      <c r="P118" s="787"/>
      <c r="Q118" s="787"/>
      <c r="R118" s="787"/>
      <c r="S118" s="787"/>
      <c r="T118" s="787"/>
      <c r="U118" s="787"/>
      <c r="V118" s="787"/>
      <c r="W118" s="787"/>
      <c r="X118" s="787"/>
      <c r="Y118" s="787"/>
      <c r="Z118" s="787"/>
      <c r="AA118" s="787"/>
      <c r="AB118" s="787"/>
      <c r="AC118" s="787"/>
      <c r="AD118" s="787"/>
      <c r="AE118" s="787"/>
      <c r="AF118" s="787"/>
    </row>
    <row r="119" spans="6:32" ht="16.5" customHeight="1">
      <c r="F119" s="787"/>
      <c r="G119" s="787"/>
      <c r="H119" s="787"/>
      <c r="I119" s="787"/>
      <c r="J119" s="787"/>
      <c r="K119" s="787"/>
      <c r="L119" s="787"/>
      <c r="M119" s="787"/>
      <c r="N119" s="787"/>
      <c r="O119" s="787"/>
      <c r="P119" s="787"/>
      <c r="Q119" s="787"/>
      <c r="R119" s="787"/>
      <c r="S119" s="787"/>
      <c r="T119" s="787"/>
      <c r="U119" s="787"/>
      <c r="V119" s="787"/>
      <c r="W119" s="787"/>
      <c r="X119" s="787"/>
      <c r="Y119" s="787"/>
      <c r="Z119" s="787"/>
      <c r="AA119" s="787"/>
      <c r="AB119" s="787"/>
      <c r="AC119" s="787"/>
      <c r="AD119" s="787"/>
      <c r="AE119" s="787"/>
      <c r="AF119" s="787"/>
    </row>
    <row r="120" spans="6:32" ht="16.5" customHeight="1">
      <c r="F120" s="787"/>
      <c r="G120" s="787"/>
      <c r="H120" s="787"/>
      <c r="I120" s="787"/>
      <c r="J120" s="787"/>
      <c r="K120" s="787"/>
      <c r="L120" s="787"/>
      <c r="M120" s="787"/>
      <c r="N120" s="787"/>
      <c r="O120" s="787"/>
      <c r="P120" s="787"/>
      <c r="Q120" s="787"/>
      <c r="R120" s="787"/>
      <c r="S120" s="787"/>
      <c r="T120" s="787"/>
      <c r="U120" s="787"/>
      <c r="V120" s="787"/>
      <c r="W120" s="787"/>
      <c r="X120" s="787"/>
      <c r="Y120" s="787"/>
      <c r="Z120" s="787"/>
      <c r="AA120" s="787"/>
      <c r="AB120" s="787"/>
      <c r="AC120" s="787"/>
      <c r="AD120" s="787"/>
      <c r="AE120" s="787"/>
      <c r="AF120" s="787"/>
    </row>
    <row r="121" spans="6:32" ht="16.5" customHeight="1">
      <c r="F121" s="787"/>
      <c r="G121" s="787"/>
      <c r="H121" s="787"/>
      <c r="I121" s="787"/>
      <c r="J121" s="787"/>
      <c r="K121" s="787"/>
      <c r="L121" s="787"/>
      <c r="M121" s="787"/>
      <c r="N121" s="787"/>
      <c r="O121" s="787"/>
      <c r="P121" s="787"/>
      <c r="Q121" s="787"/>
      <c r="R121" s="787"/>
      <c r="S121" s="787"/>
      <c r="T121" s="787"/>
      <c r="U121" s="787"/>
      <c r="V121" s="787"/>
      <c r="W121" s="787"/>
      <c r="X121" s="787"/>
      <c r="Y121" s="787"/>
      <c r="Z121" s="787"/>
      <c r="AA121" s="787"/>
      <c r="AB121" s="787"/>
      <c r="AC121" s="787"/>
      <c r="AD121" s="787"/>
      <c r="AE121" s="787"/>
      <c r="AF121" s="787"/>
    </row>
    <row r="122" spans="6:32" ht="16.5" customHeight="1">
      <c r="F122" s="787"/>
      <c r="G122" s="787"/>
      <c r="H122" s="787"/>
      <c r="I122" s="787"/>
      <c r="J122" s="787"/>
      <c r="K122" s="787"/>
      <c r="L122" s="787"/>
      <c r="M122" s="787"/>
      <c r="N122" s="787"/>
      <c r="O122" s="787"/>
      <c r="P122" s="787"/>
      <c r="Q122" s="787"/>
      <c r="R122" s="787"/>
      <c r="S122" s="787"/>
      <c r="T122" s="787"/>
      <c r="U122" s="787"/>
      <c r="V122" s="787"/>
      <c r="W122" s="787"/>
      <c r="X122" s="787"/>
      <c r="Y122" s="787"/>
      <c r="Z122" s="787"/>
      <c r="AA122" s="787"/>
      <c r="AB122" s="787"/>
      <c r="AC122" s="787"/>
      <c r="AD122" s="787"/>
      <c r="AE122" s="787"/>
      <c r="AF122" s="787"/>
    </row>
    <row r="123" spans="6:32" ht="16.5" customHeight="1">
      <c r="F123" s="787"/>
      <c r="G123" s="787"/>
      <c r="H123" s="787"/>
      <c r="I123" s="787"/>
      <c r="J123" s="787"/>
      <c r="K123" s="787"/>
      <c r="L123" s="787"/>
      <c r="M123" s="787"/>
      <c r="N123" s="787"/>
      <c r="O123" s="787"/>
      <c r="P123" s="787"/>
      <c r="Q123" s="787"/>
      <c r="R123" s="787"/>
      <c r="S123" s="787"/>
      <c r="T123" s="787"/>
      <c r="U123" s="787"/>
      <c r="V123" s="787"/>
      <c r="W123" s="787"/>
      <c r="X123" s="787"/>
      <c r="Y123" s="787"/>
      <c r="Z123" s="787"/>
      <c r="AA123" s="787"/>
      <c r="AB123" s="787"/>
      <c r="AC123" s="787"/>
      <c r="AD123" s="787"/>
      <c r="AE123" s="787"/>
      <c r="AF123" s="787"/>
    </row>
    <row r="124" spans="6:32" ht="16.5" customHeight="1">
      <c r="F124" s="787"/>
      <c r="G124" s="787"/>
      <c r="H124" s="787"/>
      <c r="I124" s="787"/>
      <c r="J124" s="787"/>
      <c r="K124" s="787"/>
      <c r="L124" s="787"/>
      <c r="M124" s="787"/>
      <c r="N124" s="787"/>
      <c r="O124" s="787"/>
      <c r="P124" s="787"/>
      <c r="Q124" s="787"/>
      <c r="R124" s="787"/>
      <c r="S124" s="787"/>
      <c r="T124" s="787"/>
      <c r="U124" s="787"/>
      <c r="V124" s="787"/>
      <c r="W124" s="787"/>
      <c r="X124" s="787"/>
      <c r="Y124" s="787"/>
      <c r="Z124" s="787"/>
      <c r="AA124" s="787"/>
      <c r="AB124" s="787"/>
      <c r="AC124" s="787"/>
      <c r="AD124" s="787"/>
      <c r="AE124" s="787"/>
      <c r="AF124" s="787"/>
    </row>
    <row r="125" spans="6:32" ht="16.5" customHeight="1">
      <c r="F125" s="787"/>
      <c r="G125" s="787"/>
      <c r="H125" s="787"/>
      <c r="I125" s="787"/>
      <c r="J125" s="787"/>
      <c r="K125" s="787"/>
      <c r="L125" s="787"/>
      <c r="M125" s="787"/>
      <c r="N125" s="787"/>
      <c r="O125" s="787"/>
      <c r="P125" s="787"/>
      <c r="Q125" s="787"/>
      <c r="R125" s="787"/>
      <c r="S125" s="787"/>
      <c r="T125" s="787"/>
      <c r="U125" s="787"/>
      <c r="V125" s="787"/>
      <c r="W125" s="787"/>
      <c r="X125" s="787"/>
      <c r="Y125" s="787"/>
      <c r="Z125" s="787"/>
      <c r="AA125" s="787"/>
      <c r="AB125" s="787"/>
      <c r="AC125" s="787"/>
      <c r="AD125" s="787"/>
      <c r="AE125" s="787"/>
      <c r="AF125" s="787"/>
    </row>
    <row r="126" spans="6:32" ht="16.5" customHeight="1">
      <c r="F126" s="787"/>
      <c r="G126" s="787"/>
      <c r="H126" s="787"/>
      <c r="I126" s="787"/>
      <c r="J126" s="787"/>
      <c r="K126" s="787"/>
      <c r="L126" s="787"/>
      <c r="M126" s="787"/>
      <c r="N126" s="787"/>
      <c r="O126" s="787"/>
      <c r="P126" s="787"/>
      <c r="Q126" s="787"/>
      <c r="R126" s="787"/>
      <c r="S126" s="787"/>
      <c r="T126" s="787"/>
      <c r="U126" s="787"/>
      <c r="V126" s="787"/>
      <c r="W126" s="787"/>
      <c r="X126" s="787"/>
      <c r="Y126" s="787"/>
      <c r="Z126" s="787"/>
      <c r="AA126" s="787"/>
      <c r="AB126" s="787"/>
      <c r="AC126" s="787"/>
      <c r="AD126" s="787"/>
      <c r="AE126" s="787"/>
      <c r="AF126" s="787"/>
    </row>
    <row r="127" spans="6:32" ht="16.5" customHeight="1">
      <c r="F127" s="787"/>
      <c r="G127" s="787"/>
      <c r="H127" s="787"/>
      <c r="I127" s="787"/>
      <c r="J127" s="787"/>
      <c r="K127" s="787"/>
      <c r="L127" s="787"/>
      <c r="M127" s="787"/>
      <c r="N127" s="787"/>
      <c r="O127" s="787"/>
      <c r="P127" s="787"/>
      <c r="Q127" s="787"/>
      <c r="R127" s="787"/>
      <c r="S127" s="787"/>
      <c r="T127" s="787"/>
      <c r="U127" s="787"/>
      <c r="V127" s="787"/>
      <c r="W127" s="787"/>
      <c r="X127" s="787"/>
      <c r="Y127" s="787"/>
      <c r="Z127" s="787"/>
      <c r="AA127" s="787"/>
      <c r="AB127" s="787"/>
      <c r="AC127" s="787"/>
      <c r="AD127" s="787"/>
      <c r="AE127" s="787"/>
      <c r="AF127" s="787"/>
    </row>
    <row r="128" spans="6:32" ht="16.5" customHeight="1">
      <c r="F128" s="787"/>
      <c r="G128" s="787"/>
      <c r="H128" s="787"/>
      <c r="I128" s="787"/>
      <c r="J128" s="787"/>
      <c r="K128" s="787"/>
      <c r="L128" s="787"/>
      <c r="M128" s="787"/>
      <c r="N128" s="787"/>
      <c r="O128" s="787"/>
      <c r="P128" s="787"/>
      <c r="Q128" s="787"/>
      <c r="R128" s="787"/>
      <c r="S128" s="787"/>
      <c r="T128" s="787"/>
      <c r="U128" s="787"/>
      <c r="V128" s="787"/>
      <c r="W128" s="787"/>
      <c r="X128" s="787"/>
      <c r="Y128" s="787"/>
      <c r="Z128" s="787"/>
      <c r="AA128" s="787"/>
      <c r="AB128" s="787"/>
      <c r="AC128" s="787"/>
      <c r="AD128" s="787"/>
      <c r="AE128" s="787"/>
      <c r="AF128" s="787"/>
    </row>
    <row r="129" spans="6:32" ht="16.5" customHeight="1">
      <c r="F129" s="787"/>
      <c r="G129" s="787"/>
      <c r="H129" s="787"/>
      <c r="I129" s="787"/>
      <c r="J129" s="787"/>
      <c r="K129" s="787"/>
      <c r="L129" s="787"/>
      <c r="M129" s="787"/>
      <c r="N129" s="787"/>
      <c r="O129" s="787"/>
      <c r="P129" s="787"/>
      <c r="Q129" s="787"/>
      <c r="R129" s="787"/>
      <c r="S129" s="787"/>
      <c r="T129" s="787"/>
      <c r="U129" s="787"/>
      <c r="V129" s="787"/>
      <c r="W129" s="787"/>
      <c r="X129" s="787"/>
      <c r="Y129" s="787"/>
      <c r="Z129" s="787"/>
      <c r="AA129" s="787"/>
      <c r="AB129" s="787"/>
      <c r="AC129" s="787"/>
      <c r="AD129" s="787"/>
      <c r="AE129" s="787"/>
      <c r="AF129" s="787"/>
    </row>
    <row r="130" spans="6:32" ht="16.5" customHeight="1">
      <c r="F130" s="787"/>
      <c r="G130" s="787"/>
      <c r="H130" s="787"/>
      <c r="I130" s="787"/>
      <c r="J130" s="787"/>
      <c r="K130" s="787"/>
      <c r="L130" s="787"/>
      <c r="M130" s="787"/>
      <c r="N130" s="787"/>
      <c r="O130" s="787"/>
      <c r="P130" s="787"/>
      <c r="Q130" s="787"/>
      <c r="R130" s="787"/>
      <c r="S130" s="787"/>
      <c r="T130" s="787"/>
      <c r="U130" s="787"/>
      <c r="V130" s="787"/>
      <c r="W130" s="787"/>
      <c r="X130" s="787"/>
      <c r="Y130" s="787"/>
      <c r="Z130" s="787"/>
      <c r="AA130" s="787"/>
      <c r="AB130" s="787"/>
      <c r="AC130" s="787"/>
      <c r="AD130" s="787"/>
      <c r="AE130" s="787"/>
      <c r="AF130" s="787"/>
    </row>
    <row r="131" spans="6:32" ht="16.5" customHeight="1">
      <c r="F131" s="787"/>
      <c r="G131" s="787"/>
      <c r="H131" s="787"/>
      <c r="I131" s="787"/>
      <c r="J131" s="787"/>
      <c r="K131" s="787"/>
      <c r="L131" s="787"/>
      <c r="M131" s="787"/>
      <c r="N131" s="787"/>
      <c r="O131" s="787"/>
      <c r="P131" s="787"/>
      <c r="Q131" s="787"/>
      <c r="R131" s="787"/>
      <c r="S131" s="787"/>
      <c r="T131" s="787"/>
      <c r="U131" s="787"/>
      <c r="V131" s="787"/>
      <c r="W131" s="787"/>
      <c r="X131" s="787"/>
      <c r="Y131" s="787"/>
      <c r="Z131" s="787"/>
      <c r="AA131" s="787"/>
      <c r="AB131" s="787"/>
      <c r="AC131" s="787"/>
      <c r="AD131" s="787"/>
      <c r="AE131" s="787"/>
      <c r="AF131" s="787"/>
    </row>
    <row r="132" spans="6:32" ht="16.5" customHeight="1">
      <c r="F132" s="787"/>
      <c r="G132" s="787"/>
      <c r="H132" s="787"/>
      <c r="I132" s="787"/>
      <c r="J132" s="787"/>
      <c r="K132" s="787"/>
      <c r="L132" s="787"/>
      <c r="M132" s="787"/>
      <c r="N132" s="787"/>
      <c r="O132" s="787"/>
      <c r="P132" s="787"/>
      <c r="Q132" s="787"/>
      <c r="R132" s="787"/>
      <c r="S132" s="787"/>
      <c r="T132" s="787"/>
      <c r="U132" s="787"/>
      <c r="V132" s="787"/>
      <c r="W132" s="787"/>
      <c r="X132" s="787"/>
      <c r="Y132" s="787"/>
      <c r="Z132" s="787"/>
      <c r="AA132" s="787"/>
      <c r="AB132" s="787"/>
      <c r="AC132" s="787"/>
      <c r="AD132" s="787"/>
      <c r="AE132" s="787"/>
      <c r="AF132" s="787"/>
    </row>
    <row r="133" spans="6:32" ht="16.5" customHeight="1">
      <c r="F133" s="787"/>
      <c r="G133" s="787"/>
      <c r="H133" s="787"/>
      <c r="I133" s="787"/>
      <c r="J133" s="787"/>
      <c r="K133" s="787"/>
      <c r="L133" s="787"/>
      <c r="M133" s="787"/>
      <c r="N133" s="787"/>
      <c r="O133" s="787"/>
      <c r="P133" s="787"/>
      <c r="Q133" s="787"/>
      <c r="R133" s="787"/>
      <c r="S133" s="787"/>
      <c r="T133" s="787"/>
      <c r="U133" s="787"/>
      <c r="V133" s="787"/>
      <c r="W133" s="787"/>
      <c r="X133" s="787"/>
      <c r="Y133" s="787"/>
      <c r="Z133" s="787"/>
      <c r="AA133" s="787"/>
      <c r="AB133" s="787"/>
      <c r="AC133" s="787"/>
      <c r="AD133" s="787"/>
      <c r="AE133" s="787"/>
      <c r="AF133" s="787"/>
    </row>
    <row r="134" spans="6:32" ht="16.5" customHeight="1">
      <c r="F134" s="787"/>
      <c r="G134" s="787"/>
      <c r="H134" s="787"/>
      <c r="I134" s="787"/>
      <c r="J134" s="787"/>
      <c r="K134" s="787"/>
      <c r="L134" s="787"/>
      <c r="M134" s="787"/>
      <c r="N134" s="787"/>
      <c r="O134" s="787"/>
      <c r="P134" s="787"/>
      <c r="Q134" s="787"/>
      <c r="R134" s="787"/>
      <c r="S134" s="787"/>
      <c r="T134" s="787"/>
      <c r="U134" s="787"/>
      <c r="V134" s="787"/>
      <c r="W134" s="787"/>
      <c r="X134" s="787"/>
      <c r="Y134" s="787"/>
      <c r="Z134" s="787"/>
      <c r="AA134" s="787"/>
      <c r="AB134" s="787"/>
      <c r="AC134" s="787"/>
      <c r="AD134" s="787"/>
      <c r="AE134" s="787"/>
      <c r="AF134" s="787"/>
    </row>
    <row r="135" spans="6:32" ht="16.5" customHeight="1">
      <c r="F135" s="787"/>
      <c r="G135" s="787"/>
      <c r="H135" s="787"/>
      <c r="I135" s="787"/>
      <c r="J135" s="787"/>
      <c r="K135" s="787"/>
      <c r="L135" s="787"/>
      <c r="M135" s="787"/>
      <c r="N135" s="787"/>
      <c r="O135" s="787"/>
      <c r="P135" s="787"/>
      <c r="Q135" s="787"/>
      <c r="R135" s="787"/>
      <c r="S135" s="787"/>
      <c r="T135" s="787"/>
      <c r="U135" s="787"/>
      <c r="V135" s="787"/>
      <c r="W135" s="787"/>
      <c r="X135" s="787"/>
      <c r="Y135" s="787"/>
      <c r="Z135" s="787"/>
      <c r="AA135" s="787"/>
      <c r="AB135" s="787"/>
      <c r="AC135" s="787"/>
      <c r="AD135" s="787"/>
      <c r="AE135" s="787"/>
      <c r="AF135" s="787"/>
    </row>
    <row r="136" spans="6:32" ht="16.5" customHeight="1">
      <c r="F136" s="787"/>
      <c r="G136" s="787"/>
      <c r="H136" s="787"/>
      <c r="I136" s="787"/>
      <c r="J136" s="787"/>
      <c r="K136" s="787"/>
      <c r="L136" s="787"/>
      <c r="M136" s="787"/>
      <c r="N136" s="787"/>
      <c r="O136" s="787"/>
      <c r="P136" s="787"/>
      <c r="Q136" s="787"/>
      <c r="R136" s="787"/>
      <c r="S136" s="787"/>
      <c r="T136" s="787"/>
      <c r="U136" s="787"/>
      <c r="V136" s="787"/>
      <c r="W136" s="787"/>
      <c r="X136" s="787"/>
      <c r="Y136" s="787"/>
      <c r="Z136" s="787"/>
      <c r="AA136" s="787"/>
      <c r="AB136" s="787"/>
      <c r="AC136" s="787"/>
      <c r="AD136" s="787"/>
      <c r="AE136" s="787"/>
      <c r="AF136" s="787"/>
    </row>
    <row r="137" spans="6:32" ht="16.5" customHeight="1">
      <c r="F137" s="787"/>
      <c r="G137" s="787"/>
      <c r="H137" s="787"/>
      <c r="I137" s="787"/>
      <c r="J137" s="787"/>
      <c r="K137" s="787"/>
      <c r="L137" s="787"/>
      <c r="M137" s="787"/>
      <c r="N137" s="787"/>
      <c r="O137" s="787"/>
      <c r="P137" s="787"/>
      <c r="Q137" s="787"/>
      <c r="R137" s="787"/>
      <c r="S137" s="787"/>
      <c r="T137" s="787"/>
      <c r="U137" s="787"/>
      <c r="V137" s="787"/>
      <c r="W137" s="787"/>
      <c r="X137" s="787"/>
      <c r="Y137" s="787"/>
      <c r="Z137" s="787"/>
      <c r="AA137" s="787"/>
      <c r="AB137" s="787"/>
      <c r="AC137" s="787"/>
      <c r="AD137" s="787"/>
      <c r="AE137" s="787"/>
      <c r="AF137" s="787"/>
    </row>
    <row r="138" spans="6:32" ht="16.5" customHeight="1">
      <c r="F138" s="787"/>
      <c r="G138" s="787"/>
      <c r="H138" s="787"/>
      <c r="I138" s="787"/>
      <c r="J138" s="787"/>
      <c r="K138" s="787"/>
      <c r="L138" s="787"/>
      <c r="M138" s="787"/>
      <c r="N138" s="787"/>
      <c r="O138" s="787"/>
      <c r="P138" s="787"/>
      <c r="Q138" s="787"/>
      <c r="R138" s="787"/>
      <c r="S138" s="787"/>
      <c r="T138" s="787"/>
      <c r="U138" s="787"/>
      <c r="V138" s="787"/>
      <c r="W138" s="787"/>
      <c r="X138" s="787"/>
      <c r="Y138" s="787"/>
      <c r="Z138" s="787"/>
      <c r="AA138" s="787"/>
      <c r="AB138" s="787"/>
      <c r="AC138" s="787"/>
      <c r="AD138" s="787"/>
      <c r="AE138" s="787"/>
      <c r="AF138" s="787"/>
    </row>
    <row r="139" spans="6:32" ht="16.5" customHeight="1">
      <c r="F139" s="787"/>
      <c r="G139" s="787"/>
      <c r="H139" s="787"/>
      <c r="I139" s="787"/>
      <c r="J139" s="787"/>
      <c r="K139" s="787"/>
      <c r="L139" s="787"/>
      <c r="M139" s="787"/>
      <c r="N139" s="787"/>
      <c r="O139" s="787"/>
      <c r="P139" s="787"/>
      <c r="Q139" s="787"/>
      <c r="R139" s="787"/>
      <c r="S139" s="787"/>
      <c r="T139" s="787"/>
      <c r="U139" s="787"/>
      <c r="V139" s="787"/>
      <c r="W139" s="787"/>
      <c r="X139" s="787"/>
      <c r="Y139" s="787"/>
      <c r="Z139" s="787"/>
      <c r="AA139" s="787"/>
      <c r="AB139" s="787"/>
      <c r="AC139" s="787"/>
      <c r="AD139" s="787"/>
      <c r="AE139" s="787"/>
      <c r="AF139" s="787"/>
    </row>
    <row r="140" spans="6:32" ht="16.5" customHeight="1">
      <c r="F140" s="787"/>
      <c r="G140" s="787"/>
      <c r="H140" s="787"/>
      <c r="I140" s="787"/>
      <c r="J140" s="787"/>
      <c r="K140" s="787"/>
      <c r="L140" s="787"/>
      <c r="M140" s="787"/>
      <c r="N140" s="787"/>
      <c r="O140" s="787"/>
      <c r="P140" s="787"/>
      <c r="Q140" s="787"/>
      <c r="R140" s="787"/>
      <c r="S140" s="787"/>
      <c r="T140" s="787"/>
      <c r="U140" s="787"/>
      <c r="V140" s="787"/>
      <c r="W140" s="787"/>
      <c r="X140" s="787"/>
      <c r="Y140" s="787"/>
      <c r="Z140" s="787"/>
      <c r="AA140" s="787"/>
      <c r="AB140" s="787"/>
      <c r="AC140" s="787"/>
      <c r="AD140" s="787"/>
      <c r="AE140" s="787"/>
      <c r="AF140" s="787"/>
    </row>
    <row r="141" spans="6:32" ht="16.5" customHeight="1">
      <c r="F141" s="787"/>
      <c r="G141" s="787"/>
      <c r="H141" s="787"/>
      <c r="I141" s="787"/>
      <c r="J141" s="787"/>
      <c r="K141" s="787"/>
      <c r="L141" s="787"/>
      <c r="M141" s="787"/>
      <c r="N141" s="787"/>
      <c r="O141" s="787"/>
      <c r="P141" s="787"/>
      <c r="Q141" s="787"/>
      <c r="R141" s="787"/>
      <c r="S141" s="787"/>
      <c r="T141" s="787"/>
      <c r="U141" s="787"/>
      <c r="V141" s="787"/>
      <c r="W141" s="787"/>
      <c r="X141" s="787"/>
      <c r="Y141" s="787"/>
      <c r="Z141" s="787"/>
      <c r="AA141" s="787"/>
      <c r="AB141" s="787"/>
      <c r="AC141" s="787"/>
      <c r="AD141" s="787"/>
      <c r="AE141" s="787"/>
      <c r="AF141" s="787"/>
    </row>
    <row r="142" spans="6:32" ht="16.5" customHeight="1">
      <c r="F142" s="787"/>
      <c r="G142" s="787"/>
      <c r="H142" s="787"/>
      <c r="I142" s="787"/>
      <c r="J142" s="787"/>
      <c r="K142" s="787"/>
      <c r="L142" s="787"/>
      <c r="M142" s="787"/>
      <c r="N142" s="787"/>
      <c r="O142" s="787"/>
      <c r="P142" s="787"/>
      <c r="Q142" s="787"/>
      <c r="R142" s="787"/>
      <c r="S142" s="787"/>
      <c r="T142" s="787"/>
      <c r="U142" s="787"/>
      <c r="V142" s="787"/>
      <c r="W142" s="787"/>
      <c r="X142" s="787"/>
      <c r="Y142" s="787"/>
      <c r="Z142" s="787"/>
      <c r="AA142" s="787"/>
      <c r="AB142" s="787"/>
      <c r="AC142" s="787"/>
      <c r="AD142" s="787"/>
      <c r="AE142" s="787"/>
      <c r="AF142" s="787"/>
    </row>
    <row r="143" spans="6:32" ht="16.5" customHeight="1">
      <c r="F143" s="787"/>
      <c r="G143" s="787"/>
      <c r="H143" s="787"/>
      <c r="I143" s="787"/>
      <c r="J143" s="787"/>
      <c r="K143" s="787"/>
      <c r="L143" s="787"/>
      <c r="M143" s="787"/>
      <c r="N143" s="787"/>
      <c r="O143" s="787"/>
      <c r="P143" s="787"/>
      <c r="Q143" s="787"/>
      <c r="R143" s="787"/>
      <c r="S143" s="787"/>
      <c r="T143" s="787"/>
      <c r="U143" s="787"/>
      <c r="V143" s="787"/>
      <c r="W143" s="787"/>
      <c r="X143" s="787"/>
      <c r="Y143" s="787"/>
      <c r="Z143" s="787"/>
      <c r="AA143" s="787"/>
      <c r="AB143" s="787"/>
      <c r="AC143" s="787"/>
      <c r="AD143" s="787"/>
      <c r="AE143" s="787"/>
      <c r="AF143" s="787"/>
    </row>
    <row r="144" spans="6:32" ht="16.5" customHeight="1">
      <c r="F144" s="787"/>
      <c r="G144" s="787"/>
      <c r="H144" s="787"/>
      <c r="I144" s="787"/>
      <c r="J144" s="787"/>
      <c r="K144" s="787"/>
      <c r="L144" s="787"/>
      <c r="M144" s="787"/>
      <c r="N144" s="787"/>
      <c r="O144" s="787"/>
      <c r="P144" s="787"/>
      <c r="Q144" s="787"/>
      <c r="R144" s="787"/>
      <c r="S144" s="787"/>
      <c r="T144" s="787"/>
      <c r="U144" s="787"/>
      <c r="V144" s="787"/>
      <c r="W144" s="787"/>
      <c r="X144" s="787"/>
      <c r="Y144" s="787"/>
      <c r="Z144" s="787"/>
      <c r="AA144" s="787"/>
      <c r="AB144" s="787"/>
      <c r="AC144" s="787"/>
      <c r="AD144" s="787"/>
      <c r="AE144" s="787"/>
      <c r="AF144" s="787"/>
    </row>
    <row r="145" spans="6:32" ht="16.5" customHeight="1">
      <c r="F145" s="787"/>
      <c r="G145" s="787"/>
      <c r="H145" s="787"/>
      <c r="I145" s="787"/>
      <c r="J145" s="787"/>
      <c r="K145" s="787"/>
      <c r="L145" s="787"/>
      <c r="M145" s="787"/>
      <c r="N145" s="787"/>
      <c r="O145" s="787"/>
      <c r="P145" s="787"/>
      <c r="Q145" s="787"/>
      <c r="R145" s="787"/>
      <c r="S145" s="787"/>
      <c r="T145" s="787"/>
      <c r="U145" s="787"/>
      <c r="V145" s="787"/>
      <c r="W145" s="787"/>
      <c r="X145" s="787"/>
      <c r="Y145" s="787"/>
      <c r="Z145" s="787"/>
      <c r="AA145" s="787"/>
      <c r="AB145" s="787"/>
      <c r="AC145" s="787"/>
      <c r="AD145" s="787"/>
      <c r="AE145" s="787"/>
      <c r="AF145" s="787"/>
    </row>
    <row r="146" spans="6:32" ht="16.5" customHeight="1">
      <c r="F146" s="787"/>
      <c r="G146" s="787"/>
      <c r="H146" s="787"/>
      <c r="I146" s="787"/>
      <c r="J146" s="787"/>
      <c r="K146" s="787"/>
      <c r="L146" s="787"/>
      <c r="M146" s="787"/>
      <c r="N146" s="787"/>
      <c r="O146" s="787"/>
      <c r="P146" s="787"/>
      <c r="Q146" s="787"/>
      <c r="R146" s="787"/>
      <c r="S146" s="787"/>
      <c r="T146" s="787"/>
      <c r="U146" s="787"/>
      <c r="V146" s="787"/>
      <c r="W146" s="787"/>
      <c r="X146" s="787"/>
      <c r="Y146" s="787"/>
      <c r="Z146" s="787"/>
      <c r="AA146" s="787"/>
      <c r="AB146" s="787"/>
      <c r="AC146" s="787"/>
      <c r="AD146" s="787"/>
      <c r="AE146" s="787"/>
      <c r="AF146" s="787"/>
    </row>
    <row r="147" spans="6:32" ht="16.5" customHeight="1">
      <c r="F147" s="787"/>
      <c r="G147" s="787"/>
      <c r="H147" s="787"/>
      <c r="I147" s="787"/>
      <c r="J147" s="787"/>
      <c r="K147" s="787"/>
      <c r="L147" s="787"/>
      <c r="M147" s="787"/>
      <c r="N147" s="787"/>
      <c r="O147" s="787"/>
      <c r="P147" s="787"/>
      <c r="Q147" s="787"/>
      <c r="R147" s="787"/>
      <c r="S147" s="787"/>
      <c r="T147" s="787"/>
      <c r="U147" s="787"/>
      <c r="V147" s="787"/>
      <c r="W147" s="787"/>
      <c r="X147" s="787"/>
      <c r="Y147" s="787"/>
      <c r="Z147" s="787"/>
      <c r="AA147" s="787"/>
      <c r="AB147" s="787"/>
      <c r="AC147" s="787"/>
      <c r="AD147" s="787"/>
      <c r="AE147" s="787"/>
      <c r="AF147" s="787"/>
    </row>
    <row r="148" spans="6:32" ht="16.5" customHeight="1">
      <c r="F148" s="787"/>
      <c r="G148" s="787"/>
      <c r="H148" s="787"/>
      <c r="I148" s="787"/>
      <c r="J148" s="787"/>
      <c r="K148" s="787"/>
      <c r="L148" s="787"/>
      <c r="M148" s="787"/>
      <c r="N148" s="787"/>
      <c r="O148" s="787"/>
      <c r="P148" s="787"/>
      <c r="Q148" s="787"/>
      <c r="R148" s="787"/>
      <c r="S148" s="787"/>
      <c r="T148" s="787"/>
      <c r="U148" s="787"/>
      <c r="V148" s="787"/>
      <c r="W148" s="787"/>
      <c r="X148" s="787"/>
      <c r="Y148" s="787"/>
      <c r="Z148" s="787"/>
      <c r="AA148" s="787"/>
      <c r="AB148" s="787"/>
      <c r="AC148" s="787"/>
      <c r="AD148" s="787"/>
      <c r="AE148" s="787"/>
      <c r="AF148" s="787"/>
    </row>
    <row r="149" spans="6:32" ht="16.5" customHeight="1">
      <c r="F149" s="787"/>
      <c r="G149" s="787"/>
      <c r="H149" s="787"/>
      <c r="I149" s="787"/>
      <c r="J149" s="787"/>
      <c r="K149" s="787"/>
      <c r="L149" s="787"/>
      <c r="M149" s="787"/>
      <c r="N149" s="787"/>
      <c r="O149" s="787"/>
      <c r="P149" s="787"/>
      <c r="Q149" s="787"/>
      <c r="R149" s="787"/>
      <c r="S149" s="787"/>
      <c r="T149" s="787"/>
      <c r="U149" s="787"/>
      <c r="V149" s="787"/>
      <c r="W149" s="787"/>
      <c r="X149" s="787"/>
      <c r="Y149" s="787"/>
      <c r="Z149" s="787"/>
      <c r="AA149" s="787"/>
      <c r="AB149" s="787"/>
      <c r="AC149" s="787"/>
      <c r="AD149" s="787"/>
      <c r="AE149" s="787"/>
      <c r="AF149" s="787"/>
    </row>
    <row r="150" spans="6:32" ht="16.5" customHeight="1">
      <c r="F150" s="787"/>
      <c r="G150" s="787"/>
      <c r="H150" s="787"/>
      <c r="I150" s="787"/>
      <c r="J150" s="787"/>
      <c r="K150" s="787"/>
      <c r="L150" s="787"/>
      <c r="M150" s="787"/>
      <c r="N150" s="787"/>
      <c r="O150" s="787"/>
      <c r="P150" s="787"/>
      <c r="Q150" s="787"/>
      <c r="R150" s="787"/>
      <c r="S150" s="787"/>
      <c r="T150" s="787"/>
      <c r="U150" s="787"/>
      <c r="V150" s="787"/>
      <c r="W150" s="787"/>
      <c r="X150" s="787"/>
      <c r="Y150" s="787"/>
      <c r="Z150" s="787"/>
      <c r="AA150" s="787"/>
      <c r="AB150" s="787"/>
      <c r="AC150" s="787"/>
      <c r="AD150" s="787"/>
      <c r="AE150" s="787"/>
      <c r="AF150" s="787"/>
    </row>
    <row r="151" spans="6:32" ht="16.5" customHeight="1">
      <c r="F151" s="787"/>
      <c r="G151" s="787"/>
      <c r="H151" s="787"/>
      <c r="I151" s="787"/>
      <c r="J151" s="787"/>
      <c r="K151" s="787"/>
      <c r="L151" s="787"/>
      <c r="M151" s="787"/>
      <c r="N151" s="787"/>
      <c r="O151" s="787"/>
      <c r="P151" s="787"/>
      <c r="Q151" s="787"/>
      <c r="R151" s="787"/>
      <c r="S151" s="787"/>
      <c r="T151" s="787"/>
      <c r="U151" s="787"/>
      <c r="V151" s="787"/>
      <c r="W151" s="787"/>
      <c r="X151" s="787"/>
      <c r="Y151" s="787"/>
      <c r="Z151" s="787"/>
      <c r="AA151" s="787"/>
      <c r="AB151" s="787"/>
      <c r="AC151" s="787"/>
      <c r="AD151" s="787"/>
      <c r="AE151" s="787"/>
      <c r="AF151" s="787"/>
    </row>
    <row r="152" spans="6:32" ht="16.5" customHeight="1">
      <c r="F152" s="787"/>
      <c r="G152" s="787"/>
      <c r="H152" s="787"/>
      <c r="I152" s="787"/>
      <c r="J152" s="787"/>
      <c r="K152" s="787"/>
      <c r="L152" s="787"/>
      <c r="M152" s="787"/>
      <c r="N152" s="787"/>
      <c r="O152" s="787"/>
      <c r="P152" s="787"/>
      <c r="Q152" s="787"/>
      <c r="R152" s="787"/>
      <c r="S152" s="787"/>
      <c r="T152" s="787"/>
      <c r="U152" s="787"/>
      <c r="V152" s="787"/>
      <c r="W152" s="787"/>
      <c r="X152" s="787"/>
      <c r="Y152" s="787"/>
      <c r="Z152" s="787"/>
      <c r="AA152" s="787"/>
      <c r="AB152" s="787"/>
      <c r="AC152" s="787"/>
      <c r="AD152" s="787"/>
      <c r="AE152" s="787"/>
      <c r="AF152" s="787"/>
    </row>
    <row r="153" ht="16.5" customHeight="1">
      <c r="AF153" s="787"/>
    </row>
    <row r="154" ht="16.5" customHeight="1">
      <c r="AF154" s="787"/>
    </row>
    <row r="155" ht="16.5" customHeight="1">
      <c r="AF155" s="787"/>
    </row>
    <row r="156" ht="16.5" customHeight="1">
      <c r="AF156" s="787"/>
    </row>
    <row r="157" ht="16.5" customHeight="1"/>
    <row r="158" ht="16.5" customHeight="1"/>
    <row r="159" ht="16.5" customHeight="1"/>
  </sheetData>
  <sheetProtection/>
  <mergeCells count="1">
    <mergeCell ref="N14:R14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E154"/>
  <sheetViews>
    <sheetView zoomScale="85" zoomScaleNormal="85" zoomScalePageLayoutView="0" workbookViewId="0" topLeftCell="A1">
      <selection activeCell="F55" sqref="F55"/>
    </sheetView>
  </sheetViews>
  <sheetFormatPr defaultColWidth="11.421875" defaultRowHeight="12.75"/>
  <cols>
    <col min="1" max="2" width="4.140625" style="2555" customWidth="1"/>
    <col min="3" max="3" width="5.421875" style="2555" customWidth="1"/>
    <col min="4" max="5" width="13.57421875" style="2555" customWidth="1"/>
    <col min="6" max="7" width="25.7109375" style="2555" customWidth="1"/>
    <col min="8" max="8" width="9.7109375" style="2555" customWidth="1"/>
    <col min="9" max="9" width="12.7109375" style="2555" customWidth="1"/>
    <col min="10" max="10" width="7.7109375" style="2555" hidden="1" customWidth="1"/>
    <col min="11" max="12" width="15.7109375" style="2555" customWidth="1"/>
    <col min="13" max="16" width="9.7109375" style="2555" customWidth="1"/>
    <col min="17" max="17" width="5.8515625" style="2555" customWidth="1"/>
    <col min="18" max="18" width="7.00390625" style="2555" customWidth="1"/>
    <col min="19" max="19" width="13.140625" style="2555" hidden="1" customWidth="1"/>
    <col min="20" max="21" width="16.421875" style="2555" hidden="1" customWidth="1"/>
    <col min="22" max="22" width="16.57421875" style="2555" hidden="1" customWidth="1"/>
    <col min="23" max="27" width="16.28125" style="2555" hidden="1" customWidth="1"/>
    <col min="28" max="28" width="9.7109375" style="2555" customWidth="1"/>
    <col min="29" max="29" width="15.7109375" style="2555" customWidth="1"/>
    <col min="30" max="30" width="4.140625" style="2555" customWidth="1"/>
    <col min="31" max="16384" width="11.421875" style="2555" customWidth="1"/>
  </cols>
  <sheetData>
    <row r="1" spans="2:30" s="2503" customFormat="1" ht="26.25">
      <c r="B1" s="2504"/>
      <c r="C1" s="2504"/>
      <c r="D1" s="2504"/>
      <c r="E1" s="2504"/>
      <c r="F1" s="2504"/>
      <c r="G1" s="2504"/>
      <c r="H1" s="2504"/>
      <c r="I1" s="2504"/>
      <c r="J1" s="2504"/>
      <c r="K1" s="2504"/>
      <c r="L1" s="2504"/>
      <c r="M1" s="2504"/>
      <c r="N1" s="2504"/>
      <c r="O1" s="2504"/>
      <c r="P1" s="2504"/>
      <c r="Q1" s="2504"/>
      <c r="R1" s="2504"/>
      <c r="S1" s="2504"/>
      <c r="T1" s="2504"/>
      <c r="U1" s="2504"/>
      <c r="V1" s="2504"/>
      <c r="W1" s="2504"/>
      <c r="X1" s="2504"/>
      <c r="Y1" s="2504"/>
      <c r="Z1" s="2504"/>
      <c r="AA1" s="2504"/>
      <c r="AB1" s="2504"/>
      <c r="AC1" s="2504"/>
      <c r="AD1" s="2505"/>
    </row>
    <row r="2" spans="1:30" s="2503" customFormat="1" ht="26.25">
      <c r="A2" s="2504"/>
      <c r="B2" s="2506" t="str">
        <f>'TOT-1215'!B2</f>
        <v>ANEXO I al Memorándum D.T.E.E. N°  231  / 2017</v>
      </c>
      <c r="C2" s="2506"/>
      <c r="D2" s="2506"/>
      <c r="E2" s="2506"/>
      <c r="F2" s="2506"/>
      <c r="G2" s="2507"/>
      <c r="H2" s="2506"/>
      <c r="I2" s="2506"/>
      <c r="J2" s="2506"/>
      <c r="K2" s="2506"/>
      <c r="L2" s="2506"/>
      <c r="M2" s="2506"/>
      <c r="N2" s="2506"/>
      <c r="O2" s="2506"/>
      <c r="P2" s="2506"/>
      <c r="Q2" s="2506"/>
      <c r="R2" s="2506"/>
      <c r="S2" s="2506"/>
      <c r="T2" s="2506"/>
      <c r="U2" s="2506"/>
      <c r="V2" s="2506"/>
      <c r="W2" s="2506"/>
      <c r="X2" s="2506"/>
      <c r="Y2" s="2506"/>
      <c r="Z2" s="2506"/>
      <c r="AA2" s="2506"/>
      <c r="AB2" s="2506"/>
      <c r="AC2" s="2506"/>
      <c r="AD2" s="2506"/>
    </row>
    <row r="3" spans="1:30" s="2509" customFormat="1" ht="12.75">
      <c r="A3" s="2508"/>
      <c r="B3" s="2508"/>
      <c r="C3" s="2508"/>
      <c r="D3" s="2508"/>
      <c r="E3" s="2508"/>
      <c r="F3" s="2508"/>
      <c r="G3" s="2508"/>
      <c r="H3" s="2508"/>
      <c r="I3" s="2508"/>
      <c r="J3" s="2508"/>
      <c r="K3" s="2508"/>
      <c r="L3" s="2508"/>
      <c r="M3" s="2508"/>
      <c r="N3" s="2508"/>
      <c r="O3" s="2508"/>
      <c r="P3" s="2508"/>
      <c r="Q3" s="2508"/>
      <c r="R3" s="2508"/>
      <c r="S3" s="2508"/>
      <c r="T3" s="2508"/>
      <c r="U3" s="2508"/>
      <c r="V3" s="2508"/>
      <c r="W3" s="2508"/>
      <c r="X3" s="2508"/>
      <c r="Y3" s="2508"/>
      <c r="Z3" s="2508"/>
      <c r="AA3" s="2508"/>
      <c r="AB3" s="2508"/>
      <c r="AC3" s="2508"/>
      <c r="AD3" s="2508"/>
    </row>
    <row r="4" spans="1:30" s="2513" customFormat="1" ht="11.25">
      <c r="A4" s="2510" t="s">
        <v>49</v>
      </c>
      <c r="B4" s="2511"/>
      <c r="C4" s="2511"/>
      <c r="D4" s="2511"/>
      <c r="E4" s="2512"/>
      <c r="F4" s="2512"/>
      <c r="G4" s="2512"/>
      <c r="H4" s="2512"/>
      <c r="I4" s="2512"/>
      <c r="J4" s="2512"/>
      <c r="K4" s="2512"/>
      <c r="L4" s="2512"/>
      <c r="M4" s="2512"/>
      <c r="N4" s="2512"/>
      <c r="O4" s="2512"/>
      <c r="P4" s="2512"/>
      <c r="Q4" s="2512"/>
      <c r="R4" s="2512"/>
      <c r="S4" s="2512"/>
      <c r="T4" s="2512"/>
      <c r="U4" s="2512"/>
      <c r="V4" s="2512"/>
      <c r="W4" s="2512"/>
      <c r="X4" s="2512"/>
      <c r="Y4" s="2512"/>
      <c r="Z4" s="2512"/>
      <c r="AA4" s="2512"/>
      <c r="AB4" s="2512"/>
      <c r="AC4" s="2512"/>
      <c r="AD4" s="2512"/>
    </row>
    <row r="5" spans="1:30" s="2513" customFormat="1" ht="11.25">
      <c r="A5" s="2510" t="s">
        <v>3</v>
      </c>
      <c r="B5" s="2511"/>
      <c r="C5" s="2511"/>
      <c r="D5" s="2511"/>
      <c r="E5" s="2512"/>
      <c r="F5" s="2512"/>
      <c r="G5" s="2512"/>
      <c r="H5" s="2512"/>
      <c r="I5" s="2512"/>
      <c r="J5" s="2512"/>
      <c r="K5" s="2512"/>
      <c r="L5" s="2512"/>
      <c r="M5" s="2512"/>
      <c r="N5" s="2512"/>
      <c r="O5" s="2512"/>
      <c r="P5" s="2512"/>
      <c r="Q5" s="2512"/>
      <c r="R5" s="2512"/>
      <c r="S5" s="2512"/>
      <c r="T5" s="2512"/>
      <c r="U5" s="2512"/>
      <c r="V5" s="2512"/>
      <c r="W5" s="2512"/>
      <c r="X5" s="2512"/>
      <c r="Y5" s="2512"/>
      <c r="Z5" s="2512"/>
      <c r="AA5" s="2512"/>
      <c r="AB5" s="2512"/>
      <c r="AC5" s="2512"/>
      <c r="AD5" s="2512"/>
    </row>
    <row r="6" spans="1:30" s="2509" customFormat="1" ht="13.5" thickBot="1">
      <c r="A6" s="2508"/>
      <c r="B6" s="2508"/>
      <c r="C6" s="2508"/>
      <c r="D6" s="2508"/>
      <c r="E6" s="2508"/>
      <c r="F6" s="2508"/>
      <c r="G6" s="2508"/>
      <c r="H6" s="2508"/>
      <c r="I6" s="2508"/>
      <c r="J6" s="2508"/>
      <c r="K6" s="2508"/>
      <c r="L6" s="2508"/>
      <c r="M6" s="2508"/>
      <c r="N6" s="2508"/>
      <c r="O6" s="2508"/>
      <c r="P6" s="2508"/>
      <c r="Q6" s="2508"/>
      <c r="R6" s="2508"/>
      <c r="S6" s="2508"/>
      <c r="T6" s="2508"/>
      <c r="U6" s="2508"/>
      <c r="V6" s="2508"/>
      <c r="W6" s="2508"/>
      <c r="X6" s="2508"/>
      <c r="Y6" s="2508"/>
      <c r="Z6" s="2508"/>
      <c r="AA6" s="2508"/>
      <c r="AB6" s="2508"/>
      <c r="AC6" s="2508"/>
      <c r="AD6" s="2508"/>
    </row>
    <row r="7" spans="1:30" s="2509" customFormat="1" ht="13.5" thickTop="1">
      <c r="A7" s="2508"/>
      <c r="B7" s="2514"/>
      <c r="C7" s="2515"/>
      <c r="D7" s="2515"/>
      <c r="E7" s="2515"/>
      <c r="F7" s="2515"/>
      <c r="G7" s="2515"/>
      <c r="H7" s="2515"/>
      <c r="I7" s="2515"/>
      <c r="J7" s="2515"/>
      <c r="K7" s="2515"/>
      <c r="L7" s="2515"/>
      <c r="M7" s="2515"/>
      <c r="N7" s="2515"/>
      <c r="O7" s="2515"/>
      <c r="P7" s="2515"/>
      <c r="Q7" s="2515"/>
      <c r="R7" s="2515"/>
      <c r="S7" s="2515"/>
      <c r="T7" s="2515"/>
      <c r="U7" s="2515"/>
      <c r="V7" s="2515"/>
      <c r="W7" s="2515"/>
      <c r="X7" s="2515"/>
      <c r="Y7" s="2515"/>
      <c r="Z7" s="2515"/>
      <c r="AA7" s="2515"/>
      <c r="AB7" s="2515"/>
      <c r="AC7" s="2515"/>
      <c r="AD7" s="2516"/>
    </row>
    <row r="8" spans="1:30" s="2523" customFormat="1" ht="20.25">
      <c r="A8" s="2517"/>
      <c r="B8" s="2518"/>
      <c r="C8" s="2519"/>
      <c r="D8" s="2519"/>
      <c r="E8" s="2517"/>
      <c r="F8" s="2520" t="s">
        <v>20</v>
      </c>
      <c r="G8" s="2517"/>
      <c r="H8" s="2517"/>
      <c r="I8" s="2521"/>
      <c r="J8" s="2517"/>
      <c r="K8" s="2517"/>
      <c r="L8" s="2517"/>
      <c r="M8" s="2517"/>
      <c r="N8" s="2517"/>
      <c r="O8" s="2517"/>
      <c r="P8" s="2517"/>
      <c r="Q8" s="2517"/>
      <c r="R8" s="2517"/>
      <c r="S8" s="2517"/>
      <c r="T8" s="2519"/>
      <c r="U8" s="2519"/>
      <c r="V8" s="2519"/>
      <c r="W8" s="2519"/>
      <c r="X8" s="2519"/>
      <c r="Y8" s="2519"/>
      <c r="Z8" s="2519"/>
      <c r="AA8" s="2519"/>
      <c r="AB8" s="2519"/>
      <c r="AC8" s="2519"/>
      <c r="AD8" s="2522"/>
    </row>
    <row r="9" spans="1:30" s="2509" customFormat="1" ht="12.75">
      <c r="A9" s="2508"/>
      <c r="B9" s="2524"/>
      <c r="C9" s="2525"/>
      <c r="D9" s="2525"/>
      <c r="E9" s="2508"/>
      <c r="F9" s="2525"/>
      <c r="G9" s="2526"/>
      <c r="H9" s="2508"/>
      <c r="I9" s="2525"/>
      <c r="J9" s="2508"/>
      <c r="K9" s="2508"/>
      <c r="L9" s="2508"/>
      <c r="M9" s="2508"/>
      <c r="N9" s="2508"/>
      <c r="O9" s="2508"/>
      <c r="P9" s="2508"/>
      <c r="Q9" s="2508"/>
      <c r="R9" s="2508"/>
      <c r="S9" s="2508"/>
      <c r="T9" s="2525"/>
      <c r="U9" s="2525"/>
      <c r="V9" s="2525"/>
      <c r="W9" s="2525"/>
      <c r="X9" s="2525"/>
      <c r="Y9" s="2525"/>
      <c r="Z9" s="2525"/>
      <c r="AA9" s="2525"/>
      <c r="AB9" s="2525"/>
      <c r="AC9" s="2525"/>
      <c r="AD9" s="2527"/>
    </row>
    <row r="10" spans="1:30" s="2534" customFormat="1" ht="33" customHeight="1">
      <c r="A10" s="2528"/>
      <c r="B10" s="2529"/>
      <c r="C10" s="2530"/>
      <c r="D10" s="2530"/>
      <c r="E10" s="2528"/>
      <c r="F10" s="2531" t="s">
        <v>50</v>
      </c>
      <c r="G10" s="2528"/>
      <c r="H10" s="2532"/>
      <c r="I10" s="2530"/>
      <c r="J10" s="2528"/>
      <c r="K10" s="2528"/>
      <c r="L10" s="2528"/>
      <c r="M10" s="2528"/>
      <c r="N10" s="2528"/>
      <c r="O10" s="2528"/>
      <c r="P10" s="2528"/>
      <c r="Q10" s="2528"/>
      <c r="R10" s="2528"/>
      <c r="S10" s="2528"/>
      <c r="T10" s="2530"/>
      <c r="U10" s="2530"/>
      <c r="V10" s="2530"/>
      <c r="W10" s="2530"/>
      <c r="X10" s="2530"/>
      <c r="Y10" s="2530"/>
      <c r="Z10" s="2530"/>
      <c r="AA10" s="2530"/>
      <c r="AB10" s="2530"/>
      <c r="AC10" s="2530"/>
      <c r="AD10" s="2533"/>
    </row>
    <row r="11" spans="1:30" s="2541" customFormat="1" ht="33" customHeight="1">
      <c r="A11" s="2535"/>
      <c r="B11" s="2536"/>
      <c r="C11" s="2537"/>
      <c r="D11" s="2537"/>
      <c r="E11" s="2535"/>
      <c r="F11" s="2538" t="s">
        <v>475</v>
      </c>
      <c r="G11" s="2537"/>
      <c r="H11" s="2537"/>
      <c r="I11" s="2539"/>
      <c r="J11" s="2537"/>
      <c r="K11" s="2537"/>
      <c r="L11" s="2537"/>
      <c r="M11" s="2537"/>
      <c r="N11" s="2537"/>
      <c r="O11" s="2535"/>
      <c r="P11" s="2535"/>
      <c r="Q11" s="2535"/>
      <c r="R11" s="2535"/>
      <c r="S11" s="2535"/>
      <c r="T11" s="2537"/>
      <c r="U11" s="2537"/>
      <c r="V11" s="2537"/>
      <c r="W11" s="2537"/>
      <c r="X11" s="2537"/>
      <c r="Y11" s="2537"/>
      <c r="Z11" s="2537"/>
      <c r="AA11" s="2537"/>
      <c r="AB11" s="2537"/>
      <c r="AC11" s="2537"/>
      <c r="AD11" s="2540"/>
    </row>
    <row r="12" spans="1:30" s="2547" customFormat="1" ht="19.5">
      <c r="A12" s="2542"/>
      <c r="B12" s="637" t="str">
        <f>'TOT-1215'!B14</f>
        <v>Desde el 01 al 31 de diciembre de 2015</v>
      </c>
      <c r="C12" s="2543"/>
      <c r="D12" s="2543"/>
      <c r="E12" s="2544"/>
      <c r="F12" s="2545"/>
      <c r="G12" s="2545"/>
      <c r="H12" s="2545"/>
      <c r="I12" s="2545"/>
      <c r="J12" s="2545"/>
      <c r="K12" s="2545"/>
      <c r="L12" s="2545"/>
      <c r="M12" s="2545"/>
      <c r="N12" s="2545"/>
      <c r="O12" s="2544"/>
      <c r="P12" s="2544"/>
      <c r="Q12" s="2544"/>
      <c r="R12" s="2544"/>
      <c r="S12" s="2544"/>
      <c r="T12" s="2545"/>
      <c r="U12" s="2545"/>
      <c r="V12" s="2545"/>
      <c r="W12" s="2545"/>
      <c r="X12" s="2545"/>
      <c r="Y12" s="2545"/>
      <c r="Z12" s="2545"/>
      <c r="AA12" s="2545"/>
      <c r="AB12" s="2545"/>
      <c r="AC12" s="2545"/>
      <c r="AD12" s="2546"/>
    </row>
    <row r="13" spans="1:30" s="2509" customFormat="1" ht="13.5" thickBot="1">
      <c r="A13" s="2508"/>
      <c r="B13" s="2524"/>
      <c r="C13" s="2525"/>
      <c r="D13" s="2525"/>
      <c r="E13" s="2508"/>
      <c r="F13" s="2525"/>
      <c r="G13" s="2525"/>
      <c r="H13" s="2525"/>
      <c r="I13" s="2548"/>
      <c r="J13" s="2525"/>
      <c r="K13" s="2525"/>
      <c r="L13" s="2525"/>
      <c r="M13" s="2525"/>
      <c r="N13" s="2525"/>
      <c r="O13" s="2508"/>
      <c r="P13" s="2508"/>
      <c r="Q13" s="2508"/>
      <c r="R13" s="2508"/>
      <c r="S13" s="2508"/>
      <c r="T13" s="2525"/>
      <c r="U13" s="2525"/>
      <c r="V13" s="2525"/>
      <c r="W13" s="2525"/>
      <c r="X13" s="2525"/>
      <c r="Y13" s="2525"/>
      <c r="Z13" s="2525"/>
      <c r="AA13" s="2525"/>
      <c r="AB13" s="2525"/>
      <c r="AC13" s="2525"/>
      <c r="AD13" s="2527"/>
    </row>
    <row r="14" spans="1:30" s="2509" customFormat="1" ht="16.5" customHeight="1" thickBot="1" thickTop="1">
      <c r="A14" s="2508"/>
      <c r="B14" s="2524"/>
      <c r="C14" s="2525"/>
      <c r="D14" s="2525"/>
      <c r="E14" s="2508"/>
      <c r="F14" s="2549" t="s">
        <v>52</v>
      </c>
      <c r="G14" s="2550"/>
      <c r="H14" s="2551">
        <v>0.482</v>
      </c>
      <c r="J14" s="2508"/>
      <c r="K14" s="2508"/>
      <c r="L14" s="2508"/>
      <c r="M14" s="2508"/>
      <c r="N14" s="2508"/>
      <c r="O14" s="2508"/>
      <c r="P14" s="2508"/>
      <c r="Q14" s="2525"/>
      <c r="R14" s="2525"/>
      <c r="S14" s="2525"/>
      <c r="T14" s="2525"/>
      <c r="U14" s="2525"/>
      <c r="V14" s="2525"/>
      <c r="W14" s="2525"/>
      <c r="X14" s="2525"/>
      <c r="Y14" s="2525"/>
      <c r="Z14" s="2525"/>
      <c r="AA14" s="2525"/>
      <c r="AB14" s="2525"/>
      <c r="AC14" s="2525"/>
      <c r="AD14" s="2527"/>
    </row>
    <row r="15" spans="1:30" s="2509" customFormat="1" ht="16.5" customHeight="1" thickBot="1" thickTop="1">
      <c r="A15" s="2508"/>
      <c r="B15" s="2524"/>
      <c r="C15" s="2525"/>
      <c r="D15" s="2525"/>
      <c r="E15" s="2508"/>
      <c r="F15" s="2552" t="s">
        <v>53</v>
      </c>
      <c r="G15" s="2553"/>
      <c r="H15" s="2554">
        <v>200</v>
      </c>
      <c r="I15" s="2555"/>
      <c r="J15" s="2525"/>
      <c r="K15" s="2525"/>
      <c r="L15" s="2525"/>
      <c r="M15" s="2525"/>
      <c r="N15" s="2525"/>
      <c r="O15" s="2525"/>
      <c r="P15" s="2525"/>
      <c r="Q15" s="2525"/>
      <c r="R15" s="2525"/>
      <c r="S15" s="2525"/>
      <c r="T15" s="2525"/>
      <c r="U15" s="2525"/>
      <c r="V15" s="2525"/>
      <c r="W15" s="2556"/>
      <c r="X15" s="2556"/>
      <c r="Y15" s="2556"/>
      <c r="Z15" s="2556"/>
      <c r="AA15" s="2556"/>
      <c r="AB15" s="2556"/>
      <c r="AC15" s="2508"/>
      <c r="AD15" s="2527"/>
    </row>
    <row r="16" spans="1:30" s="2509" customFormat="1" ht="16.5" customHeight="1" thickBot="1" thickTop="1">
      <c r="A16" s="2508"/>
      <c r="B16" s="2524"/>
      <c r="C16" s="2557">
        <v>3</v>
      </c>
      <c r="D16" s="2557">
        <v>4</v>
      </c>
      <c r="E16" s="2557">
        <v>5</v>
      </c>
      <c r="F16" s="2557">
        <v>6</v>
      </c>
      <c r="G16" s="2557">
        <v>7</v>
      </c>
      <c r="H16" s="2557">
        <v>8</v>
      </c>
      <c r="I16" s="2557">
        <v>9</v>
      </c>
      <c r="J16" s="2557">
        <v>10</v>
      </c>
      <c r="K16" s="2557">
        <v>11</v>
      </c>
      <c r="L16" s="2557">
        <v>12</v>
      </c>
      <c r="M16" s="2557">
        <v>13</v>
      </c>
      <c r="N16" s="2557">
        <v>14</v>
      </c>
      <c r="O16" s="2557">
        <v>15</v>
      </c>
      <c r="P16" s="2557">
        <v>16</v>
      </c>
      <c r="Q16" s="2557">
        <v>17</v>
      </c>
      <c r="R16" s="2557">
        <v>18</v>
      </c>
      <c r="S16" s="2557">
        <v>19</v>
      </c>
      <c r="T16" s="2557">
        <v>20</v>
      </c>
      <c r="U16" s="2557">
        <v>21</v>
      </c>
      <c r="V16" s="2557">
        <v>22</v>
      </c>
      <c r="W16" s="2557">
        <v>23</v>
      </c>
      <c r="X16" s="2557">
        <v>24</v>
      </c>
      <c r="Y16" s="2557">
        <v>25</v>
      </c>
      <c r="Z16" s="2557">
        <v>26</v>
      </c>
      <c r="AA16" s="2557">
        <v>27</v>
      </c>
      <c r="AB16" s="2557">
        <v>28</v>
      </c>
      <c r="AC16" s="2557">
        <v>29</v>
      </c>
      <c r="AD16" s="2527"/>
    </row>
    <row r="17" spans="1:30" s="2509" customFormat="1" ht="33.75" customHeight="1" thickBot="1" thickTop="1">
      <c r="A17" s="2508"/>
      <c r="B17" s="2524"/>
      <c r="C17" s="2558" t="s">
        <v>25</v>
      </c>
      <c r="D17" s="2559" t="s">
        <v>26</v>
      </c>
      <c r="E17" s="2559" t="s">
        <v>27</v>
      </c>
      <c r="F17" s="2560" t="s">
        <v>54</v>
      </c>
      <c r="G17" s="2561" t="s">
        <v>55</v>
      </c>
      <c r="H17" s="2562" t="s">
        <v>56</v>
      </c>
      <c r="I17" s="2563" t="s">
        <v>28</v>
      </c>
      <c r="J17" s="2564" t="s">
        <v>32</v>
      </c>
      <c r="K17" s="2561" t="s">
        <v>33</v>
      </c>
      <c r="L17" s="2561" t="s">
        <v>34</v>
      </c>
      <c r="M17" s="2560" t="s">
        <v>57</v>
      </c>
      <c r="N17" s="2560" t="s">
        <v>36</v>
      </c>
      <c r="O17" s="2565" t="s">
        <v>321</v>
      </c>
      <c r="P17" s="2565" t="s">
        <v>37</v>
      </c>
      <c r="Q17" s="2566" t="s">
        <v>39</v>
      </c>
      <c r="R17" s="2561" t="s">
        <v>58</v>
      </c>
      <c r="S17" s="2567" t="s">
        <v>31</v>
      </c>
      <c r="T17" s="2568" t="s">
        <v>40</v>
      </c>
      <c r="U17" s="2569" t="s">
        <v>41</v>
      </c>
      <c r="V17" s="2570" t="s">
        <v>59</v>
      </c>
      <c r="W17" s="2571"/>
      <c r="X17" s="2572" t="s">
        <v>60</v>
      </c>
      <c r="Y17" s="2573"/>
      <c r="Z17" s="2574" t="s">
        <v>44</v>
      </c>
      <c r="AA17" s="2575" t="s">
        <v>45</v>
      </c>
      <c r="AB17" s="2576" t="s">
        <v>46</v>
      </c>
      <c r="AC17" s="2563" t="s">
        <v>47</v>
      </c>
      <c r="AD17" s="2527"/>
    </row>
    <row r="18" spans="1:30" s="2509" customFormat="1" ht="16.5" customHeight="1" thickTop="1">
      <c r="A18" s="2508"/>
      <c r="B18" s="2524"/>
      <c r="C18" s="2577"/>
      <c r="D18" s="2577"/>
      <c r="E18" s="2577"/>
      <c r="F18" s="2577"/>
      <c r="G18" s="2577"/>
      <c r="H18" s="2577"/>
      <c r="I18" s="2578"/>
      <c r="J18" s="2579"/>
      <c r="K18" s="2577"/>
      <c r="L18" s="2577"/>
      <c r="M18" s="2577"/>
      <c r="N18" s="2577"/>
      <c r="O18" s="2577"/>
      <c r="P18" s="2580"/>
      <c r="Q18" s="2581"/>
      <c r="R18" s="2577"/>
      <c r="S18" s="2582"/>
      <c r="T18" s="2583"/>
      <c r="U18" s="2584"/>
      <c r="V18" s="2585"/>
      <c r="W18" s="2586"/>
      <c r="X18" s="2587"/>
      <c r="Y18" s="2588"/>
      <c r="Z18" s="2589"/>
      <c r="AA18" s="2590"/>
      <c r="AB18" s="2581"/>
      <c r="AC18" s="2591"/>
      <c r="AD18" s="2527"/>
    </row>
    <row r="19" spans="1:30" s="2509" customFormat="1" ht="16.5" customHeight="1">
      <c r="A19" s="2508"/>
      <c r="B19" s="2524"/>
      <c r="C19" s="2592"/>
      <c r="D19" s="2592"/>
      <c r="E19" s="2592"/>
      <c r="F19" s="2592"/>
      <c r="G19" s="2592"/>
      <c r="H19" s="2592"/>
      <c r="I19" s="2593"/>
      <c r="J19" s="2594"/>
      <c r="K19" s="2592"/>
      <c r="L19" s="2592"/>
      <c r="M19" s="2592"/>
      <c r="N19" s="2592"/>
      <c r="O19" s="2592"/>
      <c r="P19" s="2595"/>
      <c r="Q19" s="2596"/>
      <c r="R19" s="2592"/>
      <c r="S19" s="2597"/>
      <c r="T19" s="2598"/>
      <c r="U19" s="2599"/>
      <c r="V19" s="2600"/>
      <c r="W19" s="2601"/>
      <c r="X19" s="2602"/>
      <c r="Y19" s="2603"/>
      <c r="Z19" s="2604"/>
      <c r="AA19" s="2605"/>
      <c r="AB19" s="2596"/>
      <c r="AC19" s="2606"/>
      <c r="AD19" s="2527"/>
    </row>
    <row r="20" spans="1:30" s="2509" customFormat="1" ht="16.5" customHeight="1">
      <c r="A20" s="2508"/>
      <c r="B20" s="2524"/>
      <c r="C20" s="2592">
        <v>36</v>
      </c>
      <c r="D20" s="2592">
        <v>295429</v>
      </c>
      <c r="E20" s="2607">
        <v>3547</v>
      </c>
      <c r="F20" s="1549" t="s">
        <v>347</v>
      </c>
      <c r="G20" s="1550" t="s">
        <v>341</v>
      </c>
      <c r="H20" s="1551">
        <v>300</v>
      </c>
      <c r="I20" s="1552" t="s">
        <v>149</v>
      </c>
      <c r="J20" s="2608">
        <f aca="true" t="shared" si="0" ref="J20:J39">H20*$H$14</f>
        <v>144.6</v>
      </c>
      <c r="K20" s="2180">
        <v>42340.379166666666</v>
      </c>
      <c r="L20" s="2180">
        <v>42340.71805555555</v>
      </c>
      <c r="M20" s="2609">
        <f aca="true" t="shared" si="1" ref="M20:M39">IF(F20="","",(L20-K20)*24)</f>
        <v>8.13333333330229</v>
      </c>
      <c r="N20" s="2610">
        <f aca="true" t="shared" si="2" ref="N20:N39">IF(F20="","",ROUND((L20-K20)*24*60,0))</f>
        <v>488</v>
      </c>
      <c r="O20" s="2611" t="s">
        <v>332</v>
      </c>
      <c r="P20" s="2612" t="str">
        <f aca="true" t="shared" si="3" ref="P20:P39">IF(F20="","","--")</f>
        <v>--</v>
      </c>
      <c r="Q20" s="2613" t="str">
        <f>IF(F20="","",IF(OR(O20="P",O20="RP"),"--","NO"))</f>
        <v>--</v>
      </c>
      <c r="R20" s="2614" t="str">
        <f aca="true" t="shared" si="4" ref="R20:R39">IF(F20="","","NO")</f>
        <v>NO</v>
      </c>
      <c r="S20" s="2615">
        <f aca="true" t="shared" si="5" ref="S20:S39">$H$15*IF(OR(O20="P",O20="RP"),0.1,1)*IF(R20="SI",1,0.1)</f>
        <v>2</v>
      </c>
      <c r="T20" s="2616">
        <f aca="true" t="shared" si="6" ref="T20:T39">IF(O20="P",J20*S20*ROUND(N20/60,2),"--")</f>
        <v>2351.196</v>
      </c>
      <c r="U20" s="2617" t="str">
        <f aca="true" t="shared" si="7" ref="U20:U39">IF(O20="RP",J20*S20*P20/100*ROUND(N20/60,2),"--")</f>
        <v>--</v>
      </c>
      <c r="V20" s="2618" t="str">
        <f aca="true" t="shared" si="8" ref="V20:V39">IF(AND(O20="F",Q20="NO"),J20*S20,"--")</f>
        <v>--</v>
      </c>
      <c r="W20" s="2619" t="str">
        <f aca="true" t="shared" si="9" ref="W20:W39">IF(O20="F",J20*S20*ROUND(N20/60,2),"--")</f>
        <v>--</v>
      </c>
      <c r="X20" s="2620" t="str">
        <f aca="true" t="shared" si="10" ref="X20:X39">IF(AND(O20="R",Q20="NO"),J20*S20*P20/100,"--")</f>
        <v>--</v>
      </c>
      <c r="Y20" s="2621" t="str">
        <f aca="true" t="shared" si="11" ref="Y20:Y39">IF(O20="R",J20*S20*P20/100*ROUND(N20/60,2),"--")</f>
        <v>--</v>
      </c>
      <c r="Z20" s="2622" t="str">
        <f aca="true" t="shared" si="12" ref="Z20:Z39">IF(O20="RF",J20*S20*ROUND(N20/60,2),"--")</f>
        <v>--</v>
      </c>
      <c r="AA20" s="2623" t="str">
        <f aca="true" t="shared" si="13" ref="AA20:AA39">IF(O20="RR",J20*S20*P20/100*ROUND(N20/60,2),"--")</f>
        <v>--</v>
      </c>
      <c r="AB20" s="2624" t="s">
        <v>77</v>
      </c>
      <c r="AC20" s="2625">
        <f aca="true" t="shared" si="14" ref="AC20:AC39">IF(F20="","",SUM(T20:AA20)*IF(AB20="SI",1,2)*IF(AND(P22&lt;&gt;"--",O22="RF"),P22/100,1))</f>
        <v>2351.196</v>
      </c>
      <c r="AD20" s="2527"/>
    </row>
    <row r="21" spans="1:30" s="2509" customFormat="1" ht="16.5" customHeight="1">
      <c r="A21" s="2508"/>
      <c r="B21" s="2524"/>
      <c r="C21" s="2592">
        <v>37</v>
      </c>
      <c r="D21" s="2592">
        <v>296268</v>
      </c>
      <c r="E21" s="2592">
        <v>2590</v>
      </c>
      <c r="F21" s="1549" t="s">
        <v>344</v>
      </c>
      <c r="G21" s="1550" t="s">
        <v>367</v>
      </c>
      <c r="H21" s="1551">
        <v>300</v>
      </c>
      <c r="I21" s="1552" t="s">
        <v>149</v>
      </c>
      <c r="J21" s="2608">
        <f t="shared" si="0"/>
        <v>144.6</v>
      </c>
      <c r="K21" s="2180">
        <v>42361.472916666666</v>
      </c>
      <c r="L21" s="2180">
        <v>42361.54236111111</v>
      </c>
      <c r="M21" s="2609">
        <f t="shared" si="1"/>
        <v>1.6666666666860692</v>
      </c>
      <c r="N21" s="2610">
        <f t="shared" si="2"/>
        <v>100</v>
      </c>
      <c r="O21" s="2611" t="s">
        <v>335</v>
      </c>
      <c r="P21" s="2612" t="str">
        <f t="shared" si="3"/>
        <v>--</v>
      </c>
      <c r="Q21" s="2613" t="str">
        <f aca="true" t="shared" si="15" ref="Q21:Q39">IF(F21="","",IF(O21="P","--","NO"))</f>
        <v>NO</v>
      </c>
      <c r="R21" s="2614" t="str">
        <f t="shared" si="4"/>
        <v>NO</v>
      </c>
      <c r="S21" s="2615">
        <f t="shared" si="5"/>
        <v>20</v>
      </c>
      <c r="T21" s="2616" t="str">
        <f t="shared" si="6"/>
        <v>--</v>
      </c>
      <c r="U21" s="2617" t="str">
        <f t="shared" si="7"/>
        <v>--</v>
      </c>
      <c r="V21" s="2618">
        <f t="shared" si="8"/>
        <v>2892</v>
      </c>
      <c r="W21" s="2619">
        <f t="shared" si="9"/>
        <v>4829.639999999999</v>
      </c>
      <c r="X21" s="2620" t="str">
        <f t="shared" si="10"/>
        <v>--</v>
      </c>
      <c r="Y21" s="2621" t="str">
        <f t="shared" si="11"/>
        <v>--</v>
      </c>
      <c r="Z21" s="2622" t="str">
        <f t="shared" si="12"/>
        <v>--</v>
      </c>
      <c r="AA21" s="2623" t="str">
        <f t="shared" si="13"/>
        <v>--</v>
      </c>
      <c r="AB21" s="2624" t="str">
        <f aca="true" t="shared" si="16" ref="AB21:AB39">IF(F21="","","SI")</f>
        <v>SI</v>
      </c>
      <c r="AC21" s="2625">
        <f t="shared" si="14"/>
        <v>7721.639999999999</v>
      </c>
      <c r="AD21" s="2527"/>
    </row>
    <row r="22" spans="1:30" s="2509" customFormat="1" ht="16.5" customHeight="1">
      <c r="A22" s="2508"/>
      <c r="B22" s="2524"/>
      <c r="C22" s="2592"/>
      <c r="D22" s="2592"/>
      <c r="E22" s="2607"/>
      <c r="F22" s="1549"/>
      <c r="G22" s="1550"/>
      <c r="H22" s="1551"/>
      <c r="I22" s="2626"/>
      <c r="J22" s="2608">
        <f t="shared" si="0"/>
        <v>0</v>
      </c>
      <c r="K22" s="2180"/>
      <c r="L22" s="2180"/>
      <c r="M22" s="2609">
        <f t="shared" si="1"/>
      </c>
      <c r="N22" s="2610">
        <f t="shared" si="2"/>
      </c>
      <c r="O22" s="2611"/>
      <c r="P22" s="2612">
        <f t="shared" si="3"/>
      </c>
      <c r="Q22" s="2613">
        <f t="shared" si="15"/>
      </c>
      <c r="R22" s="2614">
        <f t="shared" si="4"/>
      </c>
      <c r="S22" s="2615">
        <f t="shared" si="5"/>
        <v>20</v>
      </c>
      <c r="T22" s="2616" t="str">
        <f t="shared" si="6"/>
        <v>--</v>
      </c>
      <c r="U22" s="2617" t="str">
        <f t="shared" si="7"/>
        <v>--</v>
      </c>
      <c r="V22" s="2618" t="str">
        <f t="shared" si="8"/>
        <v>--</v>
      </c>
      <c r="W22" s="2619" t="str">
        <f t="shared" si="9"/>
        <v>--</v>
      </c>
      <c r="X22" s="2620" t="str">
        <f t="shared" si="10"/>
        <v>--</v>
      </c>
      <c r="Y22" s="2621" t="str">
        <f t="shared" si="11"/>
        <v>--</v>
      </c>
      <c r="Z22" s="2622" t="str">
        <f t="shared" si="12"/>
        <v>--</v>
      </c>
      <c r="AA22" s="2623" t="str">
        <f t="shared" si="13"/>
        <v>--</v>
      </c>
      <c r="AB22" s="2624">
        <f t="shared" si="16"/>
      </c>
      <c r="AC22" s="2625">
        <f t="shared" si="14"/>
      </c>
      <c r="AD22" s="2527"/>
    </row>
    <row r="23" spans="1:30" s="2509" customFormat="1" ht="16.5" customHeight="1">
      <c r="A23" s="2508"/>
      <c r="B23" s="2524"/>
      <c r="C23" s="2592"/>
      <c r="D23" s="2592"/>
      <c r="E23" s="2592"/>
      <c r="F23" s="1549"/>
      <c r="G23" s="1550"/>
      <c r="H23" s="1551"/>
      <c r="I23" s="2626"/>
      <c r="J23" s="2608">
        <f t="shared" si="0"/>
        <v>0</v>
      </c>
      <c r="K23" s="2180"/>
      <c r="L23" s="2180"/>
      <c r="M23" s="2609">
        <f t="shared" si="1"/>
      </c>
      <c r="N23" s="2610">
        <f t="shared" si="2"/>
      </c>
      <c r="O23" s="2611"/>
      <c r="P23" s="2612">
        <f t="shared" si="3"/>
      </c>
      <c r="Q23" s="2613">
        <f t="shared" si="15"/>
      </c>
      <c r="R23" s="2614">
        <f t="shared" si="4"/>
      </c>
      <c r="S23" s="2615">
        <f t="shared" si="5"/>
        <v>20</v>
      </c>
      <c r="T23" s="2616" t="str">
        <f t="shared" si="6"/>
        <v>--</v>
      </c>
      <c r="U23" s="2617" t="str">
        <f t="shared" si="7"/>
        <v>--</v>
      </c>
      <c r="V23" s="2618" t="str">
        <f t="shared" si="8"/>
        <v>--</v>
      </c>
      <c r="W23" s="2619" t="str">
        <f t="shared" si="9"/>
        <v>--</v>
      </c>
      <c r="X23" s="2620" t="str">
        <f t="shared" si="10"/>
        <v>--</v>
      </c>
      <c r="Y23" s="2621" t="str">
        <f t="shared" si="11"/>
        <v>--</v>
      </c>
      <c r="Z23" s="2622" t="str">
        <f t="shared" si="12"/>
        <v>--</v>
      </c>
      <c r="AA23" s="2623" t="str">
        <f t="shared" si="13"/>
        <v>--</v>
      </c>
      <c r="AB23" s="2624">
        <f t="shared" si="16"/>
      </c>
      <c r="AC23" s="2625">
        <f t="shared" si="14"/>
      </c>
      <c r="AD23" s="2527"/>
    </row>
    <row r="24" spans="1:30" s="2509" customFormat="1" ht="16.5" customHeight="1">
      <c r="A24" s="2508"/>
      <c r="B24" s="2524"/>
      <c r="C24" s="2592"/>
      <c r="D24" s="2592"/>
      <c r="E24" s="2607"/>
      <c r="F24" s="1549"/>
      <c r="G24" s="1550"/>
      <c r="H24" s="1551"/>
      <c r="I24" s="2626"/>
      <c r="J24" s="2608">
        <f t="shared" si="0"/>
        <v>0</v>
      </c>
      <c r="K24" s="2180"/>
      <c r="L24" s="2180"/>
      <c r="M24" s="2609">
        <f t="shared" si="1"/>
      </c>
      <c r="N24" s="2610">
        <f t="shared" si="2"/>
      </c>
      <c r="O24" s="2611"/>
      <c r="P24" s="2612">
        <f t="shared" si="3"/>
      </c>
      <c r="Q24" s="2613">
        <f t="shared" si="15"/>
      </c>
      <c r="R24" s="2614">
        <f t="shared" si="4"/>
      </c>
      <c r="S24" s="2615">
        <f t="shared" si="5"/>
        <v>20</v>
      </c>
      <c r="T24" s="2616" t="str">
        <f t="shared" si="6"/>
        <v>--</v>
      </c>
      <c r="U24" s="2617" t="str">
        <f t="shared" si="7"/>
        <v>--</v>
      </c>
      <c r="V24" s="2618" t="str">
        <f t="shared" si="8"/>
        <v>--</v>
      </c>
      <c r="W24" s="2619" t="str">
        <f t="shared" si="9"/>
        <v>--</v>
      </c>
      <c r="X24" s="2620" t="str">
        <f t="shared" si="10"/>
        <v>--</v>
      </c>
      <c r="Y24" s="2621" t="str">
        <f t="shared" si="11"/>
        <v>--</v>
      </c>
      <c r="Z24" s="2622" t="str">
        <f t="shared" si="12"/>
        <v>--</v>
      </c>
      <c r="AA24" s="2623" t="str">
        <f t="shared" si="13"/>
        <v>--</v>
      </c>
      <c r="AB24" s="2624">
        <f t="shared" si="16"/>
      </c>
      <c r="AC24" s="2625">
        <f t="shared" si="14"/>
      </c>
      <c r="AD24" s="2527"/>
    </row>
    <row r="25" spans="1:30" s="2509" customFormat="1" ht="16.5" customHeight="1">
      <c r="A25" s="2508"/>
      <c r="B25" s="2524"/>
      <c r="C25" s="2592"/>
      <c r="D25" s="2592"/>
      <c r="E25" s="2592"/>
      <c r="F25" s="1549"/>
      <c r="G25" s="1550"/>
      <c r="H25" s="1551"/>
      <c r="I25" s="2626"/>
      <c r="J25" s="2608">
        <f t="shared" si="0"/>
        <v>0</v>
      </c>
      <c r="K25" s="2180"/>
      <c r="L25" s="2180"/>
      <c r="M25" s="2609">
        <f t="shared" si="1"/>
      </c>
      <c r="N25" s="2610">
        <f t="shared" si="2"/>
      </c>
      <c r="O25" s="2611"/>
      <c r="P25" s="2612">
        <f t="shared" si="3"/>
      </c>
      <c r="Q25" s="2613">
        <f t="shared" si="15"/>
      </c>
      <c r="R25" s="2614">
        <f t="shared" si="4"/>
      </c>
      <c r="S25" s="2615">
        <f t="shared" si="5"/>
        <v>20</v>
      </c>
      <c r="T25" s="2616" t="str">
        <f t="shared" si="6"/>
        <v>--</v>
      </c>
      <c r="U25" s="2617" t="str">
        <f t="shared" si="7"/>
        <v>--</v>
      </c>
      <c r="V25" s="2618" t="str">
        <f t="shared" si="8"/>
        <v>--</v>
      </c>
      <c r="W25" s="2619" t="str">
        <f t="shared" si="9"/>
        <v>--</v>
      </c>
      <c r="X25" s="2620" t="str">
        <f t="shared" si="10"/>
        <v>--</v>
      </c>
      <c r="Y25" s="2621" t="str">
        <f t="shared" si="11"/>
        <v>--</v>
      </c>
      <c r="Z25" s="2622" t="str">
        <f t="shared" si="12"/>
        <v>--</v>
      </c>
      <c r="AA25" s="2623" t="str">
        <f t="shared" si="13"/>
        <v>--</v>
      </c>
      <c r="AB25" s="2624">
        <f t="shared" si="16"/>
      </c>
      <c r="AC25" s="2625">
        <f t="shared" si="14"/>
      </c>
      <c r="AD25" s="2527"/>
    </row>
    <row r="26" spans="1:31" s="2509" customFormat="1" ht="16.5" customHeight="1">
      <c r="A26" s="2508"/>
      <c r="B26" s="2524"/>
      <c r="C26" s="2592"/>
      <c r="D26" s="2592"/>
      <c r="E26" s="2607"/>
      <c r="F26" s="1549"/>
      <c r="G26" s="1550"/>
      <c r="H26" s="1551"/>
      <c r="I26" s="2626"/>
      <c r="J26" s="2608">
        <f t="shared" si="0"/>
        <v>0</v>
      </c>
      <c r="K26" s="2180"/>
      <c r="L26" s="2180"/>
      <c r="M26" s="2609">
        <f t="shared" si="1"/>
      </c>
      <c r="N26" s="2610">
        <f t="shared" si="2"/>
      </c>
      <c r="O26" s="2611"/>
      <c r="P26" s="2612">
        <f t="shared" si="3"/>
      </c>
      <c r="Q26" s="2613">
        <f t="shared" si="15"/>
      </c>
      <c r="R26" s="2614">
        <f t="shared" si="4"/>
      </c>
      <c r="S26" s="2615">
        <f t="shared" si="5"/>
        <v>20</v>
      </c>
      <c r="T26" s="2616" t="str">
        <f t="shared" si="6"/>
        <v>--</v>
      </c>
      <c r="U26" s="2617" t="str">
        <f t="shared" si="7"/>
        <v>--</v>
      </c>
      <c r="V26" s="2618" t="str">
        <f t="shared" si="8"/>
        <v>--</v>
      </c>
      <c r="W26" s="2619" t="str">
        <f t="shared" si="9"/>
        <v>--</v>
      </c>
      <c r="X26" s="2620" t="str">
        <f t="shared" si="10"/>
        <v>--</v>
      </c>
      <c r="Y26" s="2621" t="str">
        <f t="shared" si="11"/>
        <v>--</v>
      </c>
      <c r="Z26" s="2622" t="str">
        <f t="shared" si="12"/>
        <v>--</v>
      </c>
      <c r="AA26" s="2623" t="str">
        <f t="shared" si="13"/>
        <v>--</v>
      </c>
      <c r="AB26" s="2624">
        <f t="shared" si="16"/>
      </c>
      <c r="AC26" s="2625">
        <f t="shared" si="14"/>
      </c>
      <c r="AD26" s="2527"/>
      <c r="AE26" s="2525"/>
    </row>
    <row r="27" spans="1:30" s="2509" customFormat="1" ht="16.5" customHeight="1">
      <c r="A27" s="2508"/>
      <c r="B27" s="2524"/>
      <c r="C27" s="2592"/>
      <c r="D27" s="2592"/>
      <c r="E27" s="2592"/>
      <c r="F27" s="1549"/>
      <c r="G27" s="1550"/>
      <c r="H27" s="1551"/>
      <c r="I27" s="2626"/>
      <c r="J27" s="2608">
        <f t="shared" si="0"/>
        <v>0</v>
      </c>
      <c r="K27" s="2180"/>
      <c r="L27" s="2180"/>
      <c r="M27" s="2609">
        <f t="shared" si="1"/>
      </c>
      <c r="N27" s="2610">
        <f t="shared" si="2"/>
      </c>
      <c r="O27" s="2611"/>
      <c r="P27" s="2612">
        <f t="shared" si="3"/>
      </c>
      <c r="Q27" s="2613">
        <f t="shared" si="15"/>
      </c>
      <c r="R27" s="2614">
        <f t="shared" si="4"/>
      </c>
      <c r="S27" s="2615">
        <f t="shared" si="5"/>
        <v>20</v>
      </c>
      <c r="T27" s="2616" t="str">
        <f t="shared" si="6"/>
        <v>--</v>
      </c>
      <c r="U27" s="2617" t="str">
        <f t="shared" si="7"/>
        <v>--</v>
      </c>
      <c r="V27" s="2618" t="str">
        <f t="shared" si="8"/>
        <v>--</v>
      </c>
      <c r="W27" s="2619" t="str">
        <f t="shared" si="9"/>
        <v>--</v>
      </c>
      <c r="X27" s="2620" t="str">
        <f t="shared" si="10"/>
        <v>--</v>
      </c>
      <c r="Y27" s="2621" t="str">
        <f t="shared" si="11"/>
        <v>--</v>
      </c>
      <c r="Z27" s="2622" t="str">
        <f t="shared" si="12"/>
        <v>--</v>
      </c>
      <c r="AA27" s="2623" t="str">
        <f t="shared" si="13"/>
        <v>--</v>
      </c>
      <c r="AB27" s="2624">
        <f t="shared" si="16"/>
      </c>
      <c r="AC27" s="2625">
        <f t="shared" si="14"/>
      </c>
      <c r="AD27" s="2527"/>
    </row>
    <row r="28" spans="1:30" s="2509" customFormat="1" ht="16.5" customHeight="1">
      <c r="A28" s="2508"/>
      <c r="B28" s="2524"/>
      <c r="C28" s="2592"/>
      <c r="D28" s="2592"/>
      <c r="E28" s="2607"/>
      <c r="F28" s="1549"/>
      <c r="G28" s="1550"/>
      <c r="H28" s="1551"/>
      <c r="I28" s="2626"/>
      <c r="J28" s="2608">
        <f t="shared" si="0"/>
        <v>0</v>
      </c>
      <c r="K28" s="2180"/>
      <c r="L28" s="2180"/>
      <c r="M28" s="2609">
        <f t="shared" si="1"/>
      </c>
      <c r="N28" s="2610">
        <f t="shared" si="2"/>
      </c>
      <c r="O28" s="2611"/>
      <c r="P28" s="2612">
        <f t="shared" si="3"/>
      </c>
      <c r="Q28" s="2613">
        <f t="shared" si="15"/>
      </c>
      <c r="R28" s="2614">
        <f t="shared" si="4"/>
      </c>
      <c r="S28" s="2615">
        <f t="shared" si="5"/>
        <v>20</v>
      </c>
      <c r="T28" s="2616" t="str">
        <f t="shared" si="6"/>
        <v>--</v>
      </c>
      <c r="U28" s="2617" t="str">
        <f t="shared" si="7"/>
        <v>--</v>
      </c>
      <c r="V28" s="2618" t="str">
        <f t="shared" si="8"/>
        <v>--</v>
      </c>
      <c r="W28" s="2619" t="str">
        <f t="shared" si="9"/>
        <v>--</v>
      </c>
      <c r="X28" s="2620" t="str">
        <f t="shared" si="10"/>
        <v>--</v>
      </c>
      <c r="Y28" s="2621" t="str">
        <f t="shared" si="11"/>
        <v>--</v>
      </c>
      <c r="Z28" s="2622" t="str">
        <f t="shared" si="12"/>
        <v>--</v>
      </c>
      <c r="AA28" s="2623" t="str">
        <f t="shared" si="13"/>
        <v>--</v>
      </c>
      <c r="AB28" s="2624">
        <f t="shared" si="16"/>
      </c>
      <c r="AC28" s="2625">
        <f t="shared" si="14"/>
      </c>
      <c r="AD28" s="2527"/>
    </row>
    <row r="29" spans="1:30" s="2509" customFormat="1" ht="16.5" customHeight="1">
      <c r="A29" s="2508"/>
      <c r="B29" s="2524"/>
      <c r="C29" s="2592"/>
      <c r="D29" s="2592"/>
      <c r="E29" s="2592"/>
      <c r="F29" s="1549"/>
      <c r="G29" s="1550"/>
      <c r="H29" s="1551"/>
      <c r="I29" s="2626"/>
      <c r="J29" s="2608">
        <f t="shared" si="0"/>
        <v>0</v>
      </c>
      <c r="K29" s="2180"/>
      <c r="L29" s="2180"/>
      <c r="M29" s="2609">
        <f t="shared" si="1"/>
      </c>
      <c r="N29" s="2610">
        <f t="shared" si="2"/>
      </c>
      <c r="O29" s="2611"/>
      <c r="P29" s="2612">
        <f t="shared" si="3"/>
      </c>
      <c r="Q29" s="2613">
        <f t="shared" si="15"/>
      </c>
      <c r="R29" s="2614">
        <f t="shared" si="4"/>
      </c>
      <c r="S29" s="2615">
        <f t="shared" si="5"/>
        <v>20</v>
      </c>
      <c r="T29" s="2616" t="str">
        <f t="shared" si="6"/>
        <v>--</v>
      </c>
      <c r="U29" s="2617" t="str">
        <f t="shared" si="7"/>
        <v>--</v>
      </c>
      <c r="V29" s="2618" t="str">
        <f t="shared" si="8"/>
        <v>--</v>
      </c>
      <c r="W29" s="2619" t="str">
        <f t="shared" si="9"/>
        <v>--</v>
      </c>
      <c r="X29" s="2620" t="str">
        <f t="shared" si="10"/>
        <v>--</v>
      </c>
      <c r="Y29" s="2621" t="str">
        <f t="shared" si="11"/>
        <v>--</v>
      </c>
      <c r="Z29" s="2622" t="str">
        <f t="shared" si="12"/>
        <v>--</v>
      </c>
      <c r="AA29" s="2623" t="str">
        <f t="shared" si="13"/>
        <v>--</v>
      </c>
      <c r="AB29" s="2624">
        <f t="shared" si="16"/>
      </c>
      <c r="AC29" s="2625">
        <f t="shared" si="14"/>
      </c>
      <c r="AD29" s="2527"/>
    </row>
    <row r="30" spans="1:30" s="2509" customFormat="1" ht="16.5" customHeight="1">
      <c r="A30" s="2508"/>
      <c r="B30" s="2524"/>
      <c r="C30" s="2592"/>
      <c r="D30" s="2592"/>
      <c r="E30" s="2607"/>
      <c r="F30" s="1549"/>
      <c r="G30" s="2627"/>
      <c r="H30" s="1551"/>
      <c r="I30" s="2626"/>
      <c r="J30" s="2608">
        <f t="shared" si="0"/>
        <v>0</v>
      </c>
      <c r="K30" s="2180"/>
      <c r="L30" s="2180"/>
      <c r="M30" s="2609">
        <f t="shared" si="1"/>
      </c>
      <c r="N30" s="2610">
        <f t="shared" si="2"/>
      </c>
      <c r="O30" s="2611"/>
      <c r="P30" s="2612">
        <f t="shared" si="3"/>
      </c>
      <c r="Q30" s="2613">
        <f t="shared" si="15"/>
      </c>
      <c r="R30" s="2614">
        <f t="shared" si="4"/>
      </c>
      <c r="S30" s="2615">
        <f t="shared" si="5"/>
        <v>20</v>
      </c>
      <c r="T30" s="2616" t="str">
        <f t="shared" si="6"/>
        <v>--</v>
      </c>
      <c r="U30" s="2617" t="str">
        <f t="shared" si="7"/>
        <v>--</v>
      </c>
      <c r="V30" s="2618" t="str">
        <f t="shared" si="8"/>
        <v>--</v>
      </c>
      <c r="W30" s="2619" t="str">
        <f t="shared" si="9"/>
        <v>--</v>
      </c>
      <c r="X30" s="2620" t="str">
        <f t="shared" si="10"/>
        <v>--</v>
      </c>
      <c r="Y30" s="2621" t="str">
        <f t="shared" si="11"/>
        <v>--</v>
      </c>
      <c r="Z30" s="2622" t="str">
        <f t="shared" si="12"/>
        <v>--</v>
      </c>
      <c r="AA30" s="2623" t="str">
        <f t="shared" si="13"/>
        <v>--</v>
      </c>
      <c r="AB30" s="2624">
        <f t="shared" si="16"/>
      </c>
      <c r="AC30" s="2625">
        <f t="shared" si="14"/>
      </c>
      <c r="AD30" s="2527"/>
    </row>
    <row r="31" spans="1:30" s="2509" customFormat="1" ht="16.5" customHeight="1">
      <c r="A31" s="2508"/>
      <c r="B31" s="2524"/>
      <c r="C31" s="2592"/>
      <c r="D31" s="2592"/>
      <c r="E31" s="2592"/>
      <c r="F31" s="1549"/>
      <c r="G31" s="2627"/>
      <c r="H31" s="1551"/>
      <c r="I31" s="2626"/>
      <c r="J31" s="2608">
        <f t="shared" si="0"/>
        <v>0</v>
      </c>
      <c r="K31" s="2180"/>
      <c r="L31" s="2180"/>
      <c r="M31" s="2609">
        <f t="shared" si="1"/>
      </c>
      <c r="N31" s="2610">
        <f t="shared" si="2"/>
      </c>
      <c r="O31" s="2611"/>
      <c r="P31" s="2612">
        <f t="shared" si="3"/>
      </c>
      <c r="Q31" s="2613">
        <f t="shared" si="15"/>
      </c>
      <c r="R31" s="2614">
        <f t="shared" si="4"/>
      </c>
      <c r="S31" s="2615">
        <f t="shared" si="5"/>
        <v>20</v>
      </c>
      <c r="T31" s="2616" t="str">
        <f t="shared" si="6"/>
        <v>--</v>
      </c>
      <c r="U31" s="2617" t="str">
        <f t="shared" si="7"/>
        <v>--</v>
      </c>
      <c r="V31" s="2618" t="str">
        <f t="shared" si="8"/>
        <v>--</v>
      </c>
      <c r="W31" s="2619" t="str">
        <f t="shared" si="9"/>
        <v>--</v>
      </c>
      <c r="X31" s="2620" t="str">
        <f t="shared" si="10"/>
        <v>--</v>
      </c>
      <c r="Y31" s="2621" t="str">
        <f t="shared" si="11"/>
        <v>--</v>
      </c>
      <c r="Z31" s="2622" t="str">
        <f t="shared" si="12"/>
        <v>--</v>
      </c>
      <c r="AA31" s="2623" t="str">
        <f t="shared" si="13"/>
        <v>--</v>
      </c>
      <c r="AB31" s="2624">
        <f t="shared" si="16"/>
      </c>
      <c r="AC31" s="2625">
        <f t="shared" si="14"/>
      </c>
      <c r="AD31" s="2527"/>
    </row>
    <row r="32" spans="1:30" s="2509" customFormat="1" ht="16.5" customHeight="1">
      <c r="A32" s="2508"/>
      <c r="B32" s="2524"/>
      <c r="C32" s="2592"/>
      <c r="D32" s="2592"/>
      <c r="E32" s="2607"/>
      <c r="F32" s="1549"/>
      <c r="G32" s="2627"/>
      <c r="H32" s="1551"/>
      <c r="I32" s="2626"/>
      <c r="J32" s="2608">
        <f t="shared" si="0"/>
        <v>0</v>
      </c>
      <c r="K32" s="2180"/>
      <c r="L32" s="2180"/>
      <c r="M32" s="2609">
        <f t="shared" si="1"/>
      </c>
      <c r="N32" s="2610">
        <f t="shared" si="2"/>
      </c>
      <c r="O32" s="2611"/>
      <c r="P32" s="2612">
        <f t="shared" si="3"/>
      </c>
      <c r="Q32" s="2613">
        <f t="shared" si="15"/>
      </c>
      <c r="R32" s="2614">
        <f t="shared" si="4"/>
      </c>
      <c r="S32" s="2615">
        <f t="shared" si="5"/>
        <v>20</v>
      </c>
      <c r="T32" s="2616" t="str">
        <f t="shared" si="6"/>
        <v>--</v>
      </c>
      <c r="U32" s="2617" t="str">
        <f t="shared" si="7"/>
        <v>--</v>
      </c>
      <c r="V32" s="2618" t="str">
        <f t="shared" si="8"/>
        <v>--</v>
      </c>
      <c r="W32" s="2619" t="str">
        <f t="shared" si="9"/>
        <v>--</v>
      </c>
      <c r="X32" s="2620" t="str">
        <f t="shared" si="10"/>
        <v>--</v>
      </c>
      <c r="Y32" s="2621" t="str">
        <f t="shared" si="11"/>
        <v>--</v>
      </c>
      <c r="Z32" s="2622" t="str">
        <f t="shared" si="12"/>
        <v>--</v>
      </c>
      <c r="AA32" s="2623" t="str">
        <f t="shared" si="13"/>
        <v>--</v>
      </c>
      <c r="AB32" s="2624">
        <f t="shared" si="16"/>
      </c>
      <c r="AC32" s="2625">
        <f t="shared" si="14"/>
      </c>
      <c r="AD32" s="2527"/>
    </row>
    <row r="33" spans="1:30" s="2509" customFormat="1" ht="16.5" customHeight="1">
      <c r="A33" s="2508"/>
      <c r="B33" s="2524"/>
      <c r="C33" s="2592"/>
      <c r="D33" s="2592"/>
      <c r="E33" s="2592"/>
      <c r="F33" s="1549"/>
      <c r="G33" s="2627"/>
      <c r="H33" s="1551"/>
      <c r="I33" s="2626"/>
      <c r="J33" s="2608">
        <f t="shared" si="0"/>
        <v>0</v>
      </c>
      <c r="K33" s="2180"/>
      <c r="L33" s="2180"/>
      <c r="M33" s="2609">
        <f t="shared" si="1"/>
      </c>
      <c r="N33" s="2610">
        <f t="shared" si="2"/>
      </c>
      <c r="O33" s="2611"/>
      <c r="P33" s="2612">
        <f t="shared" si="3"/>
      </c>
      <c r="Q33" s="2613">
        <f t="shared" si="15"/>
      </c>
      <c r="R33" s="2614">
        <f t="shared" si="4"/>
      </c>
      <c r="S33" s="2615">
        <f t="shared" si="5"/>
        <v>20</v>
      </c>
      <c r="T33" s="2616" t="str">
        <f t="shared" si="6"/>
        <v>--</v>
      </c>
      <c r="U33" s="2617" t="str">
        <f t="shared" si="7"/>
        <v>--</v>
      </c>
      <c r="V33" s="2618" t="str">
        <f t="shared" si="8"/>
        <v>--</v>
      </c>
      <c r="W33" s="2619" t="str">
        <f t="shared" si="9"/>
        <v>--</v>
      </c>
      <c r="X33" s="2620" t="str">
        <f t="shared" si="10"/>
        <v>--</v>
      </c>
      <c r="Y33" s="2621" t="str">
        <f t="shared" si="11"/>
        <v>--</v>
      </c>
      <c r="Z33" s="2622" t="str">
        <f t="shared" si="12"/>
        <v>--</v>
      </c>
      <c r="AA33" s="2623" t="str">
        <f t="shared" si="13"/>
        <v>--</v>
      </c>
      <c r="AB33" s="2624">
        <f t="shared" si="16"/>
      </c>
      <c r="AC33" s="2625">
        <f t="shared" si="14"/>
      </c>
      <c r="AD33" s="2527"/>
    </row>
    <row r="34" spans="1:30" s="2509" customFormat="1" ht="16.5" customHeight="1">
      <c r="A34" s="2508"/>
      <c r="B34" s="2524"/>
      <c r="C34" s="2592"/>
      <c r="D34" s="2592"/>
      <c r="E34" s="2607"/>
      <c r="F34" s="1549"/>
      <c r="G34" s="2627"/>
      <c r="H34" s="1551"/>
      <c r="I34" s="2626"/>
      <c r="J34" s="2608">
        <f t="shared" si="0"/>
        <v>0</v>
      </c>
      <c r="K34" s="2180"/>
      <c r="L34" s="2180"/>
      <c r="M34" s="2609">
        <f t="shared" si="1"/>
      </c>
      <c r="N34" s="2610">
        <f t="shared" si="2"/>
      </c>
      <c r="O34" s="2611"/>
      <c r="P34" s="2612">
        <f t="shared" si="3"/>
      </c>
      <c r="Q34" s="2613">
        <f t="shared" si="15"/>
      </c>
      <c r="R34" s="2614">
        <f t="shared" si="4"/>
      </c>
      <c r="S34" s="2615">
        <f t="shared" si="5"/>
        <v>20</v>
      </c>
      <c r="T34" s="2616" t="str">
        <f t="shared" si="6"/>
        <v>--</v>
      </c>
      <c r="U34" s="2617" t="str">
        <f t="shared" si="7"/>
        <v>--</v>
      </c>
      <c r="V34" s="2618" t="str">
        <f t="shared" si="8"/>
        <v>--</v>
      </c>
      <c r="W34" s="2619" t="str">
        <f t="shared" si="9"/>
        <v>--</v>
      </c>
      <c r="X34" s="2620" t="str">
        <f t="shared" si="10"/>
        <v>--</v>
      </c>
      <c r="Y34" s="2621" t="str">
        <f t="shared" si="11"/>
        <v>--</v>
      </c>
      <c r="Z34" s="2622" t="str">
        <f t="shared" si="12"/>
        <v>--</v>
      </c>
      <c r="AA34" s="2623" t="str">
        <f t="shared" si="13"/>
        <v>--</v>
      </c>
      <c r="AB34" s="2624">
        <f t="shared" si="16"/>
      </c>
      <c r="AC34" s="2625">
        <f t="shared" si="14"/>
      </c>
      <c r="AD34" s="2527"/>
    </row>
    <row r="35" spans="1:30" s="2509" customFormat="1" ht="16.5" customHeight="1">
      <c r="A35" s="2508"/>
      <c r="B35" s="2524"/>
      <c r="C35" s="2592"/>
      <c r="D35" s="2592"/>
      <c r="E35" s="2592"/>
      <c r="F35" s="1549"/>
      <c r="G35" s="2627"/>
      <c r="H35" s="1551"/>
      <c r="I35" s="2626"/>
      <c r="J35" s="2608">
        <f t="shared" si="0"/>
        <v>0</v>
      </c>
      <c r="K35" s="2180"/>
      <c r="L35" s="2180"/>
      <c r="M35" s="2609">
        <f t="shared" si="1"/>
      </c>
      <c r="N35" s="2610">
        <f t="shared" si="2"/>
      </c>
      <c r="O35" s="2611"/>
      <c r="P35" s="2612">
        <f t="shared" si="3"/>
      </c>
      <c r="Q35" s="2613">
        <f t="shared" si="15"/>
      </c>
      <c r="R35" s="2614">
        <f t="shared" si="4"/>
      </c>
      <c r="S35" s="2615">
        <f t="shared" si="5"/>
        <v>20</v>
      </c>
      <c r="T35" s="2616" t="str">
        <f t="shared" si="6"/>
        <v>--</v>
      </c>
      <c r="U35" s="2617" t="str">
        <f t="shared" si="7"/>
        <v>--</v>
      </c>
      <c r="V35" s="2618" t="str">
        <f t="shared" si="8"/>
        <v>--</v>
      </c>
      <c r="W35" s="2619" t="str">
        <f t="shared" si="9"/>
        <v>--</v>
      </c>
      <c r="X35" s="2620" t="str">
        <f t="shared" si="10"/>
        <v>--</v>
      </c>
      <c r="Y35" s="2621" t="str">
        <f t="shared" si="11"/>
        <v>--</v>
      </c>
      <c r="Z35" s="2622" t="str">
        <f t="shared" si="12"/>
        <v>--</v>
      </c>
      <c r="AA35" s="2623" t="str">
        <f t="shared" si="13"/>
        <v>--</v>
      </c>
      <c r="AB35" s="2624">
        <f t="shared" si="16"/>
      </c>
      <c r="AC35" s="2625">
        <f t="shared" si="14"/>
      </c>
      <c r="AD35" s="2527"/>
    </row>
    <row r="36" spans="1:30" s="2509" customFormat="1" ht="16.5" customHeight="1">
      <c r="A36" s="2508"/>
      <c r="B36" s="2524"/>
      <c r="C36" s="2592"/>
      <c r="D36" s="2592"/>
      <c r="E36" s="2607"/>
      <c r="F36" s="1549"/>
      <c r="G36" s="2627"/>
      <c r="H36" s="1551"/>
      <c r="I36" s="2626"/>
      <c r="J36" s="2608">
        <f t="shared" si="0"/>
        <v>0</v>
      </c>
      <c r="K36" s="2180"/>
      <c r="L36" s="2180"/>
      <c r="M36" s="2609">
        <f t="shared" si="1"/>
      </c>
      <c r="N36" s="2610">
        <f t="shared" si="2"/>
      </c>
      <c r="O36" s="2611"/>
      <c r="P36" s="2612">
        <f t="shared" si="3"/>
      </c>
      <c r="Q36" s="2613">
        <f t="shared" si="15"/>
      </c>
      <c r="R36" s="2614">
        <f t="shared" si="4"/>
      </c>
      <c r="S36" s="2615">
        <f t="shared" si="5"/>
        <v>20</v>
      </c>
      <c r="T36" s="2616" t="str">
        <f t="shared" si="6"/>
        <v>--</v>
      </c>
      <c r="U36" s="2617" t="str">
        <f t="shared" si="7"/>
        <v>--</v>
      </c>
      <c r="V36" s="2618" t="str">
        <f t="shared" si="8"/>
        <v>--</v>
      </c>
      <c r="W36" s="2619" t="str">
        <f t="shared" si="9"/>
        <v>--</v>
      </c>
      <c r="X36" s="2620" t="str">
        <f t="shared" si="10"/>
        <v>--</v>
      </c>
      <c r="Y36" s="2621" t="str">
        <f t="shared" si="11"/>
        <v>--</v>
      </c>
      <c r="Z36" s="2622" t="str">
        <f t="shared" si="12"/>
        <v>--</v>
      </c>
      <c r="AA36" s="2623" t="str">
        <f t="shared" si="13"/>
        <v>--</v>
      </c>
      <c r="AB36" s="2624">
        <f t="shared" si="16"/>
      </c>
      <c r="AC36" s="2625">
        <f t="shared" si="14"/>
      </c>
      <c r="AD36" s="2527"/>
    </row>
    <row r="37" spans="1:30" s="2509" customFormat="1" ht="16.5" customHeight="1">
      <c r="A37" s="2508"/>
      <c r="B37" s="2524"/>
      <c r="C37" s="2592"/>
      <c r="D37" s="2592"/>
      <c r="E37" s="2592"/>
      <c r="F37" s="1549"/>
      <c r="G37" s="2627"/>
      <c r="H37" s="1551"/>
      <c r="I37" s="2626"/>
      <c r="J37" s="2608">
        <f t="shared" si="0"/>
        <v>0</v>
      </c>
      <c r="K37" s="2180"/>
      <c r="L37" s="2180"/>
      <c r="M37" s="2609">
        <f t="shared" si="1"/>
      </c>
      <c r="N37" s="2610">
        <f t="shared" si="2"/>
      </c>
      <c r="O37" s="2611"/>
      <c r="P37" s="2612">
        <f t="shared" si="3"/>
      </c>
      <c r="Q37" s="2613">
        <f t="shared" si="15"/>
      </c>
      <c r="R37" s="2614">
        <f t="shared" si="4"/>
      </c>
      <c r="S37" s="2615">
        <f t="shared" si="5"/>
        <v>20</v>
      </c>
      <c r="T37" s="2616" t="str">
        <f t="shared" si="6"/>
        <v>--</v>
      </c>
      <c r="U37" s="2617" t="str">
        <f t="shared" si="7"/>
        <v>--</v>
      </c>
      <c r="V37" s="2618" t="str">
        <f t="shared" si="8"/>
        <v>--</v>
      </c>
      <c r="W37" s="2619" t="str">
        <f t="shared" si="9"/>
        <v>--</v>
      </c>
      <c r="X37" s="2620" t="str">
        <f t="shared" si="10"/>
        <v>--</v>
      </c>
      <c r="Y37" s="2621" t="str">
        <f t="shared" si="11"/>
        <v>--</v>
      </c>
      <c r="Z37" s="2622" t="str">
        <f t="shared" si="12"/>
        <v>--</v>
      </c>
      <c r="AA37" s="2623" t="str">
        <f t="shared" si="13"/>
        <v>--</v>
      </c>
      <c r="AB37" s="2624">
        <f t="shared" si="16"/>
      </c>
      <c r="AC37" s="2625">
        <f t="shared" si="14"/>
      </c>
      <c r="AD37" s="2527"/>
    </row>
    <row r="38" spans="1:30" s="2509" customFormat="1" ht="16.5" customHeight="1">
      <c r="A38" s="2508"/>
      <c r="B38" s="2524"/>
      <c r="C38" s="2592"/>
      <c r="D38" s="2592"/>
      <c r="E38" s="2607"/>
      <c r="F38" s="1549"/>
      <c r="G38" s="2627"/>
      <c r="H38" s="1551"/>
      <c r="I38" s="2626"/>
      <c r="J38" s="2608">
        <f t="shared" si="0"/>
        <v>0</v>
      </c>
      <c r="K38" s="2180"/>
      <c r="L38" s="2180"/>
      <c r="M38" s="2609">
        <f t="shared" si="1"/>
      </c>
      <c r="N38" s="2610">
        <f t="shared" si="2"/>
      </c>
      <c r="O38" s="2611"/>
      <c r="P38" s="2612">
        <f t="shared" si="3"/>
      </c>
      <c r="Q38" s="2613">
        <f t="shared" si="15"/>
      </c>
      <c r="R38" s="2614">
        <f t="shared" si="4"/>
      </c>
      <c r="S38" s="2615">
        <f t="shared" si="5"/>
        <v>20</v>
      </c>
      <c r="T38" s="2616" t="str">
        <f t="shared" si="6"/>
        <v>--</v>
      </c>
      <c r="U38" s="2617" t="str">
        <f t="shared" si="7"/>
        <v>--</v>
      </c>
      <c r="V38" s="2618" t="str">
        <f t="shared" si="8"/>
        <v>--</v>
      </c>
      <c r="W38" s="2619" t="str">
        <f t="shared" si="9"/>
        <v>--</v>
      </c>
      <c r="X38" s="2620" t="str">
        <f t="shared" si="10"/>
        <v>--</v>
      </c>
      <c r="Y38" s="2621" t="str">
        <f t="shared" si="11"/>
        <v>--</v>
      </c>
      <c r="Z38" s="2622" t="str">
        <f t="shared" si="12"/>
        <v>--</v>
      </c>
      <c r="AA38" s="2623" t="str">
        <f t="shared" si="13"/>
        <v>--</v>
      </c>
      <c r="AB38" s="2624">
        <f t="shared" si="16"/>
      </c>
      <c r="AC38" s="2625">
        <f t="shared" si="14"/>
      </c>
      <c r="AD38" s="2527"/>
    </row>
    <row r="39" spans="1:30" s="2509" customFormat="1" ht="16.5" customHeight="1">
      <c r="A39" s="2508"/>
      <c r="B39" s="2524"/>
      <c r="C39" s="2592"/>
      <c r="D39" s="2592"/>
      <c r="E39" s="2592"/>
      <c r="F39" s="1549"/>
      <c r="G39" s="2627"/>
      <c r="H39" s="1551"/>
      <c r="I39" s="2626"/>
      <c r="J39" s="2608">
        <f t="shared" si="0"/>
        <v>0</v>
      </c>
      <c r="K39" s="2180"/>
      <c r="L39" s="2180"/>
      <c r="M39" s="2609">
        <f t="shared" si="1"/>
      </c>
      <c r="N39" s="2610">
        <f t="shared" si="2"/>
      </c>
      <c r="O39" s="2611"/>
      <c r="P39" s="2612">
        <f t="shared" si="3"/>
      </c>
      <c r="Q39" s="2613">
        <f t="shared" si="15"/>
      </c>
      <c r="R39" s="2614">
        <f t="shared" si="4"/>
      </c>
      <c r="S39" s="2615">
        <f t="shared" si="5"/>
        <v>20</v>
      </c>
      <c r="T39" s="2616" t="str">
        <f t="shared" si="6"/>
        <v>--</v>
      </c>
      <c r="U39" s="2617" t="str">
        <f t="shared" si="7"/>
        <v>--</v>
      </c>
      <c r="V39" s="2618" t="str">
        <f t="shared" si="8"/>
        <v>--</v>
      </c>
      <c r="W39" s="2619" t="str">
        <f t="shared" si="9"/>
        <v>--</v>
      </c>
      <c r="X39" s="2620" t="str">
        <f t="shared" si="10"/>
        <v>--</v>
      </c>
      <c r="Y39" s="2621" t="str">
        <f t="shared" si="11"/>
        <v>--</v>
      </c>
      <c r="Z39" s="2622" t="str">
        <f t="shared" si="12"/>
        <v>--</v>
      </c>
      <c r="AA39" s="2623" t="str">
        <f t="shared" si="13"/>
        <v>--</v>
      </c>
      <c r="AB39" s="2624">
        <f t="shared" si="16"/>
      </c>
      <c r="AC39" s="2625">
        <f t="shared" si="14"/>
      </c>
      <c r="AD39" s="2527"/>
    </row>
    <row r="40" spans="1:30" s="2509" customFormat="1" ht="16.5" customHeight="1" thickBot="1">
      <c r="A40" s="2508"/>
      <c r="B40" s="2524"/>
      <c r="C40" s="2628"/>
      <c r="D40" s="2628"/>
      <c r="E40" s="2628"/>
      <c r="F40" s="2628"/>
      <c r="G40" s="2628"/>
      <c r="H40" s="2628"/>
      <c r="I40" s="2629"/>
      <c r="J40" s="2630"/>
      <c r="K40" s="2631"/>
      <c r="L40" s="2632"/>
      <c r="M40" s="2633"/>
      <c r="N40" s="2634"/>
      <c r="O40" s="2635"/>
      <c r="P40" s="2636"/>
      <c r="Q40" s="2637"/>
      <c r="R40" s="2635"/>
      <c r="S40" s="2638"/>
      <c r="T40" s="2639"/>
      <c r="U40" s="2640"/>
      <c r="V40" s="2641"/>
      <c r="W40" s="2642"/>
      <c r="X40" s="2643"/>
      <c r="Y40" s="2644"/>
      <c r="Z40" s="2645"/>
      <c r="AA40" s="2646"/>
      <c r="AB40" s="2647"/>
      <c r="AC40" s="2648"/>
      <c r="AD40" s="2527"/>
    </row>
    <row r="41" spans="1:30" s="2509" customFormat="1" ht="16.5" customHeight="1" thickBot="1" thickTop="1">
      <c r="A41" s="2508"/>
      <c r="B41" s="2524"/>
      <c r="C41" s="2649" t="s">
        <v>322</v>
      </c>
      <c r="D41" s="2650" t="s">
        <v>366</v>
      </c>
      <c r="E41" s="2649"/>
      <c r="F41" s="2651"/>
      <c r="G41" s="2525"/>
      <c r="H41" s="2525"/>
      <c r="I41" s="2525"/>
      <c r="J41" s="2525"/>
      <c r="K41" s="2525"/>
      <c r="L41" s="2556"/>
      <c r="M41" s="2525"/>
      <c r="N41" s="2525"/>
      <c r="O41" s="2525"/>
      <c r="P41" s="2525"/>
      <c r="Q41" s="2525"/>
      <c r="R41" s="2525"/>
      <c r="S41" s="2525"/>
      <c r="T41" s="2652">
        <f aca="true" t="shared" si="17" ref="T41:AA41">SUM(T18:T40)</f>
        <v>2351.196</v>
      </c>
      <c r="U41" s="2653">
        <f t="shared" si="17"/>
        <v>0</v>
      </c>
      <c r="V41" s="2654">
        <f t="shared" si="17"/>
        <v>2892</v>
      </c>
      <c r="W41" s="2655">
        <f t="shared" si="17"/>
        <v>4829.639999999999</v>
      </c>
      <c r="X41" s="2656">
        <f t="shared" si="17"/>
        <v>0</v>
      </c>
      <c r="Y41" s="2657">
        <f t="shared" si="17"/>
        <v>0</v>
      </c>
      <c r="Z41" s="2658">
        <f t="shared" si="17"/>
        <v>0</v>
      </c>
      <c r="AA41" s="2659">
        <f t="shared" si="17"/>
        <v>0</v>
      </c>
      <c r="AB41" s="2508"/>
      <c r="AC41" s="2660">
        <f>ROUND(SUM(AC18:AC40),2)</f>
        <v>10072.84</v>
      </c>
      <c r="AD41" s="2527"/>
    </row>
    <row r="42" spans="1:30" s="2509" customFormat="1" ht="16.5" customHeight="1" thickBot="1" thickTop="1">
      <c r="A42" s="2508"/>
      <c r="B42" s="2661"/>
      <c r="C42" s="2662"/>
      <c r="D42" s="2662"/>
      <c r="E42" s="2662"/>
      <c r="F42" s="2662"/>
      <c r="G42" s="2662"/>
      <c r="H42" s="2662"/>
      <c r="I42" s="2662"/>
      <c r="J42" s="2662"/>
      <c r="K42" s="2662"/>
      <c r="L42" s="2662"/>
      <c r="M42" s="2662"/>
      <c r="N42" s="2662"/>
      <c r="O42" s="2662"/>
      <c r="P42" s="2662"/>
      <c r="Q42" s="2662"/>
      <c r="R42" s="2662"/>
      <c r="S42" s="2662"/>
      <c r="T42" s="2662"/>
      <c r="U42" s="2662"/>
      <c r="V42" s="2662"/>
      <c r="W42" s="2662"/>
      <c r="X42" s="2662"/>
      <c r="Y42" s="2662"/>
      <c r="Z42" s="2662"/>
      <c r="AA42" s="2662"/>
      <c r="AB42" s="2662"/>
      <c r="AC42" s="2662"/>
      <c r="AD42" s="2663"/>
    </row>
    <row r="43" spans="1:31" ht="16.5" customHeight="1" thickTop="1">
      <c r="A43" s="2664"/>
      <c r="F43" s="2665"/>
      <c r="G43" s="2665"/>
      <c r="H43" s="2665"/>
      <c r="I43" s="2665"/>
      <c r="J43" s="2665"/>
      <c r="K43" s="2665"/>
      <c r="L43" s="2665"/>
      <c r="M43" s="2665"/>
      <c r="N43" s="2665"/>
      <c r="O43" s="2665"/>
      <c r="P43" s="2665"/>
      <c r="Q43" s="2665"/>
      <c r="R43" s="2665"/>
      <c r="S43" s="2665"/>
      <c r="T43" s="2665"/>
      <c r="U43" s="2665"/>
      <c r="V43" s="2665"/>
      <c r="W43" s="2665"/>
      <c r="X43" s="2665"/>
      <c r="Y43" s="2665"/>
      <c r="Z43" s="2665"/>
      <c r="AA43" s="2665"/>
      <c r="AB43" s="2665"/>
      <c r="AC43" s="2665"/>
      <c r="AD43" s="2665"/>
      <c r="AE43" s="2665"/>
    </row>
    <row r="44" spans="1:31" ht="16.5" customHeight="1">
      <c r="A44" s="2664"/>
      <c r="F44" s="2665"/>
      <c r="G44" s="2665"/>
      <c r="H44" s="2665"/>
      <c r="I44" s="2665"/>
      <c r="J44" s="2665"/>
      <c r="K44" s="2665"/>
      <c r="L44" s="2665"/>
      <c r="M44" s="2665"/>
      <c r="N44" s="2665"/>
      <c r="O44" s="2665"/>
      <c r="P44" s="2665"/>
      <c r="Q44" s="2665"/>
      <c r="R44" s="2665"/>
      <c r="S44" s="2665"/>
      <c r="T44" s="2665"/>
      <c r="U44" s="2665"/>
      <c r="V44" s="2665"/>
      <c r="W44" s="2665"/>
      <c r="X44" s="2665"/>
      <c r="Y44" s="2665"/>
      <c r="Z44" s="2665"/>
      <c r="AA44" s="2665"/>
      <c r="AB44" s="2665"/>
      <c r="AC44" s="2665"/>
      <c r="AD44" s="2665"/>
      <c r="AE44" s="2665"/>
    </row>
    <row r="45" spans="1:31" ht="16.5" customHeight="1">
      <c r="A45" s="2664"/>
      <c r="F45" s="2665"/>
      <c r="G45" s="2665"/>
      <c r="H45" s="2665"/>
      <c r="I45" s="2665"/>
      <c r="J45" s="2665"/>
      <c r="K45" s="2665"/>
      <c r="L45" s="2665"/>
      <c r="M45" s="2665"/>
      <c r="N45" s="2665"/>
      <c r="O45" s="2665"/>
      <c r="P45" s="2665"/>
      <c r="Q45" s="2665"/>
      <c r="R45" s="2665"/>
      <c r="S45" s="2665"/>
      <c r="T45" s="2665"/>
      <c r="U45" s="2665"/>
      <c r="V45" s="2665"/>
      <c r="W45" s="2665"/>
      <c r="X45" s="2665"/>
      <c r="Y45" s="2665"/>
      <c r="Z45" s="2665"/>
      <c r="AA45" s="2665"/>
      <c r="AB45" s="2665"/>
      <c r="AC45" s="2665"/>
      <c r="AD45" s="2665"/>
      <c r="AE45" s="2665"/>
    </row>
    <row r="46" spans="1:31" ht="16.5" customHeight="1">
      <c r="A46" s="2664"/>
      <c r="F46" s="2665"/>
      <c r="G46" s="2665"/>
      <c r="H46" s="2665"/>
      <c r="I46" s="2665"/>
      <c r="J46" s="2665"/>
      <c r="K46" s="2665"/>
      <c r="L46" s="2665"/>
      <c r="M46" s="2665"/>
      <c r="N46" s="2665"/>
      <c r="O46" s="2665"/>
      <c r="P46" s="2665"/>
      <c r="Q46" s="2665"/>
      <c r="R46" s="2665"/>
      <c r="S46" s="2665"/>
      <c r="T46" s="2665"/>
      <c r="U46" s="2665"/>
      <c r="V46" s="2665"/>
      <c r="W46" s="2665"/>
      <c r="X46" s="2665"/>
      <c r="Y46" s="2665"/>
      <c r="Z46" s="2665"/>
      <c r="AA46" s="2665"/>
      <c r="AB46" s="2665"/>
      <c r="AC46" s="2665"/>
      <c r="AD46" s="2665"/>
      <c r="AE46" s="2665"/>
    </row>
    <row r="47" spans="6:31" ht="16.5" customHeight="1">
      <c r="F47" s="2665"/>
      <c r="G47" s="2665"/>
      <c r="H47" s="2665"/>
      <c r="I47" s="2665"/>
      <c r="J47" s="2665"/>
      <c r="K47" s="2665"/>
      <c r="L47" s="2665"/>
      <c r="M47" s="2665"/>
      <c r="N47" s="2665"/>
      <c r="O47" s="2665"/>
      <c r="P47" s="2665"/>
      <c r="Q47" s="2665"/>
      <c r="R47" s="2665"/>
      <c r="S47" s="2665"/>
      <c r="T47" s="2665"/>
      <c r="U47" s="2665"/>
      <c r="V47" s="2665"/>
      <c r="W47" s="2665"/>
      <c r="X47" s="2665"/>
      <c r="Y47" s="2665"/>
      <c r="Z47" s="2665"/>
      <c r="AA47" s="2665"/>
      <c r="AB47" s="2665"/>
      <c r="AC47" s="2665"/>
      <c r="AD47" s="2665"/>
      <c r="AE47" s="2665"/>
    </row>
    <row r="48" spans="6:31" ht="16.5" customHeight="1">
      <c r="F48" s="2665"/>
      <c r="G48" s="2665"/>
      <c r="H48" s="2665"/>
      <c r="I48" s="2665"/>
      <c r="J48" s="2665"/>
      <c r="K48" s="2665"/>
      <c r="L48" s="2665"/>
      <c r="M48" s="2665"/>
      <c r="N48" s="2665"/>
      <c r="O48" s="2665"/>
      <c r="P48" s="2665"/>
      <c r="Q48" s="2665"/>
      <c r="R48" s="2665"/>
      <c r="S48" s="2665"/>
      <c r="T48" s="2665"/>
      <c r="U48" s="2665"/>
      <c r="V48" s="2665"/>
      <c r="W48" s="2665"/>
      <c r="X48" s="2665"/>
      <c r="Y48" s="2665"/>
      <c r="Z48" s="2665"/>
      <c r="AA48" s="2665"/>
      <c r="AB48" s="2665"/>
      <c r="AC48" s="2665"/>
      <c r="AD48" s="2665"/>
      <c r="AE48" s="2665"/>
    </row>
    <row r="49" spans="6:31" ht="16.5" customHeight="1">
      <c r="F49" s="2665"/>
      <c r="G49" s="2665"/>
      <c r="H49" s="2665"/>
      <c r="I49" s="2665"/>
      <c r="J49" s="2665"/>
      <c r="K49" s="2665"/>
      <c r="L49" s="2665"/>
      <c r="M49" s="2665"/>
      <c r="N49" s="2665"/>
      <c r="O49" s="2665"/>
      <c r="P49" s="2665"/>
      <c r="Q49" s="2665"/>
      <c r="R49" s="2665"/>
      <c r="S49" s="2665"/>
      <c r="T49" s="2665"/>
      <c r="U49" s="2665"/>
      <c r="V49" s="2665"/>
      <c r="W49" s="2665"/>
      <c r="X49" s="2665"/>
      <c r="Y49" s="2665"/>
      <c r="Z49" s="2665"/>
      <c r="AA49" s="2665"/>
      <c r="AB49" s="2665"/>
      <c r="AC49" s="2665"/>
      <c r="AD49" s="2665"/>
      <c r="AE49" s="2665"/>
    </row>
    <row r="50" spans="6:31" ht="16.5" customHeight="1">
      <c r="F50" s="2665"/>
      <c r="G50" s="2665"/>
      <c r="H50" s="2665"/>
      <c r="I50" s="2665"/>
      <c r="J50" s="2665"/>
      <c r="K50" s="2665"/>
      <c r="L50" s="2665"/>
      <c r="M50" s="2665"/>
      <c r="N50" s="2665"/>
      <c r="O50" s="2665"/>
      <c r="P50" s="2665"/>
      <c r="Q50" s="2665"/>
      <c r="R50" s="2665"/>
      <c r="S50" s="2665"/>
      <c r="T50" s="2665"/>
      <c r="U50" s="2665"/>
      <c r="V50" s="2665"/>
      <c r="W50" s="2665"/>
      <c r="X50" s="2665"/>
      <c r="Y50" s="2665"/>
      <c r="Z50" s="2665"/>
      <c r="AA50" s="2665"/>
      <c r="AB50" s="2665"/>
      <c r="AC50" s="2665"/>
      <c r="AD50" s="2665"/>
      <c r="AE50" s="2665"/>
    </row>
    <row r="51" spans="6:31" ht="16.5" customHeight="1">
      <c r="F51" s="2665"/>
      <c r="G51" s="2665"/>
      <c r="H51" s="2665"/>
      <c r="I51" s="2665"/>
      <c r="J51" s="2665"/>
      <c r="K51" s="2665"/>
      <c r="L51" s="2665"/>
      <c r="M51" s="2665"/>
      <c r="N51" s="2665"/>
      <c r="O51" s="2665"/>
      <c r="P51" s="2665"/>
      <c r="Q51" s="2665"/>
      <c r="R51" s="2665"/>
      <c r="S51" s="2665"/>
      <c r="T51" s="2665"/>
      <c r="U51" s="2665"/>
      <c r="V51" s="2665"/>
      <c r="W51" s="2665"/>
      <c r="X51" s="2665"/>
      <c r="Y51" s="2665"/>
      <c r="Z51" s="2665"/>
      <c r="AA51" s="2665"/>
      <c r="AB51" s="2665"/>
      <c r="AC51" s="2665"/>
      <c r="AD51" s="2665"/>
      <c r="AE51" s="2665"/>
    </row>
    <row r="52" spans="6:31" ht="16.5" customHeight="1">
      <c r="F52" s="2665"/>
      <c r="G52" s="2665"/>
      <c r="H52" s="2665"/>
      <c r="I52" s="2665"/>
      <c r="J52" s="2665"/>
      <c r="K52" s="2665"/>
      <c r="L52" s="2665"/>
      <c r="M52" s="2665"/>
      <c r="N52" s="2665"/>
      <c r="O52" s="2665"/>
      <c r="P52" s="2665"/>
      <c r="Q52" s="2665"/>
      <c r="R52" s="2665"/>
      <c r="S52" s="2665"/>
      <c r="T52" s="2665"/>
      <c r="U52" s="2665"/>
      <c r="V52" s="2665"/>
      <c r="W52" s="2665"/>
      <c r="X52" s="2665"/>
      <c r="Y52" s="2665"/>
      <c r="Z52" s="2665"/>
      <c r="AA52" s="2665"/>
      <c r="AB52" s="2665"/>
      <c r="AC52" s="2665"/>
      <c r="AD52" s="2665"/>
      <c r="AE52" s="2665"/>
    </row>
    <row r="53" spans="6:31" ht="16.5" customHeight="1">
      <c r="F53" s="2665"/>
      <c r="G53" s="2665"/>
      <c r="H53" s="2665"/>
      <c r="I53" s="2665"/>
      <c r="J53" s="2665"/>
      <c r="K53" s="2665"/>
      <c r="L53" s="2665"/>
      <c r="M53" s="2665"/>
      <c r="N53" s="2665"/>
      <c r="O53" s="2665"/>
      <c r="P53" s="2665"/>
      <c r="Q53" s="2665"/>
      <c r="R53" s="2665"/>
      <c r="S53" s="2665"/>
      <c r="T53" s="2665"/>
      <c r="U53" s="2665"/>
      <c r="V53" s="2665"/>
      <c r="W53" s="2665"/>
      <c r="X53" s="2665"/>
      <c r="Y53" s="2665"/>
      <c r="Z53" s="2665"/>
      <c r="AA53" s="2665"/>
      <c r="AB53" s="2665"/>
      <c r="AC53" s="2665"/>
      <c r="AD53" s="2665"/>
      <c r="AE53" s="2665"/>
    </row>
    <row r="54" spans="6:31" ht="16.5" customHeight="1">
      <c r="F54" s="2665"/>
      <c r="G54" s="2665"/>
      <c r="H54" s="2665"/>
      <c r="I54" s="2665"/>
      <c r="J54" s="2665"/>
      <c r="K54" s="2665"/>
      <c r="L54" s="2665"/>
      <c r="M54" s="2665"/>
      <c r="N54" s="2665"/>
      <c r="O54" s="2665"/>
      <c r="P54" s="2665"/>
      <c r="Q54" s="2665"/>
      <c r="R54" s="2665"/>
      <c r="S54" s="2665"/>
      <c r="T54" s="2665"/>
      <c r="U54" s="2665"/>
      <c r="V54" s="2665"/>
      <c r="W54" s="2665"/>
      <c r="X54" s="2665"/>
      <c r="Y54" s="2665"/>
      <c r="Z54" s="2665"/>
      <c r="AA54" s="2665"/>
      <c r="AB54" s="2665"/>
      <c r="AC54" s="2665"/>
      <c r="AD54" s="2665"/>
      <c r="AE54" s="2665"/>
    </row>
    <row r="55" spans="6:31" ht="16.5" customHeight="1">
      <c r="F55" s="2665"/>
      <c r="G55" s="2665"/>
      <c r="H55" s="2665"/>
      <c r="I55" s="2665"/>
      <c r="J55" s="2665"/>
      <c r="K55" s="2665"/>
      <c r="L55" s="2665"/>
      <c r="M55" s="2665"/>
      <c r="N55" s="2665"/>
      <c r="O55" s="2665"/>
      <c r="P55" s="2665"/>
      <c r="Q55" s="2665"/>
      <c r="R55" s="2665"/>
      <c r="S55" s="2665"/>
      <c r="T55" s="2665"/>
      <c r="U55" s="2665"/>
      <c r="V55" s="2665"/>
      <c r="W55" s="2665"/>
      <c r="X55" s="2665"/>
      <c r="Y55" s="2665"/>
      <c r="Z55" s="2665"/>
      <c r="AA55" s="2665"/>
      <c r="AB55" s="2665"/>
      <c r="AC55" s="2665"/>
      <c r="AD55" s="2665"/>
      <c r="AE55" s="2665"/>
    </row>
    <row r="56" spans="6:31" ht="16.5" customHeight="1">
      <c r="F56" s="2665"/>
      <c r="G56" s="2665"/>
      <c r="H56" s="2665"/>
      <c r="I56" s="2665"/>
      <c r="J56" s="2665"/>
      <c r="K56" s="2665"/>
      <c r="L56" s="2665"/>
      <c r="M56" s="2665"/>
      <c r="N56" s="2665"/>
      <c r="O56" s="2665"/>
      <c r="P56" s="2665"/>
      <c r="Q56" s="2665"/>
      <c r="R56" s="2665"/>
      <c r="S56" s="2665"/>
      <c r="T56" s="2665"/>
      <c r="U56" s="2665"/>
      <c r="V56" s="2665"/>
      <c r="W56" s="2665"/>
      <c r="X56" s="2665"/>
      <c r="Y56" s="2665"/>
      <c r="Z56" s="2665"/>
      <c r="AA56" s="2665"/>
      <c r="AB56" s="2665"/>
      <c r="AC56" s="2665"/>
      <c r="AD56" s="2665"/>
      <c r="AE56" s="2665"/>
    </row>
    <row r="57" spans="6:31" ht="16.5" customHeight="1">
      <c r="F57" s="2665"/>
      <c r="G57" s="2665"/>
      <c r="H57" s="2665"/>
      <c r="I57" s="2665"/>
      <c r="J57" s="2665"/>
      <c r="K57" s="2665"/>
      <c r="L57" s="2665"/>
      <c r="M57" s="2665"/>
      <c r="N57" s="2665"/>
      <c r="O57" s="2665"/>
      <c r="P57" s="2665"/>
      <c r="Q57" s="2665"/>
      <c r="R57" s="2665"/>
      <c r="S57" s="2665"/>
      <c r="T57" s="2665"/>
      <c r="U57" s="2665"/>
      <c r="V57" s="2665"/>
      <c r="W57" s="2665"/>
      <c r="X57" s="2665"/>
      <c r="Y57" s="2665"/>
      <c r="Z57" s="2665"/>
      <c r="AA57" s="2665"/>
      <c r="AB57" s="2665"/>
      <c r="AC57" s="2665"/>
      <c r="AD57" s="2665"/>
      <c r="AE57" s="2665"/>
    </row>
    <row r="58" spans="6:31" ht="16.5" customHeight="1">
      <c r="F58" s="2665"/>
      <c r="G58" s="2665"/>
      <c r="H58" s="2665"/>
      <c r="I58" s="2665"/>
      <c r="J58" s="2665"/>
      <c r="K58" s="2665"/>
      <c r="L58" s="2665"/>
      <c r="M58" s="2665"/>
      <c r="N58" s="2665"/>
      <c r="O58" s="2665"/>
      <c r="P58" s="2665"/>
      <c r="Q58" s="2665"/>
      <c r="R58" s="2665"/>
      <c r="S58" s="2665"/>
      <c r="T58" s="2665"/>
      <c r="U58" s="2665"/>
      <c r="V58" s="2665"/>
      <c r="W58" s="2665"/>
      <c r="X58" s="2665"/>
      <c r="Y58" s="2665"/>
      <c r="Z58" s="2665"/>
      <c r="AA58" s="2665"/>
      <c r="AB58" s="2665"/>
      <c r="AC58" s="2665"/>
      <c r="AD58" s="2665"/>
      <c r="AE58" s="2665"/>
    </row>
    <row r="59" spans="6:31" ht="16.5" customHeight="1">
      <c r="F59" s="2665"/>
      <c r="G59" s="2665"/>
      <c r="H59" s="2665"/>
      <c r="I59" s="2665"/>
      <c r="J59" s="2665"/>
      <c r="K59" s="2665"/>
      <c r="L59" s="2665"/>
      <c r="M59" s="2665"/>
      <c r="N59" s="2665"/>
      <c r="O59" s="2665"/>
      <c r="P59" s="2665"/>
      <c r="Q59" s="2665"/>
      <c r="R59" s="2665"/>
      <c r="S59" s="2665"/>
      <c r="T59" s="2665"/>
      <c r="U59" s="2665"/>
      <c r="V59" s="2665"/>
      <c r="W59" s="2665"/>
      <c r="X59" s="2665"/>
      <c r="Y59" s="2665"/>
      <c r="Z59" s="2665"/>
      <c r="AA59" s="2665"/>
      <c r="AB59" s="2665"/>
      <c r="AC59" s="2665"/>
      <c r="AD59" s="2665"/>
      <c r="AE59" s="2665"/>
    </row>
    <row r="60" spans="6:31" ht="16.5" customHeight="1">
      <c r="F60" s="2665"/>
      <c r="G60" s="2665"/>
      <c r="H60" s="2665"/>
      <c r="I60" s="2665"/>
      <c r="J60" s="2665"/>
      <c r="K60" s="2665"/>
      <c r="L60" s="2665"/>
      <c r="M60" s="2665"/>
      <c r="N60" s="2665"/>
      <c r="O60" s="2665"/>
      <c r="P60" s="2665"/>
      <c r="Q60" s="2665"/>
      <c r="R60" s="2665"/>
      <c r="S60" s="2665"/>
      <c r="T60" s="2665"/>
      <c r="U60" s="2665"/>
      <c r="V60" s="2665"/>
      <c r="W60" s="2665"/>
      <c r="X60" s="2665"/>
      <c r="Y60" s="2665"/>
      <c r="Z60" s="2665"/>
      <c r="AA60" s="2665"/>
      <c r="AB60" s="2665"/>
      <c r="AC60" s="2665"/>
      <c r="AD60" s="2665"/>
      <c r="AE60" s="2665"/>
    </row>
    <row r="61" spans="6:31" ht="16.5" customHeight="1">
      <c r="F61" s="2665"/>
      <c r="G61" s="2665"/>
      <c r="H61" s="2665"/>
      <c r="I61" s="2665"/>
      <c r="J61" s="2665"/>
      <c r="K61" s="2665"/>
      <c r="L61" s="2665"/>
      <c r="M61" s="2665"/>
      <c r="N61" s="2665"/>
      <c r="O61" s="2665"/>
      <c r="P61" s="2665"/>
      <c r="Q61" s="2665"/>
      <c r="R61" s="2665"/>
      <c r="S61" s="2665"/>
      <c r="T61" s="2665"/>
      <c r="U61" s="2665"/>
      <c r="V61" s="2665"/>
      <c r="W61" s="2665"/>
      <c r="X61" s="2665"/>
      <c r="Y61" s="2665"/>
      <c r="Z61" s="2665"/>
      <c r="AA61" s="2665"/>
      <c r="AB61" s="2665"/>
      <c r="AC61" s="2665"/>
      <c r="AD61" s="2665"/>
      <c r="AE61" s="2665"/>
    </row>
    <row r="62" spans="6:31" ht="16.5" customHeight="1">
      <c r="F62" s="2665"/>
      <c r="G62" s="2665"/>
      <c r="H62" s="2665"/>
      <c r="I62" s="2665"/>
      <c r="J62" s="2665"/>
      <c r="K62" s="2665"/>
      <c r="L62" s="2665"/>
      <c r="M62" s="2665"/>
      <c r="N62" s="2665"/>
      <c r="O62" s="2665"/>
      <c r="P62" s="2665"/>
      <c r="Q62" s="2665"/>
      <c r="R62" s="2665"/>
      <c r="S62" s="2665"/>
      <c r="T62" s="2665"/>
      <c r="U62" s="2665"/>
      <c r="V62" s="2665"/>
      <c r="W62" s="2665"/>
      <c r="X62" s="2665"/>
      <c r="Y62" s="2665"/>
      <c r="Z62" s="2665"/>
      <c r="AA62" s="2665"/>
      <c r="AB62" s="2665"/>
      <c r="AC62" s="2665"/>
      <c r="AD62" s="2665"/>
      <c r="AE62" s="2665"/>
    </row>
    <row r="63" spans="6:31" ht="16.5" customHeight="1">
      <c r="F63" s="2665"/>
      <c r="G63" s="2665"/>
      <c r="H63" s="2665"/>
      <c r="I63" s="2665"/>
      <c r="J63" s="2665"/>
      <c r="K63" s="2665"/>
      <c r="L63" s="2665"/>
      <c r="M63" s="2665"/>
      <c r="N63" s="2665"/>
      <c r="O63" s="2665"/>
      <c r="P63" s="2665"/>
      <c r="Q63" s="2665"/>
      <c r="R63" s="2665"/>
      <c r="S63" s="2665"/>
      <c r="T63" s="2665"/>
      <c r="U63" s="2665"/>
      <c r="V63" s="2665"/>
      <c r="W63" s="2665"/>
      <c r="X63" s="2665"/>
      <c r="Y63" s="2665"/>
      <c r="Z63" s="2665"/>
      <c r="AA63" s="2665"/>
      <c r="AB63" s="2665"/>
      <c r="AC63" s="2665"/>
      <c r="AD63" s="2665"/>
      <c r="AE63" s="2665"/>
    </row>
    <row r="64" spans="6:31" ht="16.5" customHeight="1">
      <c r="F64" s="2665"/>
      <c r="G64" s="2665"/>
      <c r="H64" s="2665"/>
      <c r="I64" s="2665"/>
      <c r="J64" s="2665"/>
      <c r="K64" s="2665"/>
      <c r="L64" s="2665"/>
      <c r="M64" s="2665"/>
      <c r="N64" s="2665"/>
      <c r="O64" s="2665"/>
      <c r="P64" s="2665"/>
      <c r="Q64" s="2665"/>
      <c r="R64" s="2665"/>
      <c r="S64" s="2665"/>
      <c r="T64" s="2665"/>
      <c r="U64" s="2665"/>
      <c r="V64" s="2665"/>
      <c r="W64" s="2665"/>
      <c r="X64" s="2665"/>
      <c r="Y64" s="2665"/>
      <c r="Z64" s="2665"/>
      <c r="AA64" s="2665"/>
      <c r="AB64" s="2665"/>
      <c r="AC64" s="2665"/>
      <c r="AD64" s="2665"/>
      <c r="AE64" s="2665"/>
    </row>
    <row r="65" spans="6:31" ht="16.5" customHeight="1">
      <c r="F65" s="2665"/>
      <c r="G65" s="2665"/>
      <c r="H65" s="2665"/>
      <c r="I65" s="2665"/>
      <c r="J65" s="2665"/>
      <c r="K65" s="2665"/>
      <c r="L65" s="2665"/>
      <c r="M65" s="2665"/>
      <c r="N65" s="2665"/>
      <c r="O65" s="2665"/>
      <c r="P65" s="2665"/>
      <c r="Q65" s="2665"/>
      <c r="R65" s="2665"/>
      <c r="S65" s="2665"/>
      <c r="T65" s="2665"/>
      <c r="U65" s="2665"/>
      <c r="V65" s="2665"/>
      <c r="W65" s="2665"/>
      <c r="X65" s="2665"/>
      <c r="Y65" s="2665"/>
      <c r="Z65" s="2665"/>
      <c r="AA65" s="2665"/>
      <c r="AB65" s="2665"/>
      <c r="AC65" s="2665"/>
      <c r="AD65" s="2665"/>
      <c r="AE65" s="2665"/>
    </row>
    <row r="66" spans="6:31" ht="16.5" customHeight="1">
      <c r="F66" s="2665"/>
      <c r="G66" s="2665"/>
      <c r="H66" s="2665"/>
      <c r="I66" s="2665"/>
      <c r="J66" s="2665"/>
      <c r="K66" s="2665"/>
      <c r="L66" s="2665"/>
      <c r="M66" s="2665"/>
      <c r="N66" s="2665"/>
      <c r="O66" s="2665"/>
      <c r="P66" s="2665"/>
      <c r="Q66" s="2665"/>
      <c r="R66" s="2665"/>
      <c r="S66" s="2665"/>
      <c r="T66" s="2665"/>
      <c r="U66" s="2665"/>
      <c r="V66" s="2665"/>
      <c r="W66" s="2665"/>
      <c r="X66" s="2665"/>
      <c r="Y66" s="2665"/>
      <c r="Z66" s="2665"/>
      <c r="AA66" s="2665"/>
      <c r="AB66" s="2665"/>
      <c r="AC66" s="2665"/>
      <c r="AD66" s="2665"/>
      <c r="AE66" s="2665"/>
    </row>
    <row r="67" spans="6:31" ht="16.5" customHeight="1">
      <c r="F67" s="2665"/>
      <c r="G67" s="2665"/>
      <c r="H67" s="2665"/>
      <c r="I67" s="2665"/>
      <c r="J67" s="2665"/>
      <c r="K67" s="2665"/>
      <c r="L67" s="2665"/>
      <c r="M67" s="2665"/>
      <c r="N67" s="2665"/>
      <c r="O67" s="2665"/>
      <c r="P67" s="2665"/>
      <c r="Q67" s="2665"/>
      <c r="R67" s="2665"/>
      <c r="S67" s="2665"/>
      <c r="T67" s="2665"/>
      <c r="U67" s="2665"/>
      <c r="V67" s="2665"/>
      <c r="W67" s="2665"/>
      <c r="X67" s="2665"/>
      <c r="Y67" s="2665"/>
      <c r="Z67" s="2665"/>
      <c r="AA67" s="2665"/>
      <c r="AB67" s="2665"/>
      <c r="AC67" s="2665"/>
      <c r="AD67" s="2665"/>
      <c r="AE67" s="2665"/>
    </row>
    <row r="68" spans="6:31" ht="16.5" customHeight="1">
      <c r="F68" s="2665"/>
      <c r="G68" s="2665"/>
      <c r="H68" s="2665"/>
      <c r="I68" s="2665"/>
      <c r="J68" s="2665"/>
      <c r="K68" s="2665"/>
      <c r="L68" s="2665"/>
      <c r="M68" s="2665"/>
      <c r="N68" s="2665"/>
      <c r="O68" s="2665"/>
      <c r="P68" s="2665"/>
      <c r="Q68" s="2665"/>
      <c r="R68" s="2665"/>
      <c r="S68" s="2665"/>
      <c r="T68" s="2665"/>
      <c r="U68" s="2665"/>
      <c r="V68" s="2665"/>
      <c r="W68" s="2665"/>
      <c r="X68" s="2665"/>
      <c r="Y68" s="2665"/>
      <c r="Z68" s="2665"/>
      <c r="AA68" s="2665"/>
      <c r="AB68" s="2665"/>
      <c r="AC68" s="2665"/>
      <c r="AD68" s="2665"/>
      <c r="AE68" s="2665"/>
    </row>
    <row r="69" spans="6:31" ht="16.5" customHeight="1">
      <c r="F69" s="2665"/>
      <c r="G69" s="2665"/>
      <c r="H69" s="2665"/>
      <c r="I69" s="2665"/>
      <c r="J69" s="2665"/>
      <c r="K69" s="2665"/>
      <c r="L69" s="2665"/>
      <c r="M69" s="2665"/>
      <c r="N69" s="2665"/>
      <c r="O69" s="2665"/>
      <c r="P69" s="2665"/>
      <c r="Q69" s="2665"/>
      <c r="R69" s="2665"/>
      <c r="S69" s="2665"/>
      <c r="T69" s="2665"/>
      <c r="U69" s="2665"/>
      <c r="V69" s="2665"/>
      <c r="W69" s="2665"/>
      <c r="X69" s="2665"/>
      <c r="Y69" s="2665"/>
      <c r="Z69" s="2665"/>
      <c r="AA69" s="2665"/>
      <c r="AB69" s="2665"/>
      <c r="AC69" s="2665"/>
      <c r="AD69" s="2665"/>
      <c r="AE69" s="2665"/>
    </row>
    <row r="70" spans="6:31" ht="16.5" customHeight="1">
      <c r="F70" s="2665"/>
      <c r="G70" s="2665"/>
      <c r="H70" s="2665"/>
      <c r="I70" s="2665"/>
      <c r="J70" s="2665"/>
      <c r="K70" s="2665"/>
      <c r="L70" s="2665"/>
      <c r="M70" s="2665"/>
      <c r="N70" s="2665"/>
      <c r="O70" s="2665"/>
      <c r="P70" s="2665"/>
      <c r="Q70" s="2665"/>
      <c r="R70" s="2665"/>
      <c r="S70" s="2665"/>
      <c r="T70" s="2665"/>
      <c r="U70" s="2665"/>
      <c r="V70" s="2665"/>
      <c r="W70" s="2665"/>
      <c r="X70" s="2665"/>
      <c r="Y70" s="2665"/>
      <c r="Z70" s="2665"/>
      <c r="AA70" s="2665"/>
      <c r="AB70" s="2665"/>
      <c r="AC70" s="2665"/>
      <c r="AD70" s="2665"/>
      <c r="AE70" s="2665"/>
    </row>
    <row r="71" spans="6:31" ht="16.5" customHeight="1">
      <c r="F71" s="2665"/>
      <c r="G71" s="2665"/>
      <c r="H71" s="2665"/>
      <c r="I71" s="2665"/>
      <c r="J71" s="2665"/>
      <c r="K71" s="2665"/>
      <c r="L71" s="2665"/>
      <c r="M71" s="2665"/>
      <c r="N71" s="2665"/>
      <c r="O71" s="2665"/>
      <c r="P71" s="2665"/>
      <c r="Q71" s="2665"/>
      <c r="R71" s="2665"/>
      <c r="S71" s="2665"/>
      <c r="T71" s="2665"/>
      <c r="U71" s="2665"/>
      <c r="V71" s="2665"/>
      <c r="W71" s="2665"/>
      <c r="X71" s="2665"/>
      <c r="Y71" s="2665"/>
      <c r="Z71" s="2665"/>
      <c r="AA71" s="2665"/>
      <c r="AB71" s="2665"/>
      <c r="AC71" s="2665"/>
      <c r="AD71" s="2665"/>
      <c r="AE71" s="2665"/>
    </row>
    <row r="72" spans="6:31" ht="16.5" customHeight="1">
      <c r="F72" s="2665"/>
      <c r="G72" s="2665"/>
      <c r="H72" s="2665"/>
      <c r="I72" s="2665"/>
      <c r="J72" s="2665"/>
      <c r="K72" s="2665"/>
      <c r="L72" s="2665"/>
      <c r="M72" s="2665"/>
      <c r="N72" s="2665"/>
      <c r="O72" s="2665"/>
      <c r="P72" s="2665"/>
      <c r="Q72" s="2665"/>
      <c r="R72" s="2665"/>
      <c r="S72" s="2665"/>
      <c r="T72" s="2665"/>
      <c r="U72" s="2665"/>
      <c r="V72" s="2665"/>
      <c r="W72" s="2665"/>
      <c r="X72" s="2665"/>
      <c r="Y72" s="2665"/>
      <c r="Z72" s="2665"/>
      <c r="AA72" s="2665"/>
      <c r="AB72" s="2665"/>
      <c r="AC72" s="2665"/>
      <c r="AD72" s="2665"/>
      <c r="AE72" s="2665"/>
    </row>
    <row r="73" spans="6:31" ht="16.5" customHeight="1">
      <c r="F73" s="2665"/>
      <c r="G73" s="2665"/>
      <c r="H73" s="2665"/>
      <c r="I73" s="2665"/>
      <c r="J73" s="2665"/>
      <c r="K73" s="2665"/>
      <c r="L73" s="2665"/>
      <c r="M73" s="2665"/>
      <c r="N73" s="2665"/>
      <c r="O73" s="2665"/>
      <c r="P73" s="2665"/>
      <c r="Q73" s="2665"/>
      <c r="R73" s="2665"/>
      <c r="S73" s="2665"/>
      <c r="T73" s="2665"/>
      <c r="U73" s="2665"/>
      <c r="V73" s="2665"/>
      <c r="W73" s="2665"/>
      <c r="X73" s="2665"/>
      <c r="Y73" s="2665"/>
      <c r="Z73" s="2665"/>
      <c r="AA73" s="2665"/>
      <c r="AB73" s="2665"/>
      <c r="AC73" s="2665"/>
      <c r="AD73" s="2665"/>
      <c r="AE73" s="2665"/>
    </row>
    <row r="74" spans="6:31" ht="16.5" customHeight="1">
      <c r="F74" s="2665"/>
      <c r="G74" s="2665"/>
      <c r="H74" s="2665"/>
      <c r="I74" s="2665"/>
      <c r="J74" s="2665"/>
      <c r="K74" s="2665"/>
      <c r="L74" s="2665"/>
      <c r="M74" s="2665"/>
      <c r="N74" s="2665"/>
      <c r="O74" s="2665"/>
      <c r="P74" s="2665"/>
      <c r="Q74" s="2665"/>
      <c r="R74" s="2665"/>
      <c r="S74" s="2665"/>
      <c r="T74" s="2665"/>
      <c r="U74" s="2665"/>
      <c r="V74" s="2665"/>
      <c r="W74" s="2665"/>
      <c r="X74" s="2665"/>
      <c r="Y74" s="2665"/>
      <c r="Z74" s="2665"/>
      <c r="AA74" s="2665"/>
      <c r="AB74" s="2665"/>
      <c r="AC74" s="2665"/>
      <c r="AD74" s="2665"/>
      <c r="AE74" s="2665"/>
    </row>
    <row r="75" spans="6:31" ht="16.5" customHeight="1">
      <c r="F75" s="2665"/>
      <c r="G75" s="2665"/>
      <c r="H75" s="2665"/>
      <c r="I75" s="2665"/>
      <c r="J75" s="2665"/>
      <c r="K75" s="2665"/>
      <c r="L75" s="2665"/>
      <c r="M75" s="2665"/>
      <c r="N75" s="2665"/>
      <c r="O75" s="2665"/>
      <c r="P75" s="2665"/>
      <c r="Q75" s="2665"/>
      <c r="R75" s="2665"/>
      <c r="S75" s="2665"/>
      <c r="T75" s="2665"/>
      <c r="U75" s="2665"/>
      <c r="V75" s="2665"/>
      <c r="W75" s="2665"/>
      <c r="X75" s="2665"/>
      <c r="Y75" s="2665"/>
      <c r="Z75" s="2665"/>
      <c r="AA75" s="2665"/>
      <c r="AB75" s="2665"/>
      <c r="AC75" s="2665"/>
      <c r="AD75" s="2665"/>
      <c r="AE75" s="2665"/>
    </row>
    <row r="76" spans="6:31" ht="16.5" customHeight="1">
      <c r="F76" s="2665"/>
      <c r="G76" s="2665"/>
      <c r="H76" s="2665"/>
      <c r="I76" s="2665"/>
      <c r="J76" s="2665"/>
      <c r="K76" s="2665"/>
      <c r="L76" s="2665"/>
      <c r="M76" s="2665"/>
      <c r="N76" s="2665"/>
      <c r="O76" s="2665"/>
      <c r="P76" s="2665"/>
      <c r="Q76" s="2665"/>
      <c r="R76" s="2665"/>
      <c r="S76" s="2665"/>
      <c r="T76" s="2665"/>
      <c r="U76" s="2665"/>
      <c r="V76" s="2665"/>
      <c r="W76" s="2665"/>
      <c r="X76" s="2665"/>
      <c r="Y76" s="2665"/>
      <c r="Z76" s="2665"/>
      <c r="AA76" s="2665"/>
      <c r="AB76" s="2665"/>
      <c r="AC76" s="2665"/>
      <c r="AD76" s="2665"/>
      <c r="AE76" s="2665"/>
    </row>
    <row r="77" spans="6:31" ht="16.5" customHeight="1">
      <c r="F77" s="2665"/>
      <c r="G77" s="2665"/>
      <c r="H77" s="2665"/>
      <c r="I77" s="2665"/>
      <c r="J77" s="2665"/>
      <c r="K77" s="2665"/>
      <c r="L77" s="2665"/>
      <c r="M77" s="2665"/>
      <c r="N77" s="2665"/>
      <c r="O77" s="2665"/>
      <c r="P77" s="2665"/>
      <c r="Q77" s="2665"/>
      <c r="R77" s="2665"/>
      <c r="S77" s="2665"/>
      <c r="T77" s="2665"/>
      <c r="U77" s="2665"/>
      <c r="V77" s="2665"/>
      <c r="W77" s="2665"/>
      <c r="X77" s="2665"/>
      <c r="Y77" s="2665"/>
      <c r="Z77" s="2665"/>
      <c r="AA77" s="2665"/>
      <c r="AB77" s="2665"/>
      <c r="AC77" s="2665"/>
      <c r="AD77" s="2665"/>
      <c r="AE77" s="2665"/>
    </row>
    <row r="78" spans="6:31" ht="16.5" customHeight="1">
      <c r="F78" s="2665"/>
      <c r="G78" s="2665"/>
      <c r="H78" s="2665"/>
      <c r="I78" s="2665"/>
      <c r="J78" s="2665"/>
      <c r="K78" s="2665"/>
      <c r="L78" s="2665"/>
      <c r="M78" s="2665"/>
      <c r="N78" s="2665"/>
      <c r="O78" s="2665"/>
      <c r="P78" s="2665"/>
      <c r="Q78" s="2665"/>
      <c r="R78" s="2665"/>
      <c r="S78" s="2665"/>
      <c r="T78" s="2665"/>
      <c r="U78" s="2665"/>
      <c r="V78" s="2665"/>
      <c r="W78" s="2665"/>
      <c r="X78" s="2665"/>
      <c r="Y78" s="2665"/>
      <c r="Z78" s="2665"/>
      <c r="AA78" s="2665"/>
      <c r="AB78" s="2665"/>
      <c r="AC78" s="2665"/>
      <c r="AD78" s="2665"/>
      <c r="AE78" s="2665"/>
    </row>
    <row r="79" spans="6:31" ht="16.5" customHeight="1">
      <c r="F79" s="2665"/>
      <c r="G79" s="2665"/>
      <c r="H79" s="2665"/>
      <c r="I79" s="2665"/>
      <c r="J79" s="2665"/>
      <c r="K79" s="2665"/>
      <c r="L79" s="2665"/>
      <c r="M79" s="2665"/>
      <c r="N79" s="2665"/>
      <c r="O79" s="2665"/>
      <c r="P79" s="2665"/>
      <c r="Q79" s="2665"/>
      <c r="R79" s="2665"/>
      <c r="S79" s="2665"/>
      <c r="T79" s="2665"/>
      <c r="U79" s="2665"/>
      <c r="V79" s="2665"/>
      <c r="W79" s="2665"/>
      <c r="X79" s="2665"/>
      <c r="Y79" s="2665"/>
      <c r="Z79" s="2665"/>
      <c r="AA79" s="2665"/>
      <c r="AB79" s="2665"/>
      <c r="AC79" s="2665"/>
      <c r="AD79" s="2665"/>
      <c r="AE79" s="2665"/>
    </row>
    <row r="80" spans="6:31" ht="16.5" customHeight="1">
      <c r="F80" s="2665"/>
      <c r="G80" s="2665"/>
      <c r="H80" s="2665"/>
      <c r="I80" s="2665"/>
      <c r="J80" s="2665"/>
      <c r="K80" s="2665"/>
      <c r="L80" s="2665"/>
      <c r="M80" s="2665"/>
      <c r="N80" s="2665"/>
      <c r="O80" s="2665"/>
      <c r="P80" s="2665"/>
      <c r="Q80" s="2665"/>
      <c r="R80" s="2665"/>
      <c r="S80" s="2665"/>
      <c r="T80" s="2665"/>
      <c r="U80" s="2665"/>
      <c r="V80" s="2665"/>
      <c r="W80" s="2665"/>
      <c r="X80" s="2665"/>
      <c r="Y80" s="2665"/>
      <c r="Z80" s="2665"/>
      <c r="AA80" s="2665"/>
      <c r="AB80" s="2665"/>
      <c r="AC80" s="2665"/>
      <c r="AD80" s="2665"/>
      <c r="AE80" s="2665"/>
    </row>
    <row r="81" spans="6:31" ht="16.5" customHeight="1">
      <c r="F81" s="2665"/>
      <c r="G81" s="2665"/>
      <c r="H81" s="2665"/>
      <c r="I81" s="2665"/>
      <c r="J81" s="2665"/>
      <c r="K81" s="2665"/>
      <c r="L81" s="2665"/>
      <c r="M81" s="2665"/>
      <c r="N81" s="2665"/>
      <c r="O81" s="2665"/>
      <c r="P81" s="2665"/>
      <c r="Q81" s="2665"/>
      <c r="R81" s="2665"/>
      <c r="S81" s="2665"/>
      <c r="T81" s="2665"/>
      <c r="U81" s="2665"/>
      <c r="V81" s="2665"/>
      <c r="W81" s="2665"/>
      <c r="X81" s="2665"/>
      <c r="Y81" s="2665"/>
      <c r="Z81" s="2665"/>
      <c r="AA81" s="2665"/>
      <c r="AB81" s="2665"/>
      <c r="AC81" s="2665"/>
      <c r="AD81" s="2665"/>
      <c r="AE81" s="2665"/>
    </row>
    <row r="82" spans="6:31" ht="16.5" customHeight="1">
      <c r="F82" s="2665"/>
      <c r="G82" s="2665"/>
      <c r="H82" s="2665"/>
      <c r="I82" s="2665"/>
      <c r="J82" s="2665"/>
      <c r="K82" s="2665"/>
      <c r="L82" s="2665"/>
      <c r="M82" s="2665"/>
      <c r="N82" s="2665"/>
      <c r="O82" s="2665"/>
      <c r="P82" s="2665"/>
      <c r="Q82" s="2665"/>
      <c r="R82" s="2665"/>
      <c r="S82" s="2665"/>
      <c r="T82" s="2665"/>
      <c r="U82" s="2665"/>
      <c r="V82" s="2665"/>
      <c r="W82" s="2665"/>
      <c r="X82" s="2665"/>
      <c r="Y82" s="2665"/>
      <c r="Z82" s="2665"/>
      <c r="AA82" s="2665"/>
      <c r="AB82" s="2665"/>
      <c r="AC82" s="2665"/>
      <c r="AD82" s="2665"/>
      <c r="AE82" s="2665"/>
    </row>
    <row r="83" spans="6:31" ht="16.5" customHeight="1">
      <c r="F83" s="2665"/>
      <c r="G83" s="2665"/>
      <c r="H83" s="2665"/>
      <c r="I83" s="2665"/>
      <c r="J83" s="2665"/>
      <c r="K83" s="2665"/>
      <c r="L83" s="2665"/>
      <c r="M83" s="2665"/>
      <c r="N83" s="2665"/>
      <c r="O83" s="2665"/>
      <c r="P83" s="2665"/>
      <c r="Q83" s="2665"/>
      <c r="R83" s="2665"/>
      <c r="S83" s="2665"/>
      <c r="T83" s="2665"/>
      <c r="U83" s="2665"/>
      <c r="V83" s="2665"/>
      <c r="W83" s="2665"/>
      <c r="X83" s="2665"/>
      <c r="Y83" s="2665"/>
      <c r="Z83" s="2665"/>
      <c r="AA83" s="2665"/>
      <c r="AB83" s="2665"/>
      <c r="AC83" s="2665"/>
      <c r="AD83" s="2665"/>
      <c r="AE83" s="2665"/>
    </row>
    <row r="84" spans="6:31" ht="16.5" customHeight="1">
      <c r="F84" s="2665"/>
      <c r="G84" s="2665"/>
      <c r="H84" s="2665"/>
      <c r="I84" s="2665"/>
      <c r="J84" s="2665"/>
      <c r="K84" s="2665"/>
      <c r="L84" s="2665"/>
      <c r="M84" s="2665"/>
      <c r="N84" s="2665"/>
      <c r="O84" s="2665"/>
      <c r="P84" s="2665"/>
      <c r="Q84" s="2665"/>
      <c r="R84" s="2665"/>
      <c r="S84" s="2665"/>
      <c r="T84" s="2665"/>
      <c r="U84" s="2665"/>
      <c r="V84" s="2665"/>
      <c r="W84" s="2665"/>
      <c r="X84" s="2665"/>
      <c r="Y84" s="2665"/>
      <c r="Z84" s="2665"/>
      <c r="AA84" s="2665"/>
      <c r="AB84" s="2665"/>
      <c r="AC84" s="2665"/>
      <c r="AD84" s="2665"/>
      <c r="AE84" s="2665"/>
    </row>
    <row r="85" spans="6:31" ht="16.5" customHeight="1">
      <c r="F85" s="2665"/>
      <c r="G85" s="2665"/>
      <c r="H85" s="2665"/>
      <c r="I85" s="2665"/>
      <c r="J85" s="2665"/>
      <c r="K85" s="2665"/>
      <c r="L85" s="2665"/>
      <c r="M85" s="2665"/>
      <c r="N85" s="2665"/>
      <c r="O85" s="2665"/>
      <c r="P85" s="2665"/>
      <c r="Q85" s="2665"/>
      <c r="R85" s="2665"/>
      <c r="S85" s="2665"/>
      <c r="T85" s="2665"/>
      <c r="U85" s="2665"/>
      <c r="V85" s="2665"/>
      <c r="W85" s="2665"/>
      <c r="X85" s="2665"/>
      <c r="Y85" s="2665"/>
      <c r="Z85" s="2665"/>
      <c r="AA85" s="2665"/>
      <c r="AB85" s="2665"/>
      <c r="AC85" s="2665"/>
      <c r="AD85" s="2665"/>
      <c r="AE85" s="2665"/>
    </row>
    <row r="86" spans="6:31" ht="16.5" customHeight="1">
      <c r="F86" s="2665"/>
      <c r="G86" s="2665"/>
      <c r="H86" s="2665"/>
      <c r="I86" s="2665"/>
      <c r="J86" s="2665"/>
      <c r="K86" s="2665"/>
      <c r="L86" s="2665"/>
      <c r="M86" s="2665"/>
      <c r="N86" s="2665"/>
      <c r="O86" s="2665"/>
      <c r="P86" s="2665"/>
      <c r="Q86" s="2665"/>
      <c r="R86" s="2665"/>
      <c r="S86" s="2665"/>
      <c r="T86" s="2665"/>
      <c r="U86" s="2665"/>
      <c r="V86" s="2665"/>
      <c r="W86" s="2665"/>
      <c r="X86" s="2665"/>
      <c r="Y86" s="2665"/>
      <c r="Z86" s="2665"/>
      <c r="AA86" s="2665"/>
      <c r="AB86" s="2665"/>
      <c r="AC86" s="2665"/>
      <c r="AD86" s="2665"/>
      <c r="AE86" s="2665"/>
    </row>
    <row r="87" spans="6:31" ht="16.5" customHeight="1">
      <c r="F87" s="2665"/>
      <c r="G87" s="2665"/>
      <c r="H87" s="2665"/>
      <c r="I87" s="2665"/>
      <c r="J87" s="2665"/>
      <c r="K87" s="2665"/>
      <c r="L87" s="2665"/>
      <c r="M87" s="2665"/>
      <c r="N87" s="2665"/>
      <c r="O87" s="2665"/>
      <c r="P87" s="2665"/>
      <c r="Q87" s="2665"/>
      <c r="R87" s="2665"/>
      <c r="S87" s="2665"/>
      <c r="T87" s="2665"/>
      <c r="U87" s="2665"/>
      <c r="V87" s="2665"/>
      <c r="W87" s="2665"/>
      <c r="X87" s="2665"/>
      <c r="Y87" s="2665"/>
      <c r="Z87" s="2665"/>
      <c r="AA87" s="2665"/>
      <c r="AB87" s="2665"/>
      <c r="AC87" s="2665"/>
      <c r="AD87" s="2665"/>
      <c r="AE87" s="2665"/>
    </row>
    <row r="88" spans="6:31" ht="16.5" customHeight="1">
      <c r="F88" s="2665"/>
      <c r="G88" s="2665"/>
      <c r="H88" s="2665"/>
      <c r="I88" s="2665"/>
      <c r="J88" s="2665"/>
      <c r="K88" s="2665"/>
      <c r="L88" s="2665"/>
      <c r="M88" s="2665"/>
      <c r="N88" s="2665"/>
      <c r="O88" s="2665"/>
      <c r="P88" s="2665"/>
      <c r="Q88" s="2665"/>
      <c r="R88" s="2665"/>
      <c r="S88" s="2665"/>
      <c r="T88" s="2665"/>
      <c r="U88" s="2665"/>
      <c r="V88" s="2665"/>
      <c r="W88" s="2665"/>
      <c r="X88" s="2665"/>
      <c r="Y88" s="2665"/>
      <c r="Z88" s="2665"/>
      <c r="AA88" s="2665"/>
      <c r="AB88" s="2665"/>
      <c r="AC88" s="2665"/>
      <c r="AD88" s="2665"/>
      <c r="AE88" s="2665"/>
    </row>
    <row r="89" spans="6:31" ht="16.5" customHeight="1">
      <c r="F89" s="2665"/>
      <c r="G89" s="2665"/>
      <c r="H89" s="2665"/>
      <c r="I89" s="2665"/>
      <c r="J89" s="2665"/>
      <c r="K89" s="2665"/>
      <c r="L89" s="2665"/>
      <c r="M89" s="2665"/>
      <c r="N89" s="2665"/>
      <c r="O89" s="2665"/>
      <c r="P89" s="2665"/>
      <c r="Q89" s="2665"/>
      <c r="R89" s="2665"/>
      <c r="S89" s="2665"/>
      <c r="T89" s="2665"/>
      <c r="U89" s="2665"/>
      <c r="V89" s="2665"/>
      <c r="W89" s="2665"/>
      <c r="X89" s="2665"/>
      <c r="Y89" s="2665"/>
      <c r="Z89" s="2665"/>
      <c r="AA89" s="2665"/>
      <c r="AB89" s="2665"/>
      <c r="AC89" s="2665"/>
      <c r="AD89" s="2665"/>
      <c r="AE89" s="2665"/>
    </row>
    <row r="90" spans="6:31" ht="16.5" customHeight="1">
      <c r="F90" s="2665"/>
      <c r="G90" s="2665"/>
      <c r="H90" s="2665"/>
      <c r="I90" s="2665"/>
      <c r="J90" s="2665"/>
      <c r="K90" s="2665"/>
      <c r="L90" s="2665"/>
      <c r="M90" s="2665"/>
      <c r="N90" s="2665"/>
      <c r="O90" s="2665"/>
      <c r="P90" s="2665"/>
      <c r="Q90" s="2665"/>
      <c r="R90" s="2665"/>
      <c r="S90" s="2665"/>
      <c r="T90" s="2665"/>
      <c r="U90" s="2665"/>
      <c r="V90" s="2665"/>
      <c r="W90" s="2665"/>
      <c r="X90" s="2665"/>
      <c r="Y90" s="2665"/>
      <c r="Z90" s="2665"/>
      <c r="AA90" s="2665"/>
      <c r="AB90" s="2665"/>
      <c r="AC90" s="2665"/>
      <c r="AD90" s="2665"/>
      <c r="AE90" s="2665"/>
    </row>
    <row r="91" spans="6:31" ht="16.5" customHeight="1">
      <c r="F91" s="2665"/>
      <c r="G91" s="2665"/>
      <c r="H91" s="2665"/>
      <c r="I91" s="2665"/>
      <c r="J91" s="2665"/>
      <c r="K91" s="2665"/>
      <c r="L91" s="2665"/>
      <c r="M91" s="2665"/>
      <c r="N91" s="2665"/>
      <c r="O91" s="2665"/>
      <c r="P91" s="2665"/>
      <c r="Q91" s="2665"/>
      <c r="R91" s="2665"/>
      <c r="S91" s="2665"/>
      <c r="T91" s="2665"/>
      <c r="U91" s="2665"/>
      <c r="V91" s="2665"/>
      <c r="W91" s="2665"/>
      <c r="X91" s="2665"/>
      <c r="Y91" s="2665"/>
      <c r="Z91" s="2665"/>
      <c r="AA91" s="2665"/>
      <c r="AB91" s="2665"/>
      <c r="AC91" s="2665"/>
      <c r="AD91" s="2665"/>
      <c r="AE91" s="2665"/>
    </row>
    <row r="92" spans="6:31" ht="16.5" customHeight="1">
      <c r="F92" s="2665"/>
      <c r="G92" s="2665"/>
      <c r="H92" s="2665"/>
      <c r="I92" s="2665"/>
      <c r="J92" s="2665"/>
      <c r="K92" s="2665"/>
      <c r="L92" s="2665"/>
      <c r="M92" s="2665"/>
      <c r="N92" s="2665"/>
      <c r="O92" s="2665"/>
      <c r="P92" s="2665"/>
      <c r="Q92" s="2665"/>
      <c r="R92" s="2665"/>
      <c r="S92" s="2665"/>
      <c r="T92" s="2665"/>
      <c r="U92" s="2665"/>
      <c r="V92" s="2665"/>
      <c r="W92" s="2665"/>
      <c r="X92" s="2665"/>
      <c r="Y92" s="2665"/>
      <c r="Z92" s="2665"/>
      <c r="AA92" s="2665"/>
      <c r="AB92" s="2665"/>
      <c r="AC92" s="2665"/>
      <c r="AD92" s="2665"/>
      <c r="AE92" s="2665"/>
    </row>
    <row r="93" spans="6:31" ht="16.5" customHeight="1">
      <c r="F93" s="2665"/>
      <c r="G93" s="2665"/>
      <c r="H93" s="2665"/>
      <c r="I93" s="2665"/>
      <c r="J93" s="2665"/>
      <c r="K93" s="2665"/>
      <c r="L93" s="2665"/>
      <c r="M93" s="2665"/>
      <c r="N93" s="2665"/>
      <c r="O93" s="2665"/>
      <c r="P93" s="2665"/>
      <c r="Q93" s="2665"/>
      <c r="R93" s="2665"/>
      <c r="S93" s="2665"/>
      <c r="T93" s="2665"/>
      <c r="U93" s="2665"/>
      <c r="V93" s="2665"/>
      <c r="W93" s="2665"/>
      <c r="X93" s="2665"/>
      <c r="Y93" s="2665"/>
      <c r="Z93" s="2665"/>
      <c r="AA93" s="2665"/>
      <c r="AB93" s="2665"/>
      <c r="AC93" s="2665"/>
      <c r="AD93" s="2665"/>
      <c r="AE93" s="2665"/>
    </row>
    <row r="94" spans="6:31" ht="16.5" customHeight="1">
      <c r="F94" s="2665"/>
      <c r="G94" s="2665"/>
      <c r="H94" s="2665"/>
      <c r="I94" s="2665"/>
      <c r="J94" s="2665"/>
      <c r="K94" s="2665"/>
      <c r="L94" s="2665"/>
      <c r="M94" s="2665"/>
      <c r="N94" s="2665"/>
      <c r="O94" s="2665"/>
      <c r="P94" s="2665"/>
      <c r="Q94" s="2665"/>
      <c r="R94" s="2665"/>
      <c r="S94" s="2665"/>
      <c r="T94" s="2665"/>
      <c r="U94" s="2665"/>
      <c r="V94" s="2665"/>
      <c r="W94" s="2665"/>
      <c r="X94" s="2665"/>
      <c r="Y94" s="2665"/>
      <c r="Z94" s="2665"/>
      <c r="AA94" s="2665"/>
      <c r="AB94" s="2665"/>
      <c r="AC94" s="2665"/>
      <c r="AD94" s="2665"/>
      <c r="AE94" s="2665"/>
    </row>
    <row r="95" spans="6:31" ht="16.5" customHeight="1">
      <c r="F95" s="2665"/>
      <c r="G95" s="2665"/>
      <c r="H95" s="2665"/>
      <c r="I95" s="2665"/>
      <c r="J95" s="2665"/>
      <c r="K95" s="2665"/>
      <c r="L95" s="2665"/>
      <c r="M95" s="2665"/>
      <c r="N95" s="2665"/>
      <c r="O95" s="2665"/>
      <c r="P95" s="2665"/>
      <c r="Q95" s="2665"/>
      <c r="R95" s="2665"/>
      <c r="S95" s="2665"/>
      <c r="T95" s="2665"/>
      <c r="U95" s="2665"/>
      <c r="V95" s="2665"/>
      <c r="W95" s="2665"/>
      <c r="X95" s="2665"/>
      <c r="Y95" s="2665"/>
      <c r="Z95" s="2665"/>
      <c r="AA95" s="2665"/>
      <c r="AB95" s="2665"/>
      <c r="AC95" s="2665"/>
      <c r="AD95" s="2665"/>
      <c r="AE95" s="2665"/>
    </row>
    <row r="96" spans="6:31" ht="16.5" customHeight="1">
      <c r="F96" s="2665"/>
      <c r="G96" s="2665"/>
      <c r="H96" s="2665"/>
      <c r="I96" s="2665"/>
      <c r="J96" s="2665"/>
      <c r="K96" s="2665"/>
      <c r="L96" s="2665"/>
      <c r="M96" s="2665"/>
      <c r="N96" s="2665"/>
      <c r="O96" s="2665"/>
      <c r="P96" s="2665"/>
      <c r="Q96" s="2665"/>
      <c r="R96" s="2665"/>
      <c r="S96" s="2665"/>
      <c r="T96" s="2665"/>
      <c r="U96" s="2665"/>
      <c r="V96" s="2665"/>
      <c r="W96" s="2665"/>
      <c r="X96" s="2665"/>
      <c r="Y96" s="2665"/>
      <c r="Z96" s="2665"/>
      <c r="AA96" s="2665"/>
      <c r="AB96" s="2665"/>
      <c r="AC96" s="2665"/>
      <c r="AD96" s="2665"/>
      <c r="AE96" s="2665"/>
    </row>
    <row r="97" spans="6:31" ht="16.5" customHeight="1">
      <c r="F97" s="2665"/>
      <c r="G97" s="2665"/>
      <c r="H97" s="2665"/>
      <c r="I97" s="2665"/>
      <c r="J97" s="2665"/>
      <c r="K97" s="2665"/>
      <c r="L97" s="2665"/>
      <c r="M97" s="2665"/>
      <c r="N97" s="2665"/>
      <c r="O97" s="2665"/>
      <c r="P97" s="2665"/>
      <c r="Q97" s="2665"/>
      <c r="R97" s="2665"/>
      <c r="S97" s="2665"/>
      <c r="T97" s="2665"/>
      <c r="U97" s="2665"/>
      <c r="V97" s="2665"/>
      <c r="W97" s="2665"/>
      <c r="X97" s="2665"/>
      <c r="Y97" s="2665"/>
      <c r="Z97" s="2665"/>
      <c r="AA97" s="2665"/>
      <c r="AB97" s="2665"/>
      <c r="AC97" s="2665"/>
      <c r="AD97" s="2665"/>
      <c r="AE97" s="2665"/>
    </row>
    <row r="98" spans="6:31" ht="16.5" customHeight="1">
      <c r="F98" s="2665"/>
      <c r="G98" s="2665"/>
      <c r="H98" s="2665"/>
      <c r="I98" s="2665"/>
      <c r="J98" s="2665"/>
      <c r="K98" s="2665"/>
      <c r="L98" s="2665"/>
      <c r="M98" s="2665"/>
      <c r="N98" s="2665"/>
      <c r="O98" s="2665"/>
      <c r="P98" s="2665"/>
      <c r="Q98" s="2665"/>
      <c r="R98" s="2665"/>
      <c r="S98" s="2665"/>
      <c r="T98" s="2665"/>
      <c r="U98" s="2665"/>
      <c r="V98" s="2665"/>
      <c r="W98" s="2665"/>
      <c r="X98" s="2665"/>
      <c r="Y98" s="2665"/>
      <c r="Z98" s="2665"/>
      <c r="AA98" s="2665"/>
      <c r="AB98" s="2665"/>
      <c r="AC98" s="2665"/>
      <c r="AD98" s="2665"/>
      <c r="AE98" s="2665"/>
    </row>
    <row r="99" spans="6:31" ht="16.5" customHeight="1">
      <c r="F99" s="2665"/>
      <c r="G99" s="2665"/>
      <c r="H99" s="2665"/>
      <c r="I99" s="2665"/>
      <c r="J99" s="2665"/>
      <c r="K99" s="2665"/>
      <c r="L99" s="2665"/>
      <c r="M99" s="2665"/>
      <c r="N99" s="2665"/>
      <c r="O99" s="2665"/>
      <c r="P99" s="2665"/>
      <c r="Q99" s="2665"/>
      <c r="R99" s="2665"/>
      <c r="S99" s="2665"/>
      <c r="T99" s="2665"/>
      <c r="U99" s="2665"/>
      <c r="V99" s="2665"/>
      <c r="W99" s="2665"/>
      <c r="X99" s="2665"/>
      <c r="Y99" s="2665"/>
      <c r="Z99" s="2665"/>
      <c r="AA99" s="2665"/>
      <c r="AB99" s="2665"/>
      <c r="AC99" s="2665"/>
      <c r="AD99" s="2665"/>
      <c r="AE99" s="2665"/>
    </row>
    <row r="100" spans="6:31" ht="16.5" customHeight="1">
      <c r="F100" s="2665"/>
      <c r="G100" s="2665"/>
      <c r="H100" s="2665"/>
      <c r="I100" s="2665"/>
      <c r="J100" s="2665"/>
      <c r="K100" s="2665"/>
      <c r="L100" s="2665"/>
      <c r="M100" s="2665"/>
      <c r="N100" s="2665"/>
      <c r="O100" s="2665"/>
      <c r="P100" s="2665"/>
      <c r="Q100" s="2665"/>
      <c r="R100" s="2665"/>
      <c r="S100" s="2665"/>
      <c r="T100" s="2665"/>
      <c r="U100" s="2665"/>
      <c r="V100" s="2665"/>
      <c r="W100" s="2665"/>
      <c r="X100" s="2665"/>
      <c r="Y100" s="2665"/>
      <c r="Z100" s="2665"/>
      <c r="AA100" s="2665"/>
      <c r="AB100" s="2665"/>
      <c r="AC100" s="2665"/>
      <c r="AD100" s="2665"/>
      <c r="AE100" s="2665"/>
    </row>
    <row r="101" spans="6:31" ht="16.5" customHeight="1">
      <c r="F101" s="2665"/>
      <c r="G101" s="2665"/>
      <c r="H101" s="2665"/>
      <c r="I101" s="2665"/>
      <c r="J101" s="2665"/>
      <c r="K101" s="2665"/>
      <c r="L101" s="2665"/>
      <c r="M101" s="2665"/>
      <c r="N101" s="2665"/>
      <c r="O101" s="2665"/>
      <c r="P101" s="2665"/>
      <c r="Q101" s="2665"/>
      <c r="R101" s="2665"/>
      <c r="S101" s="2665"/>
      <c r="T101" s="2665"/>
      <c r="U101" s="2665"/>
      <c r="V101" s="2665"/>
      <c r="W101" s="2665"/>
      <c r="X101" s="2665"/>
      <c r="Y101" s="2665"/>
      <c r="Z101" s="2665"/>
      <c r="AA101" s="2665"/>
      <c r="AB101" s="2665"/>
      <c r="AC101" s="2665"/>
      <c r="AD101" s="2665"/>
      <c r="AE101" s="2665"/>
    </row>
    <row r="102" spans="6:31" ht="16.5" customHeight="1">
      <c r="F102" s="2665"/>
      <c r="G102" s="2665"/>
      <c r="H102" s="2665"/>
      <c r="I102" s="2665"/>
      <c r="J102" s="2665"/>
      <c r="K102" s="2665"/>
      <c r="L102" s="2665"/>
      <c r="M102" s="2665"/>
      <c r="N102" s="2665"/>
      <c r="O102" s="2665"/>
      <c r="P102" s="2665"/>
      <c r="Q102" s="2665"/>
      <c r="R102" s="2665"/>
      <c r="S102" s="2665"/>
      <c r="T102" s="2665"/>
      <c r="U102" s="2665"/>
      <c r="V102" s="2665"/>
      <c r="W102" s="2665"/>
      <c r="X102" s="2665"/>
      <c r="Y102" s="2665"/>
      <c r="Z102" s="2665"/>
      <c r="AA102" s="2665"/>
      <c r="AB102" s="2665"/>
      <c r="AC102" s="2665"/>
      <c r="AD102" s="2665"/>
      <c r="AE102" s="2665"/>
    </row>
    <row r="103" spans="6:31" ht="16.5" customHeight="1">
      <c r="F103" s="2665"/>
      <c r="G103" s="2665"/>
      <c r="H103" s="2665"/>
      <c r="I103" s="2665"/>
      <c r="J103" s="2665"/>
      <c r="K103" s="2665"/>
      <c r="L103" s="2665"/>
      <c r="M103" s="2665"/>
      <c r="N103" s="2665"/>
      <c r="O103" s="2665"/>
      <c r="P103" s="2665"/>
      <c r="Q103" s="2665"/>
      <c r="R103" s="2665"/>
      <c r="S103" s="2665"/>
      <c r="T103" s="2665"/>
      <c r="U103" s="2665"/>
      <c r="V103" s="2665"/>
      <c r="W103" s="2665"/>
      <c r="X103" s="2665"/>
      <c r="Y103" s="2665"/>
      <c r="Z103" s="2665"/>
      <c r="AA103" s="2665"/>
      <c r="AB103" s="2665"/>
      <c r="AC103" s="2665"/>
      <c r="AD103" s="2665"/>
      <c r="AE103" s="2665"/>
    </row>
    <row r="104" spans="6:31" ht="16.5" customHeight="1">
      <c r="F104" s="2665"/>
      <c r="G104" s="2665"/>
      <c r="H104" s="2665"/>
      <c r="I104" s="2665"/>
      <c r="J104" s="2665"/>
      <c r="K104" s="2665"/>
      <c r="L104" s="2665"/>
      <c r="M104" s="2665"/>
      <c r="N104" s="2665"/>
      <c r="O104" s="2665"/>
      <c r="P104" s="2665"/>
      <c r="Q104" s="2665"/>
      <c r="R104" s="2665"/>
      <c r="S104" s="2665"/>
      <c r="T104" s="2665"/>
      <c r="U104" s="2665"/>
      <c r="V104" s="2665"/>
      <c r="W104" s="2665"/>
      <c r="X104" s="2665"/>
      <c r="Y104" s="2665"/>
      <c r="Z104" s="2665"/>
      <c r="AA104" s="2665"/>
      <c r="AB104" s="2665"/>
      <c r="AC104" s="2665"/>
      <c r="AD104" s="2665"/>
      <c r="AE104" s="2665"/>
    </row>
    <row r="105" spans="6:31" ht="16.5" customHeight="1">
      <c r="F105" s="2665"/>
      <c r="G105" s="2665"/>
      <c r="H105" s="2665"/>
      <c r="I105" s="2665"/>
      <c r="J105" s="2665"/>
      <c r="K105" s="2665"/>
      <c r="L105" s="2665"/>
      <c r="M105" s="2665"/>
      <c r="N105" s="2665"/>
      <c r="O105" s="2665"/>
      <c r="P105" s="2665"/>
      <c r="Q105" s="2665"/>
      <c r="R105" s="2665"/>
      <c r="S105" s="2665"/>
      <c r="T105" s="2665"/>
      <c r="U105" s="2665"/>
      <c r="V105" s="2665"/>
      <c r="W105" s="2665"/>
      <c r="X105" s="2665"/>
      <c r="Y105" s="2665"/>
      <c r="Z105" s="2665"/>
      <c r="AA105" s="2665"/>
      <c r="AB105" s="2665"/>
      <c r="AC105" s="2665"/>
      <c r="AD105" s="2665"/>
      <c r="AE105" s="2665"/>
    </row>
    <row r="106" spans="6:31" ht="16.5" customHeight="1">
      <c r="F106" s="2665"/>
      <c r="G106" s="2665"/>
      <c r="H106" s="2665"/>
      <c r="I106" s="2665"/>
      <c r="J106" s="2665"/>
      <c r="K106" s="2665"/>
      <c r="L106" s="2665"/>
      <c r="M106" s="2665"/>
      <c r="N106" s="2665"/>
      <c r="O106" s="2665"/>
      <c r="P106" s="2665"/>
      <c r="Q106" s="2665"/>
      <c r="R106" s="2665"/>
      <c r="S106" s="2665"/>
      <c r="T106" s="2665"/>
      <c r="U106" s="2665"/>
      <c r="V106" s="2665"/>
      <c r="W106" s="2665"/>
      <c r="X106" s="2665"/>
      <c r="Y106" s="2665"/>
      <c r="Z106" s="2665"/>
      <c r="AA106" s="2665"/>
      <c r="AB106" s="2665"/>
      <c r="AC106" s="2665"/>
      <c r="AD106" s="2665"/>
      <c r="AE106" s="2665"/>
    </row>
    <row r="107" spans="6:31" ht="16.5" customHeight="1">
      <c r="F107" s="2665"/>
      <c r="G107" s="2665"/>
      <c r="H107" s="2665"/>
      <c r="I107" s="2665"/>
      <c r="J107" s="2665"/>
      <c r="K107" s="2665"/>
      <c r="L107" s="2665"/>
      <c r="M107" s="2665"/>
      <c r="N107" s="2665"/>
      <c r="O107" s="2665"/>
      <c r="P107" s="2665"/>
      <c r="Q107" s="2665"/>
      <c r="R107" s="2665"/>
      <c r="S107" s="2665"/>
      <c r="T107" s="2665"/>
      <c r="U107" s="2665"/>
      <c r="V107" s="2665"/>
      <c r="W107" s="2665"/>
      <c r="X107" s="2665"/>
      <c r="Y107" s="2665"/>
      <c r="Z107" s="2665"/>
      <c r="AA107" s="2665"/>
      <c r="AB107" s="2665"/>
      <c r="AC107" s="2665"/>
      <c r="AD107" s="2665"/>
      <c r="AE107" s="2665"/>
    </row>
    <row r="108" spans="6:31" ht="16.5" customHeight="1">
      <c r="F108" s="2665"/>
      <c r="G108" s="2665"/>
      <c r="H108" s="2665"/>
      <c r="I108" s="2665"/>
      <c r="J108" s="2665"/>
      <c r="K108" s="2665"/>
      <c r="L108" s="2665"/>
      <c r="M108" s="2665"/>
      <c r="N108" s="2665"/>
      <c r="O108" s="2665"/>
      <c r="P108" s="2665"/>
      <c r="Q108" s="2665"/>
      <c r="R108" s="2665"/>
      <c r="S108" s="2665"/>
      <c r="T108" s="2665"/>
      <c r="U108" s="2665"/>
      <c r="V108" s="2665"/>
      <c r="W108" s="2665"/>
      <c r="X108" s="2665"/>
      <c r="Y108" s="2665"/>
      <c r="Z108" s="2665"/>
      <c r="AA108" s="2665"/>
      <c r="AB108" s="2665"/>
      <c r="AC108" s="2665"/>
      <c r="AD108" s="2665"/>
      <c r="AE108" s="2665"/>
    </row>
    <row r="109" spans="6:31" ht="16.5" customHeight="1">
      <c r="F109" s="2665"/>
      <c r="G109" s="2665"/>
      <c r="H109" s="2665"/>
      <c r="I109" s="2665"/>
      <c r="J109" s="2665"/>
      <c r="K109" s="2665"/>
      <c r="L109" s="2665"/>
      <c r="M109" s="2665"/>
      <c r="N109" s="2665"/>
      <c r="O109" s="2665"/>
      <c r="P109" s="2665"/>
      <c r="Q109" s="2665"/>
      <c r="R109" s="2665"/>
      <c r="S109" s="2665"/>
      <c r="T109" s="2665"/>
      <c r="U109" s="2665"/>
      <c r="V109" s="2665"/>
      <c r="W109" s="2665"/>
      <c r="X109" s="2665"/>
      <c r="Y109" s="2665"/>
      <c r="Z109" s="2665"/>
      <c r="AA109" s="2665"/>
      <c r="AB109" s="2665"/>
      <c r="AC109" s="2665"/>
      <c r="AD109" s="2665"/>
      <c r="AE109" s="2665"/>
    </row>
    <row r="110" spans="6:31" ht="16.5" customHeight="1">
      <c r="F110" s="2665"/>
      <c r="G110" s="2665"/>
      <c r="H110" s="2665"/>
      <c r="I110" s="2665"/>
      <c r="J110" s="2665"/>
      <c r="K110" s="2665"/>
      <c r="L110" s="2665"/>
      <c r="M110" s="2665"/>
      <c r="N110" s="2665"/>
      <c r="O110" s="2665"/>
      <c r="P110" s="2665"/>
      <c r="Q110" s="2665"/>
      <c r="R110" s="2665"/>
      <c r="S110" s="2665"/>
      <c r="T110" s="2665"/>
      <c r="U110" s="2665"/>
      <c r="V110" s="2665"/>
      <c r="W110" s="2665"/>
      <c r="X110" s="2665"/>
      <c r="Y110" s="2665"/>
      <c r="Z110" s="2665"/>
      <c r="AA110" s="2665"/>
      <c r="AB110" s="2665"/>
      <c r="AC110" s="2665"/>
      <c r="AD110" s="2665"/>
      <c r="AE110" s="2665"/>
    </row>
    <row r="111" spans="6:31" ht="16.5" customHeight="1">
      <c r="F111" s="2665"/>
      <c r="G111" s="2665"/>
      <c r="H111" s="2665"/>
      <c r="I111" s="2665"/>
      <c r="J111" s="2665"/>
      <c r="K111" s="2665"/>
      <c r="L111" s="2665"/>
      <c r="M111" s="2665"/>
      <c r="N111" s="2665"/>
      <c r="O111" s="2665"/>
      <c r="P111" s="2665"/>
      <c r="Q111" s="2665"/>
      <c r="R111" s="2665"/>
      <c r="S111" s="2665"/>
      <c r="T111" s="2665"/>
      <c r="U111" s="2665"/>
      <c r="V111" s="2665"/>
      <c r="W111" s="2665"/>
      <c r="X111" s="2665"/>
      <c r="Y111" s="2665"/>
      <c r="Z111" s="2665"/>
      <c r="AA111" s="2665"/>
      <c r="AB111" s="2665"/>
      <c r="AC111" s="2665"/>
      <c r="AD111" s="2665"/>
      <c r="AE111" s="2665"/>
    </row>
    <row r="112" spans="6:31" ht="16.5" customHeight="1">
      <c r="F112" s="2665"/>
      <c r="G112" s="2665"/>
      <c r="H112" s="2665"/>
      <c r="I112" s="2665"/>
      <c r="J112" s="2665"/>
      <c r="K112" s="2665"/>
      <c r="L112" s="2665"/>
      <c r="M112" s="2665"/>
      <c r="N112" s="2665"/>
      <c r="O112" s="2665"/>
      <c r="P112" s="2665"/>
      <c r="Q112" s="2665"/>
      <c r="R112" s="2665"/>
      <c r="S112" s="2665"/>
      <c r="T112" s="2665"/>
      <c r="U112" s="2665"/>
      <c r="V112" s="2665"/>
      <c r="W112" s="2665"/>
      <c r="X112" s="2665"/>
      <c r="Y112" s="2665"/>
      <c r="Z112" s="2665"/>
      <c r="AA112" s="2665"/>
      <c r="AB112" s="2665"/>
      <c r="AC112" s="2665"/>
      <c r="AD112" s="2665"/>
      <c r="AE112" s="2665"/>
    </row>
    <row r="113" spans="6:31" ht="16.5" customHeight="1">
      <c r="F113" s="2665"/>
      <c r="G113" s="2665"/>
      <c r="H113" s="2665"/>
      <c r="I113" s="2665"/>
      <c r="J113" s="2665"/>
      <c r="K113" s="2665"/>
      <c r="L113" s="2665"/>
      <c r="M113" s="2665"/>
      <c r="N113" s="2665"/>
      <c r="O113" s="2665"/>
      <c r="P113" s="2665"/>
      <c r="Q113" s="2665"/>
      <c r="R113" s="2665"/>
      <c r="S113" s="2665"/>
      <c r="T113" s="2665"/>
      <c r="U113" s="2665"/>
      <c r="V113" s="2665"/>
      <c r="W113" s="2665"/>
      <c r="X113" s="2665"/>
      <c r="Y113" s="2665"/>
      <c r="Z113" s="2665"/>
      <c r="AA113" s="2665"/>
      <c r="AB113" s="2665"/>
      <c r="AC113" s="2665"/>
      <c r="AD113" s="2665"/>
      <c r="AE113" s="2665"/>
    </row>
    <row r="114" spans="6:31" ht="16.5" customHeight="1">
      <c r="F114" s="2665"/>
      <c r="G114" s="2665"/>
      <c r="H114" s="2665"/>
      <c r="I114" s="2665"/>
      <c r="J114" s="2665"/>
      <c r="K114" s="2665"/>
      <c r="L114" s="2665"/>
      <c r="M114" s="2665"/>
      <c r="N114" s="2665"/>
      <c r="O114" s="2665"/>
      <c r="P114" s="2665"/>
      <c r="Q114" s="2665"/>
      <c r="R114" s="2665"/>
      <c r="S114" s="2665"/>
      <c r="T114" s="2665"/>
      <c r="U114" s="2665"/>
      <c r="V114" s="2665"/>
      <c r="W114" s="2665"/>
      <c r="X114" s="2665"/>
      <c r="Y114" s="2665"/>
      <c r="Z114" s="2665"/>
      <c r="AA114" s="2665"/>
      <c r="AB114" s="2665"/>
      <c r="AC114" s="2665"/>
      <c r="AD114" s="2665"/>
      <c r="AE114" s="2665"/>
    </row>
    <row r="115" spans="6:31" ht="16.5" customHeight="1">
      <c r="F115" s="2665"/>
      <c r="G115" s="2665"/>
      <c r="H115" s="2665"/>
      <c r="I115" s="2665"/>
      <c r="J115" s="2665"/>
      <c r="K115" s="2665"/>
      <c r="L115" s="2665"/>
      <c r="M115" s="2665"/>
      <c r="N115" s="2665"/>
      <c r="O115" s="2665"/>
      <c r="P115" s="2665"/>
      <c r="Q115" s="2665"/>
      <c r="R115" s="2665"/>
      <c r="S115" s="2665"/>
      <c r="T115" s="2665"/>
      <c r="U115" s="2665"/>
      <c r="V115" s="2665"/>
      <c r="W115" s="2665"/>
      <c r="X115" s="2665"/>
      <c r="Y115" s="2665"/>
      <c r="Z115" s="2665"/>
      <c r="AA115" s="2665"/>
      <c r="AB115" s="2665"/>
      <c r="AC115" s="2665"/>
      <c r="AD115" s="2665"/>
      <c r="AE115" s="2665"/>
    </row>
    <row r="116" spans="6:31" ht="16.5" customHeight="1">
      <c r="F116" s="2665"/>
      <c r="G116" s="2665"/>
      <c r="H116" s="2665"/>
      <c r="I116" s="2665"/>
      <c r="J116" s="2665"/>
      <c r="K116" s="2665"/>
      <c r="L116" s="2665"/>
      <c r="M116" s="2665"/>
      <c r="N116" s="2665"/>
      <c r="O116" s="2665"/>
      <c r="P116" s="2665"/>
      <c r="Q116" s="2665"/>
      <c r="R116" s="2665"/>
      <c r="S116" s="2665"/>
      <c r="T116" s="2665"/>
      <c r="U116" s="2665"/>
      <c r="V116" s="2665"/>
      <c r="W116" s="2665"/>
      <c r="X116" s="2665"/>
      <c r="Y116" s="2665"/>
      <c r="Z116" s="2665"/>
      <c r="AA116" s="2665"/>
      <c r="AB116" s="2665"/>
      <c r="AC116" s="2665"/>
      <c r="AD116" s="2665"/>
      <c r="AE116" s="2665"/>
    </row>
    <row r="117" spans="6:31" ht="16.5" customHeight="1">
      <c r="F117" s="2665"/>
      <c r="G117" s="2665"/>
      <c r="H117" s="2665"/>
      <c r="I117" s="2665"/>
      <c r="J117" s="2665"/>
      <c r="K117" s="2665"/>
      <c r="L117" s="2665"/>
      <c r="M117" s="2665"/>
      <c r="N117" s="2665"/>
      <c r="O117" s="2665"/>
      <c r="P117" s="2665"/>
      <c r="Q117" s="2665"/>
      <c r="R117" s="2665"/>
      <c r="S117" s="2665"/>
      <c r="T117" s="2665"/>
      <c r="U117" s="2665"/>
      <c r="V117" s="2665"/>
      <c r="W117" s="2665"/>
      <c r="X117" s="2665"/>
      <c r="Y117" s="2665"/>
      <c r="Z117" s="2665"/>
      <c r="AA117" s="2665"/>
      <c r="AB117" s="2665"/>
      <c r="AC117" s="2665"/>
      <c r="AD117" s="2665"/>
      <c r="AE117" s="2665"/>
    </row>
    <row r="118" spans="6:31" ht="16.5" customHeight="1">
      <c r="F118" s="2665"/>
      <c r="G118" s="2665"/>
      <c r="H118" s="2665"/>
      <c r="I118" s="2665"/>
      <c r="J118" s="2665"/>
      <c r="K118" s="2665"/>
      <c r="L118" s="2665"/>
      <c r="M118" s="2665"/>
      <c r="N118" s="2665"/>
      <c r="O118" s="2665"/>
      <c r="P118" s="2665"/>
      <c r="Q118" s="2665"/>
      <c r="R118" s="2665"/>
      <c r="S118" s="2665"/>
      <c r="T118" s="2665"/>
      <c r="U118" s="2665"/>
      <c r="V118" s="2665"/>
      <c r="W118" s="2665"/>
      <c r="X118" s="2665"/>
      <c r="Y118" s="2665"/>
      <c r="Z118" s="2665"/>
      <c r="AA118" s="2665"/>
      <c r="AB118" s="2665"/>
      <c r="AC118" s="2665"/>
      <c r="AD118" s="2665"/>
      <c r="AE118" s="2665"/>
    </row>
    <row r="119" spans="6:31" ht="16.5" customHeight="1">
      <c r="F119" s="2665"/>
      <c r="G119" s="2665"/>
      <c r="H119" s="2665"/>
      <c r="I119" s="2665"/>
      <c r="J119" s="2665"/>
      <c r="K119" s="2665"/>
      <c r="L119" s="2665"/>
      <c r="M119" s="2665"/>
      <c r="N119" s="2665"/>
      <c r="O119" s="2665"/>
      <c r="P119" s="2665"/>
      <c r="Q119" s="2665"/>
      <c r="R119" s="2665"/>
      <c r="S119" s="2665"/>
      <c r="T119" s="2665"/>
      <c r="U119" s="2665"/>
      <c r="V119" s="2665"/>
      <c r="W119" s="2665"/>
      <c r="X119" s="2665"/>
      <c r="Y119" s="2665"/>
      <c r="Z119" s="2665"/>
      <c r="AA119" s="2665"/>
      <c r="AB119" s="2665"/>
      <c r="AC119" s="2665"/>
      <c r="AD119" s="2665"/>
      <c r="AE119" s="2665"/>
    </row>
    <row r="120" spans="6:31" ht="16.5" customHeight="1">
      <c r="F120" s="2665"/>
      <c r="G120" s="2665"/>
      <c r="H120" s="2665"/>
      <c r="I120" s="2665"/>
      <c r="J120" s="2665"/>
      <c r="K120" s="2665"/>
      <c r="L120" s="2665"/>
      <c r="M120" s="2665"/>
      <c r="N120" s="2665"/>
      <c r="O120" s="2665"/>
      <c r="P120" s="2665"/>
      <c r="Q120" s="2665"/>
      <c r="R120" s="2665"/>
      <c r="S120" s="2665"/>
      <c r="T120" s="2665"/>
      <c r="U120" s="2665"/>
      <c r="V120" s="2665"/>
      <c r="W120" s="2665"/>
      <c r="X120" s="2665"/>
      <c r="Y120" s="2665"/>
      <c r="Z120" s="2665"/>
      <c r="AA120" s="2665"/>
      <c r="AB120" s="2665"/>
      <c r="AC120" s="2665"/>
      <c r="AD120" s="2665"/>
      <c r="AE120" s="2665"/>
    </row>
    <row r="121" spans="6:31" ht="16.5" customHeight="1">
      <c r="F121" s="2665"/>
      <c r="G121" s="2665"/>
      <c r="H121" s="2665"/>
      <c r="I121" s="2665"/>
      <c r="J121" s="2665"/>
      <c r="K121" s="2665"/>
      <c r="L121" s="2665"/>
      <c r="M121" s="2665"/>
      <c r="N121" s="2665"/>
      <c r="O121" s="2665"/>
      <c r="P121" s="2665"/>
      <c r="Q121" s="2665"/>
      <c r="R121" s="2665"/>
      <c r="S121" s="2665"/>
      <c r="T121" s="2665"/>
      <c r="U121" s="2665"/>
      <c r="V121" s="2665"/>
      <c r="W121" s="2665"/>
      <c r="X121" s="2665"/>
      <c r="Y121" s="2665"/>
      <c r="Z121" s="2665"/>
      <c r="AA121" s="2665"/>
      <c r="AB121" s="2665"/>
      <c r="AC121" s="2665"/>
      <c r="AD121" s="2665"/>
      <c r="AE121" s="2665"/>
    </row>
    <row r="122" spans="6:31" ht="16.5" customHeight="1">
      <c r="F122" s="2665"/>
      <c r="G122" s="2665"/>
      <c r="H122" s="2665"/>
      <c r="I122" s="2665"/>
      <c r="J122" s="2665"/>
      <c r="K122" s="2665"/>
      <c r="L122" s="2665"/>
      <c r="M122" s="2665"/>
      <c r="N122" s="2665"/>
      <c r="O122" s="2665"/>
      <c r="P122" s="2665"/>
      <c r="Q122" s="2665"/>
      <c r="R122" s="2665"/>
      <c r="S122" s="2665"/>
      <c r="T122" s="2665"/>
      <c r="U122" s="2665"/>
      <c r="V122" s="2665"/>
      <c r="W122" s="2665"/>
      <c r="X122" s="2665"/>
      <c r="Y122" s="2665"/>
      <c r="Z122" s="2665"/>
      <c r="AA122" s="2665"/>
      <c r="AB122" s="2665"/>
      <c r="AC122" s="2665"/>
      <c r="AD122" s="2665"/>
      <c r="AE122" s="2665"/>
    </row>
    <row r="123" spans="6:31" ht="16.5" customHeight="1">
      <c r="F123" s="2665"/>
      <c r="G123" s="2665"/>
      <c r="H123" s="2665"/>
      <c r="I123" s="2665"/>
      <c r="J123" s="2665"/>
      <c r="K123" s="2665"/>
      <c r="L123" s="2665"/>
      <c r="M123" s="2665"/>
      <c r="N123" s="2665"/>
      <c r="O123" s="2665"/>
      <c r="P123" s="2665"/>
      <c r="Q123" s="2665"/>
      <c r="R123" s="2665"/>
      <c r="S123" s="2665"/>
      <c r="T123" s="2665"/>
      <c r="U123" s="2665"/>
      <c r="V123" s="2665"/>
      <c r="W123" s="2665"/>
      <c r="X123" s="2665"/>
      <c r="Y123" s="2665"/>
      <c r="Z123" s="2665"/>
      <c r="AA123" s="2665"/>
      <c r="AB123" s="2665"/>
      <c r="AC123" s="2665"/>
      <c r="AD123" s="2665"/>
      <c r="AE123" s="2665"/>
    </row>
    <row r="124" spans="6:31" ht="16.5" customHeight="1">
      <c r="F124" s="2665"/>
      <c r="G124" s="2665"/>
      <c r="H124" s="2665"/>
      <c r="I124" s="2665"/>
      <c r="J124" s="2665"/>
      <c r="K124" s="2665"/>
      <c r="L124" s="2665"/>
      <c r="M124" s="2665"/>
      <c r="N124" s="2665"/>
      <c r="O124" s="2665"/>
      <c r="P124" s="2665"/>
      <c r="Q124" s="2665"/>
      <c r="R124" s="2665"/>
      <c r="S124" s="2665"/>
      <c r="T124" s="2665"/>
      <c r="U124" s="2665"/>
      <c r="V124" s="2665"/>
      <c r="W124" s="2665"/>
      <c r="X124" s="2665"/>
      <c r="Y124" s="2665"/>
      <c r="Z124" s="2665"/>
      <c r="AA124" s="2665"/>
      <c r="AB124" s="2665"/>
      <c r="AC124" s="2665"/>
      <c r="AD124" s="2665"/>
      <c r="AE124" s="2665"/>
    </row>
    <row r="125" spans="6:31" ht="16.5" customHeight="1">
      <c r="F125" s="2665"/>
      <c r="G125" s="2665"/>
      <c r="H125" s="2665"/>
      <c r="I125" s="2665"/>
      <c r="J125" s="2665"/>
      <c r="K125" s="2665"/>
      <c r="L125" s="2665"/>
      <c r="M125" s="2665"/>
      <c r="N125" s="2665"/>
      <c r="O125" s="2665"/>
      <c r="P125" s="2665"/>
      <c r="Q125" s="2665"/>
      <c r="R125" s="2665"/>
      <c r="S125" s="2665"/>
      <c r="T125" s="2665"/>
      <c r="U125" s="2665"/>
      <c r="V125" s="2665"/>
      <c r="W125" s="2665"/>
      <c r="X125" s="2665"/>
      <c r="Y125" s="2665"/>
      <c r="Z125" s="2665"/>
      <c r="AA125" s="2665"/>
      <c r="AB125" s="2665"/>
      <c r="AC125" s="2665"/>
      <c r="AD125" s="2665"/>
      <c r="AE125" s="2665"/>
    </row>
    <row r="126" spans="6:31" ht="16.5" customHeight="1">
      <c r="F126" s="2665"/>
      <c r="G126" s="2665"/>
      <c r="H126" s="2665"/>
      <c r="I126" s="2665"/>
      <c r="J126" s="2665"/>
      <c r="K126" s="2665"/>
      <c r="L126" s="2665"/>
      <c r="M126" s="2665"/>
      <c r="N126" s="2665"/>
      <c r="O126" s="2665"/>
      <c r="P126" s="2665"/>
      <c r="Q126" s="2665"/>
      <c r="R126" s="2665"/>
      <c r="S126" s="2665"/>
      <c r="T126" s="2665"/>
      <c r="U126" s="2665"/>
      <c r="V126" s="2665"/>
      <c r="W126" s="2665"/>
      <c r="X126" s="2665"/>
      <c r="Y126" s="2665"/>
      <c r="Z126" s="2665"/>
      <c r="AA126" s="2665"/>
      <c r="AB126" s="2665"/>
      <c r="AC126" s="2665"/>
      <c r="AD126" s="2665"/>
      <c r="AE126" s="2665"/>
    </row>
    <row r="127" spans="6:31" ht="16.5" customHeight="1">
      <c r="F127" s="2665"/>
      <c r="G127" s="2665"/>
      <c r="H127" s="2665"/>
      <c r="I127" s="2665"/>
      <c r="J127" s="2665"/>
      <c r="K127" s="2665"/>
      <c r="L127" s="2665"/>
      <c r="M127" s="2665"/>
      <c r="N127" s="2665"/>
      <c r="O127" s="2665"/>
      <c r="P127" s="2665"/>
      <c r="Q127" s="2665"/>
      <c r="R127" s="2665"/>
      <c r="S127" s="2665"/>
      <c r="T127" s="2665"/>
      <c r="U127" s="2665"/>
      <c r="V127" s="2665"/>
      <c r="W127" s="2665"/>
      <c r="X127" s="2665"/>
      <c r="Y127" s="2665"/>
      <c r="Z127" s="2665"/>
      <c r="AA127" s="2665"/>
      <c r="AB127" s="2665"/>
      <c r="AC127" s="2665"/>
      <c r="AD127" s="2665"/>
      <c r="AE127" s="2665"/>
    </row>
    <row r="128" spans="6:31" ht="16.5" customHeight="1">
      <c r="F128" s="2665"/>
      <c r="G128" s="2665"/>
      <c r="H128" s="2665"/>
      <c r="I128" s="2665"/>
      <c r="J128" s="2665"/>
      <c r="K128" s="2665"/>
      <c r="L128" s="2665"/>
      <c r="M128" s="2665"/>
      <c r="N128" s="2665"/>
      <c r="O128" s="2665"/>
      <c r="P128" s="2665"/>
      <c r="Q128" s="2665"/>
      <c r="R128" s="2665"/>
      <c r="S128" s="2665"/>
      <c r="T128" s="2665"/>
      <c r="U128" s="2665"/>
      <c r="V128" s="2665"/>
      <c r="W128" s="2665"/>
      <c r="X128" s="2665"/>
      <c r="Y128" s="2665"/>
      <c r="Z128" s="2665"/>
      <c r="AA128" s="2665"/>
      <c r="AB128" s="2665"/>
      <c r="AC128" s="2665"/>
      <c r="AD128" s="2665"/>
      <c r="AE128" s="2665"/>
    </row>
    <row r="129" spans="6:31" ht="16.5" customHeight="1">
      <c r="F129" s="2665"/>
      <c r="G129" s="2665"/>
      <c r="H129" s="2665"/>
      <c r="I129" s="2665"/>
      <c r="J129" s="2665"/>
      <c r="K129" s="2665"/>
      <c r="L129" s="2665"/>
      <c r="M129" s="2665"/>
      <c r="N129" s="2665"/>
      <c r="O129" s="2665"/>
      <c r="P129" s="2665"/>
      <c r="Q129" s="2665"/>
      <c r="R129" s="2665"/>
      <c r="S129" s="2665"/>
      <c r="T129" s="2665"/>
      <c r="U129" s="2665"/>
      <c r="V129" s="2665"/>
      <c r="W129" s="2665"/>
      <c r="X129" s="2665"/>
      <c r="Y129" s="2665"/>
      <c r="Z129" s="2665"/>
      <c r="AA129" s="2665"/>
      <c r="AB129" s="2665"/>
      <c r="AC129" s="2665"/>
      <c r="AD129" s="2665"/>
      <c r="AE129" s="2665"/>
    </row>
    <row r="130" spans="6:31" ht="16.5" customHeight="1">
      <c r="F130" s="2665"/>
      <c r="G130" s="2665"/>
      <c r="H130" s="2665"/>
      <c r="I130" s="2665"/>
      <c r="J130" s="2665"/>
      <c r="K130" s="2665"/>
      <c r="L130" s="2665"/>
      <c r="M130" s="2665"/>
      <c r="N130" s="2665"/>
      <c r="O130" s="2665"/>
      <c r="P130" s="2665"/>
      <c r="Q130" s="2665"/>
      <c r="R130" s="2665"/>
      <c r="S130" s="2665"/>
      <c r="T130" s="2665"/>
      <c r="U130" s="2665"/>
      <c r="V130" s="2665"/>
      <c r="W130" s="2665"/>
      <c r="X130" s="2665"/>
      <c r="Y130" s="2665"/>
      <c r="Z130" s="2665"/>
      <c r="AA130" s="2665"/>
      <c r="AB130" s="2665"/>
      <c r="AC130" s="2665"/>
      <c r="AD130" s="2665"/>
      <c r="AE130" s="2665"/>
    </row>
    <row r="131" spans="6:31" ht="16.5" customHeight="1">
      <c r="F131" s="2665"/>
      <c r="G131" s="2665"/>
      <c r="H131" s="2665"/>
      <c r="I131" s="2665"/>
      <c r="J131" s="2665"/>
      <c r="K131" s="2665"/>
      <c r="L131" s="2665"/>
      <c r="M131" s="2665"/>
      <c r="N131" s="2665"/>
      <c r="O131" s="2665"/>
      <c r="P131" s="2665"/>
      <c r="Q131" s="2665"/>
      <c r="R131" s="2665"/>
      <c r="S131" s="2665"/>
      <c r="T131" s="2665"/>
      <c r="U131" s="2665"/>
      <c r="V131" s="2665"/>
      <c r="W131" s="2665"/>
      <c r="X131" s="2665"/>
      <c r="Y131" s="2665"/>
      <c r="Z131" s="2665"/>
      <c r="AA131" s="2665"/>
      <c r="AB131" s="2665"/>
      <c r="AC131" s="2665"/>
      <c r="AD131" s="2665"/>
      <c r="AE131" s="2665"/>
    </row>
    <row r="132" spans="6:31" ht="16.5" customHeight="1">
      <c r="F132" s="2665"/>
      <c r="G132" s="2665"/>
      <c r="H132" s="2665"/>
      <c r="I132" s="2665"/>
      <c r="J132" s="2665"/>
      <c r="K132" s="2665"/>
      <c r="L132" s="2665"/>
      <c r="M132" s="2665"/>
      <c r="N132" s="2665"/>
      <c r="O132" s="2665"/>
      <c r="P132" s="2665"/>
      <c r="Q132" s="2665"/>
      <c r="R132" s="2665"/>
      <c r="S132" s="2665"/>
      <c r="T132" s="2665"/>
      <c r="U132" s="2665"/>
      <c r="V132" s="2665"/>
      <c r="W132" s="2665"/>
      <c r="X132" s="2665"/>
      <c r="Y132" s="2665"/>
      <c r="Z132" s="2665"/>
      <c r="AA132" s="2665"/>
      <c r="AB132" s="2665"/>
      <c r="AC132" s="2665"/>
      <c r="AD132" s="2665"/>
      <c r="AE132" s="2665"/>
    </row>
    <row r="133" spans="6:31" ht="16.5" customHeight="1">
      <c r="F133" s="2665"/>
      <c r="G133" s="2665"/>
      <c r="H133" s="2665"/>
      <c r="I133" s="2665"/>
      <c r="J133" s="2665"/>
      <c r="K133" s="2665"/>
      <c r="L133" s="2665"/>
      <c r="M133" s="2665"/>
      <c r="N133" s="2665"/>
      <c r="O133" s="2665"/>
      <c r="P133" s="2665"/>
      <c r="Q133" s="2665"/>
      <c r="R133" s="2665"/>
      <c r="S133" s="2665"/>
      <c r="T133" s="2665"/>
      <c r="U133" s="2665"/>
      <c r="V133" s="2665"/>
      <c r="W133" s="2665"/>
      <c r="X133" s="2665"/>
      <c r="Y133" s="2665"/>
      <c r="Z133" s="2665"/>
      <c r="AA133" s="2665"/>
      <c r="AB133" s="2665"/>
      <c r="AC133" s="2665"/>
      <c r="AD133" s="2665"/>
      <c r="AE133" s="2665"/>
    </row>
    <row r="134" spans="6:31" ht="16.5" customHeight="1">
      <c r="F134" s="2665"/>
      <c r="G134" s="2665"/>
      <c r="H134" s="2665"/>
      <c r="I134" s="2665"/>
      <c r="J134" s="2665"/>
      <c r="K134" s="2665"/>
      <c r="L134" s="2665"/>
      <c r="M134" s="2665"/>
      <c r="N134" s="2665"/>
      <c r="O134" s="2665"/>
      <c r="P134" s="2665"/>
      <c r="Q134" s="2665"/>
      <c r="R134" s="2665"/>
      <c r="S134" s="2665"/>
      <c r="T134" s="2665"/>
      <c r="U134" s="2665"/>
      <c r="V134" s="2665"/>
      <c r="W134" s="2665"/>
      <c r="X134" s="2665"/>
      <c r="Y134" s="2665"/>
      <c r="Z134" s="2665"/>
      <c r="AA134" s="2665"/>
      <c r="AB134" s="2665"/>
      <c r="AC134" s="2665"/>
      <c r="AD134" s="2665"/>
      <c r="AE134" s="2665"/>
    </row>
    <row r="135" spans="6:31" ht="16.5" customHeight="1">
      <c r="F135" s="2665"/>
      <c r="G135" s="2665"/>
      <c r="H135" s="2665"/>
      <c r="I135" s="2665"/>
      <c r="J135" s="2665"/>
      <c r="K135" s="2665"/>
      <c r="L135" s="2665"/>
      <c r="M135" s="2665"/>
      <c r="N135" s="2665"/>
      <c r="O135" s="2665"/>
      <c r="P135" s="2665"/>
      <c r="Q135" s="2665"/>
      <c r="R135" s="2665"/>
      <c r="S135" s="2665"/>
      <c r="T135" s="2665"/>
      <c r="U135" s="2665"/>
      <c r="V135" s="2665"/>
      <c r="W135" s="2665"/>
      <c r="X135" s="2665"/>
      <c r="Y135" s="2665"/>
      <c r="Z135" s="2665"/>
      <c r="AA135" s="2665"/>
      <c r="AB135" s="2665"/>
      <c r="AC135" s="2665"/>
      <c r="AD135" s="2665"/>
      <c r="AE135" s="2665"/>
    </row>
    <row r="136" spans="6:31" ht="16.5" customHeight="1">
      <c r="F136" s="2665"/>
      <c r="G136" s="2665"/>
      <c r="H136" s="2665"/>
      <c r="I136" s="2665"/>
      <c r="J136" s="2665"/>
      <c r="K136" s="2665"/>
      <c r="L136" s="2665"/>
      <c r="M136" s="2665"/>
      <c r="N136" s="2665"/>
      <c r="O136" s="2665"/>
      <c r="P136" s="2665"/>
      <c r="Q136" s="2665"/>
      <c r="R136" s="2665"/>
      <c r="S136" s="2665"/>
      <c r="T136" s="2665"/>
      <c r="U136" s="2665"/>
      <c r="V136" s="2665"/>
      <c r="W136" s="2665"/>
      <c r="X136" s="2665"/>
      <c r="Y136" s="2665"/>
      <c r="Z136" s="2665"/>
      <c r="AA136" s="2665"/>
      <c r="AB136" s="2665"/>
      <c r="AC136" s="2665"/>
      <c r="AD136" s="2665"/>
      <c r="AE136" s="2665"/>
    </row>
    <row r="137" spans="6:31" ht="16.5" customHeight="1">
      <c r="F137" s="2665"/>
      <c r="G137" s="2665"/>
      <c r="H137" s="2665"/>
      <c r="I137" s="2665"/>
      <c r="J137" s="2665"/>
      <c r="K137" s="2665"/>
      <c r="L137" s="2665"/>
      <c r="M137" s="2665"/>
      <c r="N137" s="2665"/>
      <c r="O137" s="2665"/>
      <c r="P137" s="2665"/>
      <c r="Q137" s="2665"/>
      <c r="R137" s="2665"/>
      <c r="S137" s="2665"/>
      <c r="T137" s="2665"/>
      <c r="U137" s="2665"/>
      <c r="V137" s="2665"/>
      <c r="W137" s="2665"/>
      <c r="X137" s="2665"/>
      <c r="Y137" s="2665"/>
      <c r="Z137" s="2665"/>
      <c r="AA137" s="2665"/>
      <c r="AB137" s="2665"/>
      <c r="AC137" s="2665"/>
      <c r="AD137" s="2665"/>
      <c r="AE137" s="2665"/>
    </row>
    <row r="138" spans="6:31" ht="16.5" customHeight="1">
      <c r="F138" s="2665"/>
      <c r="G138" s="2665"/>
      <c r="H138" s="2665"/>
      <c r="I138" s="2665"/>
      <c r="J138" s="2665"/>
      <c r="K138" s="2665"/>
      <c r="L138" s="2665"/>
      <c r="M138" s="2665"/>
      <c r="N138" s="2665"/>
      <c r="O138" s="2665"/>
      <c r="P138" s="2665"/>
      <c r="Q138" s="2665"/>
      <c r="R138" s="2665"/>
      <c r="S138" s="2665"/>
      <c r="T138" s="2665"/>
      <c r="U138" s="2665"/>
      <c r="V138" s="2665"/>
      <c r="W138" s="2665"/>
      <c r="X138" s="2665"/>
      <c r="Y138" s="2665"/>
      <c r="Z138" s="2665"/>
      <c r="AA138" s="2665"/>
      <c r="AB138" s="2665"/>
      <c r="AC138" s="2665"/>
      <c r="AD138" s="2665"/>
      <c r="AE138" s="2665"/>
    </row>
    <row r="139" spans="6:31" ht="16.5" customHeight="1">
      <c r="F139" s="2665"/>
      <c r="G139" s="2665"/>
      <c r="H139" s="2665"/>
      <c r="I139" s="2665"/>
      <c r="J139" s="2665"/>
      <c r="K139" s="2665"/>
      <c r="L139" s="2665"/>
      <c r="M139" s="2665"/>
      <c r="N139" s="2665"/>
      <c r="O139" s="2665"/>
      <c r="P139" s="2665"/>
      <c r="Q139" s="2665"/>
      <c r="R139" s="2665"/>
      <c r="S139" s="2665"/>
      <c r="T139" s="2665"/>
      <c r="U139" s="2665"/>
      <c r="V139" s="2665"/>
      <c r="W139" s="2665"/>
      <c r="X139" s="2665"/>
      <c r="Y139" s="2665"/>
      <c r="Z139" s="2665"/>
      <c r="AA139" s="2665"/>
      <c r="AB139" s="2665"/>
      <c r="AC139" s="2665"/>
      <c r="AD139" s="2665"/>
      <c r="AE139" s="2665"/>
    </row>
    <row r="140" spans="6:31" ht="16.5" customHeight="1">
      <c r="F140" s="2665"/>
      <c r="G140" s="2665"/>
      <c r="H140" s="2665"/>
      <c r="I140" s="2665"/>
      <c r="J140" s="2665"/>
      <c r="K140" s="2665"/>
      <c r="L140" s="2665"/>
      <c r="M140" s="2665"/>
      <c r="N140" s="2665"/>
      <c r="O140" s="2665"/>
      <c r="P140" s="2665"/>
      <c r="Q140" s="2665"/>
      <c r="R140" s="2665"/>
      <c r="S140" s="2665"/>
      <c r="T140" s="2665"/>
      <c r="U140" s="2665"/>
      <c r="V140" s="2665"/>
      <c r="W140" s="2665"/>
      <c r="X140" s="2665"/>
      <c r="Y140" s="2665"/>
      <c r="Z140" s="2665"/>
      <c r="AA140" s="2665"/>
      <c r="AB140" s="2665"/>
      <c r="AC140" s="2665"/>
      <c r="AD140" s="2665"/>
      <c r="AE140" s="2665"/>
    </row>
    <row r="141" spans="6:31" ht="16.5" customHeight="1">
      <c r="F141" s="2665"/>
      <c r="G141" s="2665"/>
      <c r="H141" s="2665"/>
      <c r="I141" s="2665"/>
      <c r="J141" s="2665"/>
      <c r="K141" s="2665"/>
      <c r="L141" s="2665"/>
      <c r="M141" s="2665"/>
      <c r="N141" s="2665"/>
      <c r="O141" s="2665"/>
      <c r="P141" s="2665"/>
      <c r="Q141" s="2665"/>
      <c r="R141" s="2665"/>
      <c r="S141" s="2665"/>
      <c r="T141" s="2665"/>
      <c r="U141" s="2665"/>
      <c r="V141" s="2665"/>
      <c r="W141" s="2665"/>
      <c r="X141" s="2665"/>
      <c r="Y141" s="2665"/>
      <c r="Z141" s="2665"/>
      <c r="AA141" s="2665"/>
      <c r="AB141" s="2665"/>
      <c r="AC141" s="2665"/>
      <c r="AD141" s="2665"/>
      <c r="AE141" s="2665"/>
    </row>
    <row r="142" spans="6:31" ht="16.5" customHeight="1">
      <c r="F142" s="2665"/>
      <c r="G142" s="2665"/>
      <c r="H142" s="2665"/>
      <c r="I142" s="2665"/>
      <c r="J142" s="2665"/>
      <c r="K142" s="2665"/>
      <c r="L142" s="2665"/>
      <c r="M142" s="2665"/>
      <c r="N142" s="2665"/>
      <c r="O142" s="2665"/>
      <c r="P142" s="2665"/>
      <c r="Q142" s="2665"/>
      <c r="R142" s="2665"/>
      <c r="S142" s="2665"/>
      <c r="T142" s="2665"/>
      <c r="U142" s="2665"/>
      <c r="V142" s="2665"/>
      <c r="W142" s="2665"/>
      <c r="X142" s="2665"/>
      <c r="Y142" s="2665"/>
      <c r="Z142" s="2665"/>
      <c r="AA142" s="2665"/>
      <c r="AB142" s="2665"/>
      <c r="AC142" s="2665"/>
      <c r="AD142" s="2665"/>
      <c r="AE142" s="2665"/>
    </row>
    <row r="143" spans="6:31" ht="16.5" customHeight="1">
      <c r="F143" s="2665"/>
      <c r="G143" s="2665"/>
      <c r="H143" s="2665"/>
      <c r="I143" s="2665"/>
      <c r="J143" s="2665"/>
      <c r="K143" s="2665"/>
      <c r="L143" s="2665"/>
      <c r="M143" s="2665"/>
      <c r="N143" s="2665"/>
      <c r="O143" s="2665"/>
      <c r="P143" s="2665"/>
      <c r="Q143" s="2665"/>
      <c r="R143" s="2665"/>
      <c r="S143" s="2665"/>
      <c r="T143" s="2665"/>
      <c r="U143" s="2665"/>
      <c r="V143" s="2665"/>
      <c r="W143" s="2665"/>
      <c r="X143" s="2665"/>
      <c r="Y143" s="2665"/>
      <c r="Z143" s="2665"/>
      <c r="AA143" s="2665"/>
      <c r="AB143" s="2665"/>
      <c r="AC143" s="2665"/>
      <c r="AD143" s="2665"/>
      <c r="AE143" s="2665"/>
    </row>
    <row r="144" spans="6:31" ht="16.5" customHeight="1">
      <c r="F144" s="2665"/>
      <c r="G144" s="2665"/>
      <c r="H144" s="2665"/>
      <c r="I144" s="2665"/>
      <c r="J144" s="2665"/>
      <c r="K144" s="2665"/>
      <c r="L144" s="2665"/>
      <c r="M144" s="2665"/>
      <c r="N144" s="2665"/>
      <c r="O144" s="2665"/>
      <c r="P144" s="2665"/>
      <c r="Q144" s="2665"/>
      <c r="R144" s="2665"/>
      <c r="S144" s="2665"/>
      <c r="T144" s="2665"/>
      <c r="U144" s="2665"/>
      <c r="V144" s="2665"/>
      <c r="W144" s="2665"/>
      <c r="X144" s="2665"/>
      <c r="Y144" s="2665"/>
      <c r="Z144" s="2665"/>
      <c r="AA144" s="2665"/>
      <c r="AB144" s="2665"/>
      <c r="AC144" s="2665"/>
      <c r="AD144" s="2665"/>
      <c r="AE144" s="2665"/>
    </row>
    <row r="145" spans="6:31" ht="16.5" customHeight="1">
      <c r="F145" s="2665"/>
      <c r="G145" s="2665"/>
      <c r="H145" s="2665"/>
      <c r="I145" s="2665"/>
      <c r="J145" s="2665"/>
      <c r="K145" s="2665"/>
      <c r="L145" s="2665"/>
      <c r="M145" s="2665"/>
      <c r="N145" s="2665"/>
      <c r="O145" s="2665"/>
      <c r="P145" s="2665"/>
      <c r="Q145" s="2665"/>
      <c r="R145" s="2665"/>
      <c r="S145" s="2665"/>
      <c r="T145" s="2665"/>
      <c r="U145" s="2665"/>
      <c r="V145" s="2665"/>
      <c r="W145" s="2665"/>
      <c r="X145" s="2665"/>
      <c r="Y145" s="2665"/>
      <c r="Z145" s="2665"/>
      <c r="AA145" s="2665"/>
      <c r="AB145" s="2665"/>
      <c r="AC145" s="2665"/>
      <c r="AD145" s="2665"/>
      <c r="AE145" s="2665"/>
    </row>
    <row r="146" spans="6:31" ht="16.5" customHeight="1">
      <c r="F146" s="2665"/>
      <c r="G146" s="2665"/>
      <c r="H146" s="2665"/>
      <c r="I146" s="2665"/>
      <c r="J146" s="2665"/>
      <c r="K146" s="2665"/>
      <c r="L146" s="2665"/>
      <c r="M146" s="2665"/>
      <c r="N146" s="2665"/>
      <c r="O146" s="2665"/>
      <c r="P146" s="2665"/>
      <c r="Q146" s="2665"/>
      <c r="R146" s="2665"/>
      <c r="S146" s="2665"/>
      <c r="T146" s="2665"/>
      <c r="U146" s="2665"/>
      <c r="V146" s="2665"/>
      <c r="W146" s="2665"/>
      <c r="X146" s="2665"/>
      <c r="Y146" s="2665"/>
      <c r="Z146" s="2665"/>
      <c r="AA146" s="2665"/>
      <c r="AB146" s="2665"/>
      <c r="AC146" s="2665"/>
      <c r="AD146" s="2665"/>
      <c r="AE146" s="2665"/>
    </row>
    <row r="147" spans="6:31" ht="16.5" customHeight="1">
      <c r="F147" s="2665"/>
      <c r="G147" s="2665"/>
      <c r="H147" s="2665"/>
      <c r="I147" s="2665"/>
      <c r="J147" s="2665"/>
      <c r="K147" s="2665"/>
      <c r="L147" s="2665"/>
      <c r="M147" s="2665"/>
      <c r="N147" s="2665"/>
      <c r="O147" s="2665"/>
      <c r="P147" s="2665"/>
      <c r="Q147" s="2665"/>
      <c r="R147" s="2665"/>
      <c r="S147" s="2665"/>
      <c r="T147" s="2665"/>
      <c r="U147" s="2665"/>
      <c r="V147" s="2665"/>
      <c r="W147" s="2665"/>
      <c r="X147" s="2665"/>
      <c r="Y147" s="2665"/>
      <c r="Z147" s="2665"/>
      <c r="AA147" s="2665"/>
      <c r="AB147" s="2665"/>
      <c r="AC147" s="2665"/>
      <c r="AD147" s="2665"/>
      <c r="AE147" s="2665"/>
    </row>
    <row r="148" spans="6:31" ht="16.5" customHeight="1">
      <c r="F148" s="2665"/>
      <c r="G148" s="2665"/>
      <c r="H148" s="2665"/>
      <c r="I148" s="2665"/>
      <c r="J148" s="2665"/>
      <c r="K148" s="2665"/>
      <c r="L148" s="2665"/>
      <c r="M148" s="2665"/>
      <c r="N148" s="2665"/>
      <c r="O148" s="2665"/>
      <c r="P148" s="2665"/>
      <c r="Q148" s="2665"/>
      <c r="R148" s="2665"/>
      <c r="S148" s="2665"/>
      <c r="T148" s="2665"/>
      <c r="U148" s="2665"/>
      <c r="V148" s="2665"/>
      <c r="W148" s="2665"/>
      <c r="X148" s="2665"/>
      <c r="Y148" s="2665"/>
      <c r="Z148" s="2665"/>
      <c r="AA148" s="2665"/>
      <c r="AB148" s="2665"/>
      <c r="AC148" s="2665"/>
      <c r="AD148" s="2665"/>
      <c r="AE148" s="2665"/>
    </row>
    <row r="149" spans="6:31" ht="16.5" customHeight="1">
      <c r="F149" s="2665"/>
      <c r="G149" s="2665"/>
      <c r="H149" s="2665"/>
      <c r="I149" s="2665"/>
      <c r="J149" s="2665"/>
      <c r="K149" s="2665"/>
      <c r="L149" s="2665"/>
      <c r="M149" s="2665"/>
      <c r="N149" s="2665"/>
      <c r="O149" s="2665"/>
      <c r="P149" s="2665"/>
      <c r="Q149" s="2665"/>
      <c r="R149" s="2665"/>
      <c r="S149" s="2665"/>
      <c r="T149" s="2665"/>
      <c r="U149" s="2665"/>
      <c r="V149" s="2665"/>
      <c r="W149" s="2665"/>
      <c r="X149" s="2665"/>
      <c r="Y149" s="2665"/>
      <c r="Z149" s="2665"/>
      <c r="AA149" s="2665"/>
      <c r="AB149" s="2665"/>
      <c r="AC149" s="2665"/>
      <c r="AD149" s="2665"/>
      <c r="AE149" s="2665"/>
    </row>
    <row r="150" spans="6:31" ht="16.5" customHeight="1">
      <c r="F150" s="2665"/>
      <c r="G150" s="2665"/>
      <c r="H150" s="2665"/>
      <c r="I150" s="2665"/>
      <c r="J150" s="2665"/>
      <c r="K150" s="2665"/>
      <c r="L150" s="2665"/>
      <c r="M150" s="2665"/>
      <c r="N150" s="2665"/>
      <c r="O150" s="2665"/>
      <c r="P150" s="2665"/>
      <c r="Q150" s="2665"/>
      <c r="R150" s="2665"/>
      <c r="S150" s="2665"/>
      <c r="T150" s="2665"/>
      <c r="U150" s="2665"/>
      <c r="V150" s="2665"/>
      <c r="W150" s="2665"/>
      <c r="X150" s="2665"/>
      <c r="Y150" s="2665"/>
      <c r="Z150" s="2665"/>
      <c r="AA150" s="2665"/>
      <c r="AB150" s="2665"/>
      <c r="AC150" s="2665"/>
      <c r="AD150" s="2665"/>
      <c r="AE150" s="2665"/>
    </row>
    <row r="151" ht="16.5" customHeight="1">
      <c r="AE151" s="2665"/>
    </row>
    <row r="152" ht="16.5" customHeight="1">
      <c r="AE152" s="2665"/>
    </row>
    <row r="153" ht="16.5" customHeight="1">
      <c r="AE153" s="2665"/>
    </row>
    <row r="154" ht="16.5" customHeight="1">
      <c r="AE154" s="2665"/>
    </row>
    <row r="155" ht="16.5" customHeight="1"/>
    <row r="156" ht="16.5" customHeight="1"/>
    <row r="157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Diego Alarcon</cp:lastModifiedBy>
  <cp:lastPrinted>2017-02-24T13:38:29Z</cp:lastPrinted>
  <dcterms:created xsi:type="dcterms:W3CDTF">2011-08-01T18:34:41Z</dcterms:created>
  <dcterms:modified xsi:type="dcterms:W3CDTF">2017-07-28T12:27:52Z</dcterms:modified>
  <cp:category/>
  <cp:version/>
  <cp:contentType/>
  <cp:contentStatus/>
</cp:coreProperties>
</file>