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780" activeTab="0"/>
  </bookViews>
  <sheets>
    <sheet name="TOT-0210" sheetId="1" r:id="rId1"/>
    <sheet name="LI-02 (1)" sheetId="2" r:id="rId2"/>
    <sheet name="LI-02 (2)" sheetId="3" r:id="rId3"/>
    <sheet name="T-02 (1)" sheetId="4" r:id="rId4"/>
    <sheet name="T-02 (2)" sheetId="5" r:id="rId5"/>
    <sheet name="SA-02 (1)" sheetId="6" r:id="rId6"/>
    <sheet name="LI-ENECOR-02 (1)" sheetId="7" r:id="rId7"/>
    <sheet name="SUP-ENECOR" sheetId="8" r:id="rId8"/>
    <sheet name="TASA FALLA" sheetId="9" r:id="rId9"/>
  </sheets>
  <externalReferences>
    <externalReference r:id="rId12"/>
  </externalReferences>
  <definedNames>
    <definedName name="_xlnm.Print_Area" localSheetId="8">'TASA FALLA'!$A$1:$T$52</definedName>
    <definedName name="DD" localSheetId="8">'TASA FALLA'!DD</definedName>
    <definedName name="DD">[0]!DD</definedName>
    <definedName name="DDD" localSheetId="8">'TASA FALLA'!DDD</definedName>
    <definedName name="DDD">[0]!DDD</definedName>
    <definedName name="DISTROCUYO" localSheetId="8">'TASA FALLA'!DISTROCUYO</definedName>
    <definedName name="DISTROCUYO">[0]!DISTROCUYO</definedName>
    <definedName name="f" localSheetId="8">'TASA FALLA'!f</definedName>
    <definedName name="f">[0]!f</definedName>
    <definedName name="ggggggggggggggg" localSheetId="8">'TASA FALLA'!ggggggggggggggg</definedName>
    <definedName name="ggggggggggggggg">#N/A</definedName>
    <definedName name="INICIO" localSheetId="8">'TASA FALLA'!INICIO</definedName>
    <definedName name="INICIO">[0]!INICIO</definedName>
    <definedName name="INICIOTI" localSheetId="8">'TASA FALLA'!INICIOTI</definedName>
    <definedName name="INICIOTI">[0]!INICIOTI</definedName>
    <definedName name="LINEAS" localSheetId="8">'TASA FALLA'!LINEAS</definedName>
    <definedName name="LINEAS">[0]!LINEAS</definedName>
    <definedName name="LINEASTI" localSheetId="8">'TASA FALLA'!LINEASTI</definedName>
    <definedName name="LINEASTI">[0]!LINEASTI</definedName>
    <definedName name="NAME_L" localSheetId="8">'TASA FALLA'!NAME_L</definedName>
    <definedName name="NAME_L">[0]!NAME_L</definedName>
    <definedName name="NAME_L_TI" localSheetId="8">'TASA FALLA'!NAME_L_TI</definedName>
    <definedName name="NAME_L_TI">[0]!NAME_L_TI</definedName>
    <definedName name="QITBA">#REF!</definedName>
    <definedName name="TRANSNEA1" localSheetId="8">'TASA FALLA'!TRANSNEA1</definedName>
    <definedName name="TRANSNEA1">[0]!TRANSNEA1</definedName>
    <definedName name="TRANSNEA2" localSheetId="8">'TASA FALLA'!TRANSNEA2</definedName>
    <definedName name="TRANSNEA2">[0]!TRANSNEA2</definedName>
    <definedName name="TRANSNEA3">#N/A</definedName>
    <definedName name="TRANSNEA4">#N/A</definedName>
    <definedName name="TRANSNEA5" localSheetId="8">'TASA FALLA'!TRANSNEA5</definedName>
    <definedName name="TRANSNEA5">[0]!TRANSNEA5</definedName>
    <definedName name="TRANSNEA6" localSheetId="8">'TASA FALLA'!TRANSNEA6</definedName>
    <definedName name="TRANSNEA6">[0]!TRANSNEA6</definedName>
    <definedName name="TRANSNOA" localSheetId="8">'TASA FALLA'!TRANSNOA</definedName>
    <definedName name="TRANSNOA">[0]!TRANSNOA</definedName>
    <definedName name="TRANSPA" localSheetId="8">'TASA FALLA'!TRANSPA</definedName>
    <definedName name="TRANSPA">#N/A</definedName>
    <definedName name="XX" localSheetId="8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<sst xmlns="http://schemas.openxmlformats.org/spreadsheetml/2006/main" count="568" uniqueCount="162">
  <si>
    <t>SISTEMA DE TRANSPORTE DE ENERGÍA ELÉCTRICA POR DISTRIBUCIÓN TRONCAL</t>
  </si>
  <si>
    <t>TRANSNEA S.A.</t>
  </si>
  <si>
    <t>TOTAL</t>
  </si>
  <si>
    <t>km</t>
  </si>
  <si>
    <t>kV</t>
  </si>
  <si>
    <t xml:space="preserve">ENTE NACIONAL REGULADOR </t>
  </si>
  <si>
    <t>DE LA ELECTRICIDAD</t>
  </si>
  <si>
    <t>Sanciones duplicadas por tasa de falla &gt; 4 Sal. x año/100km.</t>
  </si>
  <si>
    <t>1.-</t>
  </si>
  <si>
    <t>LÍNEAS</t>
  </si>
  <si>
    <t>1.1.-</t>
  </si>
  <si>
    <t>Equipamiento propio</t>
  </si>
  <si>
    <t>2.-</t>
  </si>
  <si>
    <t>CONEXIÓN</t>
  </si>
  <si>
    <t>2.1.-</t>
  </si>
  <si>
    <t>Transformación</t>
  </si>
  <si>
    <t>2.2.-</t>
  </si>
  <si>
    <t>Salidas</t>
  </si>
  <si>
    <t>3.-</t>
  </si>
  <si>
    <t xml:space="preserve">TOTAL </t>
  </si>
  <si>
    <t>SISTEMA DE TRANSPORTE DE ENERGÍA ELÉCTRICA POR DISTRIBUCIÓN TRONCAL - TRANSNEA S.A.</t>
  </si>
  <si>
    <t>1.- LÍNEAS</t>
  </si>
  <si>
    <t>1.1.- Líneas propias</t>
  </si>
  <si>
    <t xml:space="preserve">$/100 km-h : LÍNEAS 220 kV </t>
  </si>
  <si>
    <t xml:space="preserve">$/100 km-h : LÍNEAS 132 kV </t>
  </si>
  <si>
    <t>FACTOR DE PENALIZACIÓN K 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</si>
  <si>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</si>
  <si>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</si>
  <si>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</si>
  <si>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</si>
  <si>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</si>
  <si>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</si>
  <si>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</si>
  <si>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 xml:space="preserve">Hs.
Indisp. 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</si>
  <si>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</si>
  <si>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</si>
  <si>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</si>
  <si>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PENALIZAC.
PROGRAM.</t>
  </si>
  <si>
    <t>REDUCC.
PROGRAM.</t>
  </si>
  <si>
    <t>PENALIZACIÓN FORZADA
Por Salida    1ras. 3 hs.  hs. Restantes</t>
  </si>
  <si>
    <t>REDUCC. FORZADA
Por Salida    1ras. 3 hs.  hs. Restantes</t>
  </si>
  <si>
    <t>RESTANTE
FORZADA</t>
  </si>
  <si>
    <t>REDUCC.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</si>
  <si>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</si>
  <si>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</si>
  <si>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</si>
  <si>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</si>
  <si>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</si>
  <si>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Coeficiente de penalización por salida forzada   =</t>
  </si>
  <si>
    <t>ESTACIÓN
TRANSFORMADORA</t>
  </si>
  <si>
    <t>EQUIPO</t>
  </si>
  <si>
    <t>POT.
[MVA]</t>
  </si>
  <si>
    <t>Hs.
Indisp.</t>
  </si>
  <si>
    <t>Mtos.
Indisp.</t>
  </si>
  <si>
    <r>
      <t>Tipo 
Sal.(</t>
    </r>
    <r>
      <rPr>
        <sz val="11"/>
        <rFont val="Wingdings"/>
        <family val="0"/>
      </rPr>
      <t>²</t>
    </r>
    <r>
      <rPr>
        <sz val="11"/>
        <rFont val="MS Sans Serif"/>
        <family val="2"/>
      </rPr>
      <t>)</t>
    </r>
  </si>
  <si>
    <t>AUT.</t>
  </si>
  <si>
    <t>E.N.S.</t>
  </si>
  <si>
    <t>K (P;ENS)</t>
  </si>
  <si>
    <t>PENALIZ.
PROGRAM.</t>
  </si>
  <si>
    <t>PENALIZACIÓN FORZADA
Por Salida    hs. Restantes</t>
  </si>
  <si>
    <t>REDUCC. FORZADA
Por Salida    hs. Restantes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</si>
  <si>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</si>
  <si>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</si>
  <si>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</si>
  <si>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</si>
  <si>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</si>
  <si>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</t>
  </si>
  <si>
    <t>a) Datos</t>
  </si>
  <si>
    <t>Tiempo de servicio =</t>
  </si>
  <si>
    <t>hs</t>
  </si>
  <si>
    <t>Porcentaje por Supervisión  =</t>
  </si>
  <si>
    <r>
      <t>b) 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</si>
  <si>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SEGÚN 1.2.</t>
  </si>
  <si>
    <t>SM =</t>
  </si>
  <si>
    <r>
      <t>c)</t>
    </r>
    <r>
      <rPr>
        <b/>
        <u val="single"/>
        <sz val="11"/>
        <rFont val="Times New Roman"/>
        <family val="1"/>
      </rPr>
      <t xml:space="preserve"> 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</si>
  <si>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</t>
  </si>
  <si>
    <t>RM =</t>
  </si>
  <si>
    <r>
      <t>d) 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</si>
  <si>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</si>
  <si>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</si>
  <si>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t>e) SANCIÓN</t>
  </si>
  <si>
    <t>Sanción Calculada</t>
  </si>
  <si>
    <t>SANCIÓN  =</t>
  </si>
  <si>
    <t>1.3.-</t>
  </si>
  <si>
    <t>3.2.-</t>
  </si>
  <si>
    <t>SUPERVISIÓN</t>
  </si>
  <si>
    <t>3.2.-SUPERVISIÓN - Transportista Independiente E.N.E.C.O.R. S.A.</t>
  </si>
  <si>
    <t>TOTAL A PENALIZAR A TRANSNEA S.A. POR SUPERVISIÓN A  E.N.E.C.O.R. S.A.</t>
  </si>
  <si>
    <t>Transportista Independiente E.N.E.C.O.R. S.A.</t>
  </si>
  <si>
    <t>1.3.-Transportista Independiente - Energía de Corrientes S.A. (E.N.E.C.O.R. S.A.)</t>
  </si>
  <si>
    <t>Por Transformador  [$ / h - MVA]  =</t>
  </si>
  <si>
    <t>2.1.1.-</t>
  </si>
  <si>
    <t>2.2.1.-</t>
  </si>
  <si>
    <t>PASO DE LA PATRIA - STA. CATALINA 1</t>
  </si>
  <si>
    <t>PASO DE LA PATRIA - STA. CATALINA 2</t>
  </si>
  <si>
    <t>132/33/13,2</t>
  </si>
  <si>
    <r>
      <t>RM</t>
    </r>
    <r>
      <rPr>
        <sz val="11"/>
        <rFont val="Times New Roman"/>
        <family val="1"/>
      </rPr>
      <t xml:space="preserve"> por E. E. T.</t>
    </r>
  </si>
  <si>
    <r>
      <t>RM</t>
    </r>
    <r>
      <rPr>
        <sz val="11"/>
        <rFont val="Times New Roman"/>
        <family val="1"/>
      </rPr>
      <t xml:space="preserve"> por Cap. Transporte</t>
    </r>
  </si>
  <si>
    <t>INDISP</t>
  </si>
  <si>
    <t>ID EQUIPO</t>
  </si>
  <si>
    <t xml:space="preserve"> ENTE NACIONAL REGULADOR </t>
  </si>
  <si>
    <t xml:space="preserve">       DE LA ELECTRICIDAD</t>
  </si>
  <si>
    <t>Desde el 01 al 28 de febrero de 2010</t>
  </si>
  <si>
    <t>STA. CATALINA - RESISTENCIA</t>
  </si>
  <si>
    <t>P</t>
  </si>
  <si>
    <t>SI</t>
  </si>
  <si>
    <t>MONTE CASEROS - CHAJARI</t>
  </si>
  <si>
    <t>F</t>
  </si>
  <si>
    <t>BARRANQUERAS - CORRIENTES 2</t>
  </si>
  <si>
    <t>BARRANQUERAS - CORRIENTES 1</t>
  </si>
  <si>
    <t>RESISTENCIA - CORR. CENTRO</t>
  </si>
  <si>
    <t>CORR. CENTRO - STA. CANTALINA</t>
  </si>
  <si>
    <t>PIRANE - FORMOSA</t>
  </si>
  <si>
    <t>PIRANE - IBARRETA</t>
  </si>
  <si>
    <t>BELLA VISTA</t>
  </si>
  <si>
    <t>TRAFO 4</t>
  </si>
  <si>
    <t>R</t>
  </si>
  <si>
    <t>TRAFO 3</t>
  </si>
  <si>
    <t>132/33/13.2</t>
  </si>
  <si>
    <t>CLORINDA</t>
  </si>
  <si>
    <t>TRAFO 2</t>
  </si>
  <si>
    <t>RESISTENCIA NORTE</t>
  </si>
  <si>
    <t>TRAFO 1</t>
  </si>
  <si>
    <t>GOYA</t>
  </si>
  <si>
    <t>BARRANQUERAS</t>
  </si>
  <si>
    <t>TRAFO 9</t>
  </si>
  <si>
    <t>RP</t>
  </si>
  <si>
    <t>SANTA CATALINA</t>
  </si>
  <si>
    <t>TRAFO 5</t>
  </si>
  <si>
    <t>MONTE CASEROS</t>
  </si>
  <si>
    <t>TRAFO</t>
  </si>
  <si>
    <t>132/33/13,3</t>
  </si>
  <si>
    <t>IBARRETA</t>
  </si>
  <si>
    <t>LINEA HERTELENDY</t>
  </si>
  <si>
    <t>LINEA LIBERTAD</t>
  </si>
  <si>
    <t>1° DE MAYO</t>
  </si>
  <si>
    <t>LINEA SAN MARTIN</t>
  </si>
  <si>
    <t>LINEA PILCOMAYO</t>
  </si>
  <si>
    <t>ALIMENT. 1 SALADAS</t>
  </si>
  <si>
    <t>DISTRIBUIDOR 15</t>
  </si>
  <si>
    <t>DISTRIBUIDOR 16</t>
  </si>
  <si>
    <t>GUEMES</t>
  </si>
  <si>
    <t>OESTE</t>
  </si>
  <si>
    <t>ESTE</t>
  </si>
  <si>
    <t>P. DE LA PATRIA - SANTA CATALINA</t>
  </si>
  <si>
    <t>RESISTENCIA - BARRANQUERAS (RESIS. NORTE)</t>
  </si>
  <si>
    <t>SALIDA INDEPENDENCIA 2</t>
  </si>
  <si>
    <t>Valores remuneratorios según  Res. ENRE N° 334/08 y Res. ENRE Nº 72/09</t>
  </si>
  <si>
    <t xml:space="preserve">SISTEMA DE TRANSPORTE DE ENERGÍA ELÉCTRICA POR DISTRIBUCIÓN TRONCAL </t>
  </si>
  <si>
    <t>INDISPONIBILIDADES FORZADAS DE LÍNEAS - TASA DE FALLA</t>
  </si>
  <si>
    <t>Correspondiente al mes de febrero de 2010 (provisoria)</t>
  </si>
  <si>
    <t xml:space="preserve">Longitud Total </t>
  </si>
  <si>
    <t xml:space="preserve">Indisponibilidades Forzadas </t>
  </si>
  <si>
    <t>TASA DE FALLA</t>
  </si>
  <si>
    <t xml:space="preserve"> Valores Provisorios</t>
  </si>
  <si>
    <t>XXXX</t>
  </si>
  <si>
    <t>LINEA NO COMPUTADA EN EL MES</t>
  </si>
  <si>
    <t>TASA  DE FALLA</t>
  </si>
  <si>
    <t>SALIDAS x AÑO / 100 km</t>
  </si>
  <si>
    <t>Coeficiente duplicado por tasa de falla &gt;4</t>
  </si>
  <si>
    <t>TOTAL DE PENALIZACIONES</t>
  </si>
  <si>
    <t>ANEXO II al Memoradnum D.T.E.E. N°  480 /2011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</si>
</sst>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&quot;$&quot;\ #,##0.000;&quot;$&quot;\ \-#,##0.000"/>
    <numFmt numFmtId="180" formatCode="#,##0.0"/>
    <numFmt numFmtId="181" formatCode="0.000"/>
    <numFmt numFmtId="182" formatCode="0.0\ \k\V"/>
    <numFmt numFmtId="183" formatCode="0.00\ &quot;km&quot;"/>
    <numFmt numFmtId="184" formatCode="0.00\ &quot;MVA&quot;"/>
    <numFmt numFmtId="185" formatCode="d/m/yy\ h:mm"/>
    <numFmt numFmtId="186" formatCode="&quot;$&quot;\ #,##0.00"/>
    <numFmt numFmtId="187" formatCode="&quot;$&quot;\ #,##0.000"/>
    <numFmt numFmtId="188" formatCode="mmm\-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0.000_)"/>
    <numFmt numFmtId="201" formatCode="dd/mm/yy"/>
    <numFmt numFmtId="202" formatCode="#,##0;[Red]#,##0"/>
    <numFmt numFmtId="203" formatCode="#,##0.000000"/>
    <numFmt numFmtId="204" formatCode="#&quot;.&quot;#&quot;.-&quot;"/>
    <numFmt numFmtId="205" formatCode="#&quot;.&quot;#&quot;.&quot;#&quot;.-&quot;"/>
    <numFmt numFmtId="206" formatCode="&quot;$&quot;#,##0.00;&quot;$&quot;\-#,##0.00"/>
    <numFmt numFmtId="207" formatCode="&quot;$&quot;#,##0.00"/>
    <numFmt numFmtId="208" formatCode="#,##0.00;[Red]#,##0.00"/>
    <numFmt numFmtId="209" formatCode="&quot;$&quot;\ #,##0.0;&quot;$&quot;\ \-#,##0.0"/>
    <numFmt numFmtId="210" formatCode="&quot;$&quot;\ #,##0.0000;&quot;$&quot;\ \-#,##0.0000"/>
    <numFmt numFmtId="211" formatCode="&quot;$&quot;\ #,##0.00000;&quot;$&quot;\ \-#,##0.00000"/>
    <numFmt numFmtId="212" formatCode="&quot;$&quot;\ #,##0.000000;&quot;$&quot;\ \-#,##0.000000"/>
    <numFmt numFmtId="213" formatCode="&quot;$&quot;#,##0.0;&quot;$&quot;\-#,##0.0"/>
    <numFmt numFmtId="214" formatCode="&quot;$&quot;#,##0;&quot;$&quot;\-#,##0"/>
    <numFmt numFmtId="215" formatCode="&quot;$&quot;\ #,##0.0000000;&quot;$&quot;\ \-#,##0.0000000"/>
    <numFmt numFmtId="216" formatCode="d\-m"/>
    <numFmt numFmtId="217" formatCode="dd/mm/\a\a\a\a\ hh:\n\n"/>
    <numFmt numFmtId="218" formatCode="d\-m\-yy\ h:mm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0.0000"/>
    <numFmt numFmtId="224" formatCode="[$€-2]\ #,##0.00_);[Red]\([$€-2]\ #,##0.00\)"/>
    <numFmt numFmtId="225" formatCode="[$-2C0A]dddd\,\ dd&quot; de &quot;mmmm&quot; de &quot;yyyy"/>
    <numFmt numFmtId="226" formatCode="[$-2C0A]hh:mm:ss\ AM/PM"/>
    <numFmt numFmtId="227" formatCode="&quot;$&quot;\ #,##0.0;[Red]&quot;$&quot;\ \-#,##0.0"/>
  </numFmts>
  <fonts count="9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MS Sans Serif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6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2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1"/>
      <color indexed="12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12"/>
      <name val="Times New Roman"/>
      <family val="0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0"/>
    </font>
    <font>
      <sz val="11"/>
      <color indexed="47"/>
      <name val="MS Sans Serif"/>
      <family val="2"/>
    </font>
    <font>
      <b/>
      <sz val="10"/>
      <color indexed="47"/>
      <name val="Times New Roman"/>
      <family val="0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sz val="11"/>
      <color indexed="9"/>
      <name val="MS Sans Serif"/>
      <family val="2"/>
    </font>
    <font>
      <b/>
      <sz val="10"/>
      <color indexed="9"/>
      <name val="Times New Roman"/>
      <family val="1"/>
    </font>
    <font>
      <sz val="11"/>
      <color indexed="34"/>
      <name val="MS Sans Serif"/>
      <family val="2"/>
    </font>
    <font>
      <b/>
      <sz val="10"/>
      <color indexed="34"/>
      <name val="Times New Roman"/>
      <family val="1"/>
    </font>
    <font>
      <sz val="11"/>
      <color indexed="60"/>
      <name val="MS Sans Serif"/>
      <family val="2"/>
    </font>
    <font>
      <b/>
      <sz val="10"/>
      <color indexed="60"/>
      <name val="Times New Roman"/>
      <family val="0"/>
    </font>
    <font>
      <sz val="11"/>
      <color indexed="26"/>
      <name val="MS Sans Serif"/>
      <family val="2"/>
    </font>
    <font>
      <b/>
      <sz val="10"/>
      <color indexed="26"/>
      <name val="Times New Roman"/>
      <family val="0"/>
    </font>
    <font>
      <sz val="11"/>
      <name val="Wingdings"/>
      <family val="0"/>
    </font>
    <font>
      <b/>
      <i/>
      <sz val="10"/>
      <name val="Times New Roman"/>
      <family val="1"/>
    </font>
    <font>
      <i/>
      <sz val="11"/>
      <name val="Times New Roman"/>
      <family val="1"/>
    </font>
    <font>
      <u val="single"/>
      <sz val="8.5"/>
      <color indexed="12"/>
      <name val="MS Sans Serif"/>
      <family val="0"/>
    </font>
    <font>
      <u val="single"/>
      <sz val="8.5"/>
      <color indexed="36"/>
      <name val="MS Sans Serif"/>
      <family val="0"/>
    </font>
    <font>
      <b/>
      <u val="single"/>
      <sz val="24"/>
      <name val="Times New Roman"/>
      <family val="1"/>
    </font>
    <font>
      <b/>
      <u val="single"/>
      <sz val="8"/>
      <name val="Times New Roman"/>
      <family val="1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"/>
      <family val="0"/>
    </font>
    <font>
      <b/>
      <i/>
      <sz val="12"/>
      <name val="Times New Roman"/>
      <family val="1"/>
    </font>
    <font>
      <b/>
      <sz val="12"/>
      <name val="Arial"/>
      <family val="0"/>
    </font>
    <font>
      <sz val="8.5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4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2" fontId="7" fillId="0" borderId="2" xfId="0" applyNumberFormat="1" applyFont="1" applyBorder="1" applyAlignment="1" applyProtection="1">
      <alignment horizontal="center"/>
      <protection/>
    </xf>
    <xf numFmtId="1" fontId="7" fillId="0" borderId="2" xfId="0" applyNumberFormat="1" applyFont="1" applyBorder="1" applyAlignment="1" applyProtection="1">
      <alignment horizontal="center"/>
      <protection/>
    </xf>
    <xf numFmtId="176" fontId="7" fillId="0" borderId="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2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4" fontId="11" fillId="0" borderId="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8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 quotePrefix="1">
      <alignment horizontal="center"/>
      <protection locked="0"/>
    </xf>
    <xf numFmtId="4" fontId="11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4" fontId="10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 quotePrefix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76" fontId="7" fillId="0" borderId="2" xfId="0" applyNumberFormat="1" applyFont="1" applyFill="1" applyBorder="1" applyAlignment="1" applyProtection="1">
      <alignment horizontal="center"/>
      <protection locked="0"/>
    </xf>
    <xf numFmtId="173" fontId="7" fillId="0" borderId="13" xfId="0" applyNumberFormat="1" applyFont="1" applyBorder="1" applyAlignment="1" applyProtection="1" quotePrefix="1">
      <alignment horizontal="center"/>
      <protection locked="0"/>
    </xf>
    <xf numFmtId="0" fontId="20" fillId="0" borderId="0" xfId="0" applyFont="1" applyBorder="1" applyAlignment="1">
      <alignment/>
    </xf>
    <xf numFmtId="7" fontId="7" fillId="0" borderId="0" xfId="0" applyNumberFormat="1" applyFont="1" applyFill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6" fontId="11" fillId="0" borderId="0" xfId="0" applyNumberFormat="1" applyFont="1" applyBorder="1" applyAlignment="1" applyProtection="1">
      <alignment horizontal="left"/>
      <protection/>
    </xf>
    <xf numFmtId="5" fontId="11" fillId="0" borderId="0" xfId="0" applyNumberFormat="1" applyFont="1" applyFill="1" applyBorder="1" applyAlignment="1">
      <alignment/>
    </xf>
    <xf numFmtId="177" fontId="11" fillId="0" borderId="0" xfId="0" applyNumberFormat="1" applyFont="1" applyBorder="1" applyAlignment="1">
      <alignment horizontal="center"/>
    </xf>
    <xf numFmtId="175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10" fontId="2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75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21" fillId="0" borderId="0" xfId="0" applyFont="1" applyBorder="1" applyAlignment="1" applyProtection="1">
      <alignment horizontal="right"/>
      <protection/>
    </xf>
    <xf numFmtId="7" fontId="8" fillId="0" borderId="15" xfId="0" applyNumberFormat="1" applyFont="1" applyBorder="1" applyAlignment="1">
      <alignment horizontal="center"/>
    </xf>
    <xf numFmtId="176" fontId="11" fillId="0" borderId="0" xfId="0" applyNumberFormat="1" applyFont="1" applyBorder="1" applyAlignment="1" applyProtection="1">
      <alignment horizontal="center"/>
      <protection/>
    </xf>
    <xf numFmtId="176" fontId="11" fillId="0" borderId="0" xfId="0" applyNumberFormat="1" applyFont="1" applyBorder="1" applyAlignment="1" applyProtection="1" quotePrefix="1">
      <alignment horizontal="center"/>
      <protection/>
    </xf>
    <xf numFmtId="2" fontId="25" fillId="0" borderId="0" xfId="0" applyNumberFormat="1" applyFont="1" applyBorder="1" applyAlignment="1">
      <alignment horizontal="center"/>
    </xf>
    <xf numFmtId="176" fontId="26" fillId="0" borderId="0" xfId="0" applyNumberFormat="1" applyFont="1" applyBorder="1" applyAlignment="1" applyProtection="1" quotePrefix="1">
      <alignment horizontal="center"/>
      <protection/>
    </xf>
    <xf numFmtId="4" fontId="26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0" xfId="0" applyNumberFormat="1" applyFont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 applyProtection="1">
      <alignment horizontal="right"/>
      <protection/>
    </xf>
    <xf numFmtId="5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/>
      <protection/>
    </xf>
    <xf numFmtId="7" fontId="11" fillId="0" borderId="0" xfId="0" applyNumberFormat="1" applyFont="1" applyBorder="1" applyAlignment="1">
      <alignment horizontal="right"/>
    </xf>
    <xf numFmtId="5" fontId="27" fillId="0" borderId="0" xfId="0" applyNumberFormat="1" applyFont="1" applyAlignment="1">
      <alignment horizontal="right"/>
    </xf>
    <xf numFmtId="7" fontId="27" fillId="0" borderId="0" xfId="0" applyNumberFormat="1" applyFont="1" applyAlignment="1">
      <alignment horizontal="right"/>
    </xf>
    <xf numFmtId="5" fontId="27" fillId="0" borderId="0" xfId="0" applyNumberFormat="1" applyFont="1" applyBorder="1" applyAlignment="1">
      <alignment horizontal="right"/>
    </xf>
    <xf numFmtId="7" fontId="8" fillId="0" borderId="1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176" fontId="11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Border="1" applyAlignment="1" applyProtection="1">
      <alignment horizontal="right"/>
      <protection/>
    </xf>
    <xf numFmtId="7" fontId="29" fillId="0" borderId="15" xfId="0" applyNumberFormat="1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7" fontId="11" fillId="0" borderId="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30" fillId="0" borderId="0" xfId="0" applyFont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1" xfId="0" applyFont="1" applyBorder="1" applyAlignment="1">
      <alignment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0" fontId="3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31" fillId="0" borderId="0" xfId="0" applyFont="1" applyFill="1" applyBorder="1" applyAlignment="1" applyProtection="1">
      <alignment horizontal="centerContinuous"/>
      <protection/>
    </xf>
    <xf numFmtId="0" fontId="32" fillId="0" borderId="0" xfId="0" applyNumberFormat="1" applyFont="1" applyAlignment="1">
      <alignment horizontal="left"/>
    </xf>
    <xf numFmtId="0" fontId="38" fillId="0" borderId="0" xfId="0" applyFont="1" applyFill="1" applyBorder="1" applyAlignment="1" applyProtection="1">
      <alignment horizontal="left"/>
      <protection/>
    </xf>
    <xf numFmtId="0" fontId="33" fillId="0" borderId="0" xfId="0" applyFont="1" applyBorder="1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7" xfId="0" applyFont="1" applyBorder="1" applyAlignment="1">
      <alignment/>
    </xf>
    <xf numFmtId="0" fontId="28" fillId="0" borderId="8" xfId="0" applyFont="1" applyBorder="1" applyAlignment="1">
      <alignment/>
    </xf>
    <xf numFmtId="0" fontId="17" fillId="0" borderId="9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1" xfId="0" applyFont="1" applyBorder="1" applyAlignment="1">
      <alignment horizontal="centerContinuous"/>
    </xf>
    <xf numFmtId="0" fontId="18" fillId="0" borderId="9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7" fontId="28" fillId="0" borderId="0" xfId="0" applyNumberFormat="1" applyFont="1" applyBorder="1" applyAlignment="1">
      <alignment/>
    </xf>
    <xf numFmtId="176" fontId="28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175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0" fillId="0" borderId="9" xfId="0" applyFont="1" applyBorder="1" applyAlignment="1">
      <alignment/>
    </xf>
    <xf numFmtId="0" fontId="30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 applyProtection="1">
      <alignment horizontal="centerContinuous"/>
      <protection/>
    </xf>
    <xf numFmtId="0" fontId="17" fillId="0" borderId="0" xfId="0" applyFont="1" applyFill="1" applyBorder="1" applyAlignment="1" applyProtection="1" quotePrefix="1">
      <alignment horizontal="centerContinuous"/>
      <protection locked="0"/>
    </xf>
    <xf numFmtId="0" fontId="31" fillId="0" borderId="0" xfId="0" applyFont="1" applyBorder="1" applyAlignment="1" applyProtection="1">
      <alignment horizontal="centerContinuous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2" xfId="0" applyFont="1" applyBorder="1" applyAlignment="1">
      <alignment horizontal="center"/>
    </xf>
    <xf numFmtId="7" fontId="11" fillId="0" borderId="19" xfId="0" applyNumberFormat="1" applyFont="1" applyBorder="1" applyAlignment="1">
      <alignment horizontal="right"/>
    </xf>
    <xf numFmtId="0" fontId="41" fillId="0" borderId="20" xfId="0" applyFont="1" applyBorder="1" applyAlignment="1">
      <alignment horizontal="center" vertical="center"/>
    </xf>
    <xf numFmtId="0" fontId="41" fillId="0" borderId="20" xfId="0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 wrapText="1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16" fontId="41" fillId="0" borderId="20" xfId="0" applyNumberFormat="1" applyFont="1" applyBorder="1" applyAlignment="1" quotePrefix="1">
      <alignment horizontal="center" vertical="center" wrapText="1"/>
    </xf>
    <xf numFmtId="0" fontId="3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Continuous"/>
    </xf>
    <xf numFmtId="0" fontId="20" fillId="0" borderId="0" xfId="0" applyFont="1" applyAlignment="1">
      <alignment/>
    </xf>
    <xf numFmtId="0" fontId="7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Continuous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72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 applyProtection="1">
      <alignment/>
      <protection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9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0" fillId="0" borderId="1" xfId="0" applyFont="1" applyFill="1" applyBorder="1" applyAlignment="1">
      <alignment/>
    </xf>
    <xf numFmtId="0" fontId="30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 quotePrefix="1">
      <alignment horizontal="centerContinuous"/>
    </xf>
    <xf numFmtId="0" fontId="17" fillId="0" borderId="9" xfId="0" applyFont="1" applyFill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43" fillId="0" borderId="0" xfId="0" applyFont="1" applyFill="1" applyBorder="1" applyAlignment="1">
      <alignment horizontal="centerContinuous"/>
    </xf>
    <xf numFmtId="0" fontId="17" fillId="0" borderId="1" xfId="0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 applyProtection="1" quotePrefix="1">
      <alignment horizontal="left"/>
      <protection/>
    </xf>
    <xf numFmtId="0" fontId="0" fillId="0" borderId="22" xfId="0" applyFont="1" applyFill="1" applyBorder="1" applyAlignment="1" applyProtection="1">
      <alignment horizontal="center"/>
      <protection/>
    </xf>
    <xf numFmtId="172" fontId="0" fillId="0" borderId="20" xfId="0" applyNumberFormat="1" applyFont="1" applyFill="1" applyBorder="1" applyAlignment="1" applyProtection="1">
      <alignment horizontal="center"/>
      <protection/>
    </xf>
    <xf numFmtId="0" fontId="41" fillId="0" borderId="20" xfId="0" applyFont="1" applyFill="1" applyBorder="1" applyAlignment="1" applyProtection="1">
      <alignment horizontal="center" vertical="center"/>
      <protection/>
    </xf>
    <xf numFmtId="0" fontId="41" fillId="0" borderId="16" xfId="0" applyFont="1" applyFill="1" applyBorder="1" applyAlignment="1" applyProtection="1">
      <alignment horizontal="center" vertical="center"/>
      <protection/>
    </xf>
    <xf numFmtId="0" fontId="41" fillId="0" borderId="20" xfId="0" applyFont="1" applyFill="1" applyBorder="1" applyAlignment="1" applyProtection="1" quotePrefix="1">
      <alignment horizontal="center" vertical="center" wrapText="1"/>
      <protection/>
    </xf>
    <xf numFmtId="0" fontId="41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 applyProtection="1">
      <alignment horizontal="center" vertical="center" wrapText="1"/>
      <protection/>
    </xf>
    <xf numFmtId="16" fontId="41" fillId="0" borderId="20" xfId="0" applyNumberFormat="1" applyFont="1" applyFill="1" applyBorder="1" applyAlignment="1" quotePrefix="1">
      <alignment horizontal="center" vertical="center" wrapText="1"/>
    </xf>
    <xf numFmtId="0" fontId="23" fillId="0" borderId="2" xfId="0" applyFont="1" applyFill="1" applyBorder="1" applyAlignment="1">
      <alignment/>
    </xf>
    <xf numFmtId="7" fontId="11" fillId="0" borderId="19" xfId="0" applyNumberFormat="1" applyFont="1" applyFill="1" applyBorder="1" applyAlignment="1">
      <alignment horizontal="right"/>
    </xf>
    <xf numFmtId="179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17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left"/>
      <protection/>
    </xf>
    <xf numFmtId="179" fontId="0" fillId="0" borderId="23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/>
    </xf>
    <xf numFmtId="179" fontId="40" fillId="0" borderId="2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" fontId="0" fillId="0" borderId="3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1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9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32" fillId="0" borderId="1" xfId="0" applyFont="1" applyBorder="1" applyAlignment="1">
      <alignment/>
    </xf>
    <xf numFmtId="0" fontId="28" fillId="0" borderId="9" xfId="0" applyFont="1" applyBorder="1" applyAlignment="1">
      <alignment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7" fontId="14" fillId="0" borderId="0" xfId="0" applyNumberFormat="1" applyFont="1" applyBorder="1" applyAlignment="1">
      <alignment horizontal="right"/>
    </xf>
    <xf numFmtId="0" fontId="28" fillId="0" borderId="1" xfId="0" applyFont="1" applyBorder="1" applyAlignment="1">
      <alignment/>
    </xf>
    <xf numFmtId="7" fontId="8" fillId="0" borderId="0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9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 applyProtection="1">
      <alignment horizontal="left" vertical="top"/>
      <protection/>
    </xf>
    <xf numFmtId="0" fontId="47" fillId="0" borderId="0" xfId="0" applyFont="1" applyBorder="1" applyAlignment="1">
      <alignment/>
    </xf>
    <xf numFmtId="0" fontId="47" fillId="0" borderId="9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/>
    </xf>
    <xf numFmtId="2" fontId="47" fillId="0" borderId="0" xfId="0" applyNumberFormat="1" applyFont="1" applyBorder="1" applyAlignment="1" applyProtection="1">
      <alignment horizontal="center"/>
      <protection/>
    </xf>
    <xf numFmtId="176" fontId="47" fillId="0" borderId="0" xfId="0" applyNumberFormat="1" applyFont="1" applyBorder="1" applyAlignment="1" applyProtection="1">
      <alignment horizontal="center"/>
      <protection/>
    </xf>
    <xf numFmtId="176" fontId="47" fillId="0" borderId="0" xfId="0" applyNumberFormat="1" applyFont="1" applyBorder="1" applyAlignment="1" applyProtection="1" quotePrefix="1">
      <alignment horizontal="center"/>
      <protection/>
    </xf>
    <xf numFmtId="2" fontId="50" fillId="0" borderId="0" xfId="0" applyNumberFormat="1" applyFont="1" applyBorder="1" applyAlignment="1">
      <alignment horizontal="center"/>
    </xf>
    <xf numFmtId="176" fontId="51" fillId="0" borderId="0" xfId="0" applyNumberFormat="1" applyFont="1" applyBorder="1" applyAlignment="1" applyProtection="1" quotePrefix="1">
      <alignment horizontal="center"/>
      <protection/>
    </xf>
    <xf numFmtId="4" fontId="51" fillId="0" borderId="0" xfId="0" applyNumberFormat="1" applyFont="1" applyBorder="1" applyAlignment="1">
      <alignment horizontal="center"/>
    </xf>
    <xf numFmtId="7" fontId="52" fillId="0" borderId="0" xfId="0" applyNumberFormat="1" applyFont="1" applyBorder="1" applyAlignment="1">
      <alignment horizontal="right"/>
    </xf>
    <xf numFmtId="2" fontId="47" fillId="0" borderId="1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5" fillId="0" borderId="15" xfId="0" applyFont="1" applyBorder="1" applyAlignment="1" applyProtection="1">
      <alignment horizontal="centerContinuous"/>
      <protection/>
    </xf>
    <xf numFmtId="175" fontId="7" fillId="0" borderId="15" xfId="0" applyNumberFormat="1" applyFont="1" applyBorder="1" applyAlignment="1">
      <alignment horizontal="centerContinuous"/>
    </xf>
    <xf numFmtId="0" fontId="47" fillId="0" borderId="0" xfId="0" applyFont="1" applyFill="1" applyAlignment="1">
      <alignment/>
    </xf>
    <xf numFmtId="0" fontId="47" fillId="0" borderId="9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7" fontId="47" fillId="0" borderId="0" xfId="0" applyNumberFormat="1" applyFont="1" applyFill="1" applyBorder="1" applyAlignment="1">
      <alignment horizontal="center"/>
    </xf>
    <xf numFmtId="7" fontId="52" fillId="0" borderId="0" xfId="0" applyNumberFormat="1" applyFont="1" applyFill="1" applyBorder="1" applyAlignment="1">
      <alignment horizontal="right"/>
    </xf>
    <xf numFmtId="0" fontId="47" fillId="0" borderId="1" xfId="0" applyFont="1" applyFill="1" applyBorder="1" applyAlignment="1">
      <alignment/>
    </xf>
    <xf numFmtId="0" fontId="41" fillId="0" borderId="20" xfId="0" applyFont="1" applyBorder="1" applyAlignment="1">
      <alignment horizontal="center" vertical="center" wrapText="1"/>
    </xf>
    <xf numFmtId="8" fontId="8" fillId="0" borderId="15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>
      <alignment horizontal="centerContinuous"/>
    </xf>
    <xf numFmtId="0" fontId="8" fillId="0" borderId="16" xfId="0" applyFont="1" applyBorder="1" applyAlignment="1" applyProtection="1">
      <alignment horizontal="center"/>
      <protection/>
    </xf>
    <xf numFmtId="5" fontId="8" fillId="0" borderId="16" xfId="0" applyNumberFormat="1" applyFont="1" applyBorder="1" applyAlignment="1" applyProtection="1">
      <alignment horizontal="center"/>
      <protection/>
    </xf>
    <xf numFmtId="0" fontId="8" fillId="0" borderId="16" xfId="0" applyFont="1" applyFill="1" applyBorder="1" applyAlignment="1">
      <alignment horizontal="center"/>
    </xf>
    <xf numFmtId="0" fontId="53" fillId="2" borderId="20" xfId="0" applyFont="1" applyFill="1" applyBorder="1" applyAlignment="1" applyProtection="1">
      <alignment horizontal="center" vertical="center"/>
      <protection/>
    </xf>
    <xf numFmtId="4" fontId="7" fillId="0" borderId="18" xfId="0" applyNumberFormat="1" applyFont="1" applyBorder="1" applyAlignment="1" applyProtection="1">
      <alignment horizontal="center"/>
      <protection locked="0"/>
    </xf>
    <xf numFmtId="0" fontId="55" fillId="2" borderId="16" xfId="0" applyFont="1" applyFill="1" applyBorder="1" applyAlignment="1" applyProtection="1">
      <alignment horizontal="centerContinuous" vertical="center" wrapText="1"/>
      <protection/>
    </xf>
    <xf numFmtId="0" fontId="56" fillId="2" borderId="22" xfId="0" applyFont="1" applyFill="1" applyBorder="1" applyAlignment="1">
      <alignment horizontal="centerContinuous"/>
    </xf>
    <xf numFmtId="0" fontId="55" fillId="2" borderId="15" xfId="0" applyFont="1" applyFill="1" applyBorder="1" applyAlignment="1">
      <alignment horizontal="centerContinuous" vertical="center"/>
    </xf>
    <xf numFmtId="7" fontId="14" fillId="0" borderId="20" xfId="0" applyNumberFormat="1" applyFont="1" applyBorder="1" applyAlignment="1">
      <alignment horizontal="right"/>
    </xf>
    <xf numFmtId="7" fontId="14" fillId="0" borderId="20" xfId="0" applyNumberFormat="1" applyFont="1" applyFill="1" applyBorder="1" applyAlignment="1">
      <alignment horizontal="right"/>
    </xf>
    <xf numFmtId="0" fontId="54" fillId="2" borderId="20" xfId="0" applyFont="1" applyFill="1" applyBorder="1" applyAlignment="1" applyProtection="1">
      <alignment horizontal="center" vertical="center"/>
      <protection/>
    </xf>
    <xf numFmtId="0" fontId="59" fillId="0" borderId="6" xfId="0" applyFont="1" applyBorder="1" applyAlignment="1">
      <alignment/>
    </xf>
    <xf numFmtId="0" fontId="60" fillId="2" borderId="4" xfId="0" applyFont="1" applyFill="1" applyBorder="1" applyAlignment="1">
      <alignment/>
    </xf>
    <xf numFmtId="0" fontId="60" fillId="2" borderId="2" xfId="0" applyFont="1" applyFill="1" applyBorder="1" applyAlignment="1">
      <alignment/>
    </xf>
    <xf numFmtId="176" fontId="60" fillId="2" borderId="2" xfId="0" applyNumberFormat="1" applyFont="1" applyFill="1" applyBorder="1" applyAlignment="1" applyProtection="1">
      <alignment horizontal="center"/>
      <protection/>
    </xf>
    <xf numFmtId="176" fontId="60" fillId="2" borderId="3" xfId="0" applyNumberFormat="1" applyFont="1" applyFill="1" applyBorder="1" applyAlignment="1" applyProtection="1">
      <alignment horizontal="center"/>
      <protection/>
    </xf>
    <xf numFmtId="2" fontId="7" fillId="0" borderId="13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/>
    </xf>
    <xf numFmtId="0" fontId="11" fillId="0" borderId="2" xfId="0" applyFont="1" applyBorder="1" applyAlignment="1">
      <alignment horizontal="right"/>
    </xf>
    <xf numFmtId="0" fontId="61" fillId="3" borderId="20" xfId="0" applyFont="1" applyFill="1" applyBorder="1" applyAlignment="1">
      <alignment horizontal="center" vertical="center" wrapText="1"/>
    </xf>
    <xf numFmtId="0" fontId="62" fillId="3" borderId="20" xfId="0" applyFont="1" applyFill="1" applyBorder="1" applyAlignment="1">
      <alignment/>
    </xf>
    <xf numFmtId="2" fontId="62" fillId="3" borderId="20" xfId="0" applyNumberFormat="1" applyFont="1" applyFill="1" applyBorder="1" applyAlignment="1">
      <alignment horizontal="center"/>
    </xf>
    <xf numFmtId="176" fontId="62" fillId="3" borderId="20" xfId="0" applyNumberFormat="1" applyFont="1" applyFill="1" applyBorder="1" applyAlignment="1" applyProtection="1" quotePrefix="1">
      <alignment horizontal="center"/>
      <protection/>
    </xf>
    <xf numFmtId="0" fontId="63" fillId="4" borderId="20" xfId="0" applyFont="1" applyFill="1" applyBorder="1" applyAlignment="1">
      <alignment horizontal="center" vertical="center" wrapText="1"/>
    </xf>
    <xf numFmtId="2" fontId="64" fillId="4" borderId="20" xfId="0" applyNumberFormat="1" applyFont="1" applyFill="1" applyBorder="1" applyAlignment="1">
      <alignment horizontal="center"/>
    </xf>
    <xf numFmtId="176" fontId="64" fillId="4" borderId="20" xfId="0" applyNumberFormat="1" applyFont="1" applyFill="1" applyBorder="1" applyAlignment="1" applyProtection="1" quotePrefix="1">
      <alignment horizontal="center"/>
      <protection/>
    </xf>
    <xf numFmtId="0" fontId="64" fillId="4" borderId="13" xfId="0" applyFont="1" applyFill="1" applyBorder="1" applyAlignment="1">
      <alignment/>
    </xf>
    <xf numFmtId="2" fontId="64" fillId="4" borderId="13" xfId="0" applyNumberFormat="1" applyFont="1" applyFill="1" applyBorder="1" applyAlignment="1">
      <alignment horizontal="center"/>
    </xf>
    <xf numFmtId="0" fontId="64" fillId="4" borderId="4" xfId="0" applyFont="1" applyFill="1" applyBorder="1" applyAlignment="1">
      <alignment/>
    </xf>
    <xf numFmtId="176" fontId="64" fillId="4" borderId="24" xfId="0" applyNumberFormat="1" applyFont="1" applyFill="1" applyBorder="1" applyAlignment="1" applyProtection="1" quotePrefix="1">
      <alignment horizontal="center"/>
      <protection/>
    </xf>
    <xf numFmtId="0" fontId="58" fillId="2" borderId="25" xfId="0" applyFont="1" applyFill="1" applyBorder="1" applyAlignment="1">
      <alignment horizontal="center"/>
    </xf>
    <xf numFmtId="0" fontId="58" fillId="2" borderId="26" xfId="0" applyFont="1" applyFill="1" applyBorder="1" applyAlignment="1">
      <alignment/>
    </xf>
    <xf numFmtId="0" fontId="58" fillId="2" borderId="17" xfId="0" applyFont="1" applyFill="1" applyBorder="1" applyAlignment="1">
      <alignment/>
    </xf>
    <xf numFmtId="0" fontId="58" fillId="2" borderId="27" xfId="0" applyFont="1" applyFill="1" applyBorder="1" applyAlignment="1">
      <alignment horizontal="center"/>
    </xf>
    <xf numFmtId="0" fontId="58" fillId="2" borderId="28" xfId="0" applyFont="1" applyFill="1" applyBorder="1" applyAlignment="1">
      <alignment/>
    </xf>
    <xf numFmtId="0" fontId="58" fillId="2" borderId="18" xfId="0" applyFont="1" applyFill="1" applyBorder="1" applyAlignment="1">
      <alignment/>
    </xf>
    <xf numFmtId="176" fontId="58" fillId="2" borderId="27" xfId="0" applyNumberFormat="1" applyFont="1" applyFill="1" applyBorder="1" applyAlignment="1" applyProtection="1" quotePrefix="1">
      <alignment horizontal="center"/>
      <protection/>
    </xf>
    <xf numFmtId="176" fontId="58" fillId="2" borderId="28" xfId="0" applyNumberFormat="1" applyFont="1" applyFill="1" applyBorder="1" applyAlignment="1" applyProtection="1" quotePrefix="1">
      <alignment horizontal="center"/>
      <protection/>
    </xf>
    <xf numFmtId="4" fontId="58" fillId="2" borderId="18" xfId="0" applyNumberFormat="1" applyFont="1" applyFill="1" applyBorder="1" applyAlignment="1">
      <alignment horizontal="center"/>
    </xf>
    <xf numFmtId="176" fontId="58" fillId="2" borderId="29" xfId="0" applyNumberFormat="1" applyFont="1" applyFill="1" applyBorder="1" applyAlignment="1" applyProtection="1" quotePrefix="1">
      <alignment horizontal="center"/>
      <protection/>
    </xf>
    <xf numFmtId="4" fontId="58" fillId="2" borderId="30" xfId="0" applyNumberFormat="1" applyFont="1" applyFill="1" applyBorder="1" applyAlignment="1">
      <alignment horizontal="center"/>
    </xf>
    <xf numFmtId="4" fontId="58" fillId="2" borderId="31" xfId="0" applyNumberFormat="1" applyFont="1" applyFill="1" applyBorder="1" applyAlignment="1">
      <alignment horizontal="center"/>
    </xf>
    <xf numFmtId="176" fontId="58" fillId="2" borderId="20" xfId="0" applyNumberFormat="1" applyFont="1" applyFill="1" applyBorder="1" applyAlignment="1" applyProtection="1" quotePrefix="1">
      <alignment horizontal="center"/>
      <protection/>
    </xf>
    <xf numFmtId="0" fontId="65" fillId="5" borderId="16" xfId="0" applyFont="1" applyFill="1" applyBorder="1" applyAlignment="1" applyProtection="1">
      <alignment horizontal="centerContinuous" vertical="center" wrapText="1"/>
      <protection/>
    </xf>
    <xf numFmtId="0" fontId="65" fillId="5" borderId="22" xfId="0" applyFont="1" applyFill="1" applyBorder="1" applyAlignment="1">
      <alignment horizontal="centerContinuous" vertical="center"/>
    </xf>
    <xf numFmtId="0" fontId="65" fillId="5" borderId="15" xfId="0" applyFont="1" applyFill="1" applyBorder="1" applyAlignment="1">
      <alignment horizontal="centerContinuous" vertical="center"/>
    </xf>
    <xf numFmtId="0" fontId="66" fillId="5" borderId="25" xfId="0" applyFont="1" applyFill="1" applyBorder="1" applyAlignment="1">
      <alignment/>
    </xf>
    <xf numFmtId="0" fontId="66" fillId="5" borderId="32" xfId="0" applyFont="1" applyFill="1" applyBorder="1" applyAlignment="1">
      <alignment/>
    </xf>
    <xf numFmtId="0" fontId="66" fillId="5" borderId="33" xfId="0" applyFont="1" applyFill="1" applyBorder="1" applyAlignment="1">
      <alignment/>
    </xf>
    <xf numFmtId="0" fontId="66" fillId="5" borderId="27" xfId="0" applyFont="1" applyFill="1" applyBorder="1" applyAlignment="1">
      <alignment/>
    </xf>
    <xf numFmtId="0" fontId="66" fillId="5" borderId="34" xfId="0" applyFont="1" applyFill="1" applyBorder="1" applyAlignment="1">
      <alignment/>
    </xf>
    <xf numFmtId="0" fontId="66" fillId="5" borderId="35" xfId="0" applyFont="1" applyFill="1" applyBorder="1" applyAlignment="1">
      <alignment/>
    </xf>
    <xf numFmtId="176" fontId="66" fillId="5" borderId="27" xfId="0" applyNumberFormat="1" applyFont="1" applyFill="1" applyBorder="1" applyAlignment="1" applyProtection="1" quotePrefix="1">
      <alignment horizontal="center"/>
      <protection/>
    </xf>
    <xf numFmtId="176" fontId="66" fillId="5" borderId="28" xfId="0" applyNumberFormat="1" applyFont="1" applyFill="1" applyBorder="1" applyAlignment="1" applyProtection="1" quotePrefix="1">
      <alignment horizontal="center"/>
      <protection/>
    </xf>
    <xf numFmtId="4" fontId="66" fillId="5" borderId="18" xfId="0" applyNumberFormat="1" applyFont="1" applyFill="1" applyBorder="1" applyAlignment="1">
      <alignment horizontal="center"/>
    </xf>
    <xf numFmtId="4" fontId="66" fillId="5" borderId="29" xfId="0" applyNumberFormat="1" applyFont="1" applyFill="1" applyBorder="1" applyAlignment="1">
      <alignment horizontal="center"/>
    </xf>
    <xf numFmtId="4" fontId="66" fillId="5" borderId="36" xfId="0" applyNumberFormat="1" applyFont="1" applyFill="1" applyBorder="1" applyAlignment="1">
      <alignment horizontal="center"/>
    </xf>
    <xf numFmtId="4" fontId="66" fillId="5" borderId="37" xfId="0" applyNumberFormat="1" applyFont="1" applyFill="1" applyBorder="1" applyAlignment="1">
      <alignment horizontal="center"/>
    </xf>
    <xf numFmtId="176" fontId="66" fillId="5" borderId="20" xfId="0" applyNumberFormat="1" applyFont="1" applyFill="1" applyBorder="1" applyAlignment="1" applyProtection="1" quotePrefix="1">
      <alignment horizontal="center"/>
      <protection/>
    </xf>
    <xf numFmtId="0" fontId="67" fillId="6" borderId="20" xfId="0" applyFont="1" applyFill="1" applyBorder="1" applyAlignment="1">
      <alignment horizontal="center" vertical="center" wrapText="1"/>
    </xf>
    <xf numFmtId="0" fontId="68" fillId="6" borderId="4" xfId="0" applyFont="1" applyFill="1" applyBorder="1" applyAlignment="1">
      <alignment/>
    </xf>
    <xf numFmtId="0" fontId="68" fillId="6" borderId="2" xfId="0" applyFont="1" applyFill="1" applyBorder="1" applyAlignment="1">
      <alignment/>
    </xf>
    <xf numFmtId="4" fontId="68" fillId="6" borderId="2" xfId="0" applyNumberFormat="1" applyFont="1" applyFill="1" applyBorder="1" applyAlignment="1">
      <alignment horizontal="center"/>
    </xf>
    <xf numFmtId="4" fontId="68" fillId="6" borderId="3" xfId="0" applyNumberFormat="1" applyFont="1" applyFill="1" applyBorder="1" applyAlignment="1">
      <alignment horizontal="center"/>
    </xf>
    <xf numFmtId="176" fontId="68" fillId="6" borderId="20" xfId="0" applyNumberFormat="1" applyFont="1" applyFill="1" applyBorder="1" applyAlignment="1" applyProtection="1" quotePrefix="1">
      <alignment horizontal="center"/>
      <protection/>
    </xf>
    <xf numFmtId="0" fontId="65" fillId="7" borderId="20" xfId="0" applyFont="1" applyFill="1" applyBorder="1" applyAlignment="1">
      <alignment horizontal="center" vertical="center" wrapText="1"/>
    </xf>
    <xf numFmtId="0" fontId="66" fillId="7" borderId="4" xfId="0" applyFont="1" applyFill="1" applyBorder="1" applyAlignment="1">
      <alignment/>
    </xf>
    <xf numFmtId="0" fontId="66" fillId="7" borderId="2" xfId="0" applyFont="1" applyFill="1" applyBorder="1" applyAlignment="1">
      <alignment/>
    </xf>
    <xf numFmtId="4" fontId="66" fillId="7" borderId="2" xfId="0" applyNumberFormat="1" applyFont="1" applyFill="1" applyBorder="1" applyAlignment="1">
      <alignment horizontal="center"/>
    </xf>
    <xf numFmtId="4" fontId="66" fillId="7" borderId="3" xfId="0" applyNumberFormat="1" applyFont="1" applyFill="1" applyBorder="1" applyAlignment="1">
      <alignment horizontal="center"/>
    </xf>
    <xf numFmtId="176" fontId="66" fillId="7" borderId="20" xfId="0" applyNumberFormat="1" applyFont="1" applyFill="1" applyBorder="1" applyAlignment="1" applyProtection="1" quotePrefix="1">
      <alignment horizontal="center"/>
      <protection/>
    </xf>
    <xf numFmtId="0" fontId="60" fillId="2" borderId="3" xfId="0" applyFont="1" applyFill="1" applyBorder="1" applyAlignment="1">
      <alignment/>
    </xf>
    <xf numFmtId="176" fontId="7" fillId="0" borderId="2" xfId="0" applyNumberFormat="1" applyFont="1" applyFill="1" applyBorder="1" applyAlignment="1" applyProtection="1" quotePrefix="1">
      <alignment horizontal="center"/>
      <protection locked="0"/>
    </xf>
    <xf numFmtId="0" fontId="54" fillId="5" borderId="20" xfId="0" applyFont="1" applyFill="1" applyBorder="1" applyAlignment="1" applyProtection="1">
      <alignment horizontal="center" vertical="center"/>
      <protection/>
    </xf>
    <xf numFmtId="0" fontId="57" fillId="5" borderId="4" xfId="0" applyFont="1" applyFill="1" applyBorder="1" applyAlignment="1">
      <alignment/>
    </xf>
    <xf numFmtId="0" fontId="57" fillId="5" borderId="2" xfId="0" applyFont="1" applyFill="1" applyBorder="1" applyAlignment="1">
      <alignment/>
    </xf>
    <xf numFmtId="4" fontId="57" fillId="5" borderId="2" xfId="0" applyNumberFormat="1" applyFont="1" applyFill="1" applyBorder="1" applyAlignment="1" applyProtection="1">
      <alignment horizontal="center"/>
      <protection/>
    </xf>
    <xf numFmtId="0" fontId="57" fillId="5" borderId="3" xfId="0" applyFont="1" applyFill="1" applyBorder="1" applyAlignment="1">
      <alignment/>
    </xf>
    <xf numFmtId="0" fontId="63" fillId="8" borderId="20" xfId="0" applyFont="1" applyFill="1" applyBorder="1" applyAlignment="1">
      <alignment horizontal="center" vertical="center" wrapText="1"/>
    </xf>
    <xf numFmtId="0" fontId="64" fillId="8" borderId="4" xfId="0" applyFont="1" applyFill="1" applyBorder="1" applyAlignment="1">
      <alignment/>
    </xf>
    <xf numFmtId="0" fontId="64" fillId="8" borderId="2" xfId="0" applyFont="1" applyFill="1" applyBorder="1" applyAlignment="1">
      <alignment/>
    </xf>
    <xf numFmtId="2" fontId="64" fillId="8" borderId="2" xfId="0" applyNumberFormat="1" applyFont="1" applyFill="1" applyBorder="1" applyAlignment="1">
      <alignment horizontal="center"/>
    </xf>
    <xf numFmtId="0" fontId="64" fillId="8" borderId="3" xfId="0" applyFont="1" applyFill="1" applyBorder="1" applyAlignment="1">
      <alignment/>
    </xf>
    <xf numFmtId="7" fontId="64" fillId="8" borderId="20" xfId="0" applyNumberFormat="1" applyFont="1" applyFill="1" applyBorder="1" applyAlignment="1">
      <alignment horizontal="center"/>
    </xf>
    <xf numFmtId="0" fontId="69" fillId="9" borderId="20" xfId="0" applyFont="1" applyFill="1" applyBorder="1" applyAlignment="1">
      <alignment horizontal="center" vertical="center" wrapText="1"/>
    </xf>
    <xf numFmtId="0" fontId="70" fillId="9" borderId="4" xfId="0" applyFont="1" applyFill="1" applyBorder="1" applyAlignment="1">
      <alignment/>
    </xf>
    <xf numFmtId="0" fontId="70" fillId="9" borderId="2" xfId="0" applyFont="1" applyFill="1" applyBorder="1" applyAlignment="1">
      <alignment/>
    </xf>
    <xf numFmtId="2" fontId="70" fillId="9" borderId="2" xfId="0" applyNumberFormat="1" applyFont="1" applyFill="1" applyBorder="1" applyAlignment="1">
      <alignment horizontal="center"/>
    </xf>
    <xf numFmtId="0" fontId="70" fillId="9" borderId="38" xfId="0" applyFont="1" applyFill="1" applyBorder="1" applyAlignment="1">
      <alignment/>
    </xf>
    <xf numFmtId="7" fontId="70" fillId="9" borderId="20" xfId="0" applyNumberFormat="1" applyFont="1" applyFill="1" applyBorder="1" applyAlignment="1">
      <alignment horizontal="center"/>
    </xf>
    <xf numFmtId="0" fontId="41" fillId="0" borderId="0" xfId="0" applyFont="1" applyFill="1" applyAlignment="1">
      <alignment vertical="center"/>
    </xf>
    <xf numFmtId="0" fontId="41" fillId="0" borderId="9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71" fillId="10" borderId="16" xfId="0" applyFont="1" applyFill="1" applyBorder="1" applyAlignment="1" applyProtection="1">
      <alignment horizontal="centerContinuous" vertical="center" wrapText="1"/>
      <protection/>
    </xf>
    <xf numFmtId="0" fontId="71" fillId="10" borderId="15" xfId="0" applyFont="1" applyFill="1" applyBorder="1" applyAlignment="1">
      <alignment horizontal="centerContinuous" vertical="center"/>
    </xf>
    <xf numFmtId="0" fontId="72" fillId="10" borderId="25" xfId="0" applyFont="1" applyFill="1" applyBorder="1" applyAlignment="1">
      <alignment horizontal="center"/>
    </xf>
    <xf numFmtId="0" fontId="72" fillId="10" borderId="17" xfId="0" applyFont="1" applyFill="1" applyBorder="1" applyAlignment="1">
      <alignment/>
    </xf>
    <xf numFmtId="0" fontId="72" fillId="10" borderId="27" xfId="0" applyFont="1" applyFill="1" applyBorder="1" applyAlignment="1">
      <alignment horizontal="center"/>
    </xf>
    <xf numFmtId="0" fontId="72" fillId="10" borderId="18" xfId="0" applyFont="1" applyFill="1" applyBorder="1" applyAlignment="1">
      <alignment/>
    </xf>
    <xf numFmtId="176" fontId="72" fillId="10" borderId="27" xfId="0" applyNumberFormat="1" applyFont="1" applyFill="1" applyBorder="1" applyAlignment="1" applyProtection="1" quotePrefix="1">
      <alignment horizontal="center"/>
      <protection/>
    </xf>
    <xf numFmtId="176" fontId="72" fillId="10" borderId="35" xfId="0" applyNumberFormat="1" applyFont="1" applyFill="1" applyBorder="1" applyAlignment="1" applyProtection="1" quotePrefix="1">
      <alignment horizontal="center"/>
      <protection/>
    </xf>
    <xf numFmtId="7" fontId="72" fillId="10" borderId="20" xfId="0" applyNumberFormat="1" applyFont="1" applyFill="1" applyBorder="1" applyAlignment="1">
      <alignment horizontal="center"/>
    </xf>
    <xf numFmtId="0" fontId="63" fillId="11" borderId="16" xfId="0" applyFont="1" applyFill="1" applyBorder="1" applyAlignment="1" applyProtection="1">
      <alignment horizontal="centerContinuous" vertical="center" wrapText="1"/>
      <protection/>
    </xf>
    <xf numFmtId="0" fontId="64" fillId="11" borderId="25" xfId="0" applyFont="1" applyFill="1" applyBorder="1" applyAlignment="1">
      <alignment/>
    </xf>
    <xf numFmtId="0" fontId="64" fillId="11" borderId="33" xfId="0" applyFont="1" applyFill="1" applyBorder="1" applyAlignment="1">
      <alignment/>
    </xf>
    <xf numFmtId="0" fontId="64" fillId="11" borderId="39" xfId="0" applyFont="1" applyFill="1" applyBorder="1" applyAlignment="1">
      <alignment/>
    </xf>
    <xf numFmtId="0" fontId="64" fillId="11" borderId="40" xfId="0" applyFont="1" applyFill="1" applyBorder="1" applyAlignment="1">
      <alignment/>
    </xf>
    <xf numFmtId="176" fontId="64" fillId="11" borderId="39" xfId="0" applyNumberFormat="1" applyFont="1" applyFill="1" applyBorder="1" applyAlignment="1" applyProtection="1" quotePrefix="1">
      <alignment horizontal="center"/>
      <protection/>
    </xf>
    <xf numFmtId="176" fontId="64" fillId="11" borderId="40" xfId="0" applyNumberFormat="1" applyFont="1" applyFill="1" applyBorder="1" applyAlignment="1" applyProtection="1" quotePrefix="1">
      <alignment horizontal="center"/>
      <protection/>
    </xf>
    <xf numFmtId="176" fontId="64" fillId="11" borderId="41" xfId="0" applyNumberFormat="1" applyFont="1" applyFill="1" applyBorder="1" applyAlignment="1" applyProtection="1" quotePrefix="1">
      <alignment horizontal="center"/>
      <protection/>
    </xf>
    <xf numFmtId="176" fontId="64" fillId="11" borderId="42" xfId="0" applyNumberFormat="1" applyFont="1" applyFill="1" applyBorder="1" applyAlignment="1" applyProtection="1" quotePrefix="1">
      <alignment horizontal="center"/>
      <protection/>
    </xf>
    <xf numFmtId="7" fontId="64" fillId="11" borderId="20" xfId="0" applyNumberFormat="1" applyFont="1" applyFill="1" applyBorder="1" applyAlignment="1">
      <alignment horizontal="center"/>
    </xf>
    <xf numFmtId="0" fontId="65" fillId="12" borderId="20" xfId="0" applyFont="1" applyFill="1" applyBorder="1" applyAlignment="1">
      <alignment horizontal="center" vertical="center" wrapText="1"/>
    </xf>
    <xf numFmtId="0" fontId="69" fillId="4" borderId="20" xfId="0" applyFont="1" applyFill="1" applyBorder="1" applyAlignment="1">
      <alignment horizontal="center" vertical="center" wrapText="1"/>
    </xf>
    <xf numFmtId="0" fontId="70" fillId="4" borderId="17" xfId="0" applyFont="1" applyFill="1" applyBorder="1" applyAlignment="1">
      <alignment/>
    </xf>
    <xf numFmtId="0" fontId="70" fillId="4" borderId="18" xfId="0" applyFont="1" applyFill="1" applyBorder="1" applyAlignment="1">
      <alignment/>
    </xf>
    <xf numFmtId="176" fontId="70" fillId="4" borderId="40" xfId="0" applyNumberFormat="1" applyFont="1" applyFill="1" applyBorder="1" applyAlignment="1" applyProtection="1" quotePrefix="1">
      <alignment horizontal="center"/>
      <protection/>
    </xf>
    <xf numFmtId="176" fontId="70" fillId="4" borderId="31" xfId="0" applyNumberFormat="1" applyFont="1" applyFill="1" applyBorder="1" applyAlignment="1" applyProtection="1" quotePrefix="1">
      <alignment horizontal="center"/>
      <protection/>
    </xf>
    <xf numFmtId="0" fontId="66" fillId="12" borderId="4" xfId="0" applyFont="1" applyFill="1" applyBorder="1" applyAlignment="1">
      <alignment/>
    </xf>
    <xf numFmtId="0" fontId="66" fillId="12" borderId="2" xfId="0" applyFont="1" applyFill="1" applyBorder="1" applyAlignment="1">
      <alignment/>
    </xf>
    <xf numFmtId="176" fontId="66" fillId="12" borderId="2" xfId="0" applyNumberFormat="1" applyFont="1" applyFill="1" applyBorder="1" applyAlignment="1" applyProtection="1" quotePrefix="1">
      <alignment horizontal="center"/>
      <protection/>
    </xf>
    <xf numFmtId="176" fontId="66" fillId="12" borderId="3" xfId="0" applyNumberFormat="1" applyFont="1" applyFill="1" applyBorder="1" applyAlignment="1" applyProtection="1" quotePrefix="1">
      <alignment horizontal="center"/>
      <protection/>
    </xf>
    <xf numFmtId="0" fontId="63" fillId="11" borderId="15" xfId="0" applyFont="1" applyFill="1" applyBorder="1" applyAlignment="1">
      <alignment horizontal="centerContinuous" vertical="center"/>
    </xf>
    <xf numFmtId="7" fontId="66" fillId="12" borderId="20" xfId="0" applyNumberFormat="1" applyFont="1" applyFill="1" applyBorder="1" applyAlignment="1">
      <alignment horizontal="center"/>
    </xf>
    <xf numFmtId="7" fontId="70" fillId="4" borderId="20" xfId="0" applyNumberFormat="1" applyFont="1" applyFill="1" applyBorder="1" applyAlignment="1">
      <alignment horizontal="center"/>
    </xf>
    <xf numFmtId="176" fontId="72" fillId="10" borderId="37" xfId="0" applyNumberFormat="1" applyFont="1" applyFill="1" applyBorder="1" applyAlignment="1" applyProtection="1" quotePrefix="1">
      <alignment horizontal="center"/>
      <protection/>
    </xf>
    <xf numFmtId="176" fontId="72" fillId="10" borderId="29" xfId="0" applyNumberFormat="1" applyFont="1" applyFill="1" applyBorder="1" applyAlignment="1" applyProtection="1" quotePrefix="1">
      <alignment horizontal="center"/>
      <protection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Continuous"/>
    </xf>
    <xf numFmtId="0" fontId="7" fillId="0" borderId="13" xfId="0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180" fontId="10" fillId="0" borderId="13" xfId="0" applyNumberFormat="1" applyFont="1" applyFill="1" applyBorder="1" applyAlignment="1" applyProtection="1">
      <alignment horizontal="center"/>
      <protection locked="0"/>
    </xf>
    <xf numFmtId="2" fontId="7" fillId="0" borderId="1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 quotePrefix="1">
      <alignment horizontal="center"/>
      <protection/>
    </xf>
    <xf numFmtId="176" fontId="7" fillId="0" borderId="13" xfId="0" applyNumberFormat="1" applyFont="1" applyFill="1" applyBorder="1" applyAlignment="1" applyProtection="1">
      <alignment horizontal="center"/>
      <protection locked="0"/>
    </xf>
    <xf numFmtId="176" fontId="7" fillId="0" borderId="13" xfId="0" applyNumberFormat="1" applyFont="1" applyFill="1" applyBorder="1" applyAlignment="1" applyProtection="1" quotePrefix="1">
      <alignment horizontal="center"/>
      <protection locked="0"/>
    </xf>
    <xf numFmtId="4" fontId="11" fillId="0" borderId="13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57" fillId="2" borderId="4" xfId="0" applyFont="1" applyFill="1" applyBorder="1" applyAlignment="1">
      <alignment horizontal="center"/>
    </xf>
    <xf numFmtId="0" fontId="57" fillId="2" borderId="13" xfId="0" applyFont="1" applyFill="1" applyBorder="1" applyAlignment="1">
      <alignment horizontal="center"/>
    </xf>
    <xf numFmtId="172" fontId="57" fillId="2" borderId="13" xfId="0" applyNumberFormat="1" applyFont="1" applyFill="1" applyBorder="1" applyAlignment="1" applyProtection="1">
      <alignment horizontal="center"/>
      <protection/>
    </xf>
    <xf numFmtId="0" fontId="57" fillId="2" borderId="24" xfId="0" applyFont="1" applyFill="1" applyBorder="1" applyAlignment="1">
      <alignment/>
    </xf>
    <xf numFmtId="0" fontId="65" fillId="11" borderId="20" xfId="0" applyFont="1" applyFill="1" applyBorder="1" applyAlignment="1">
      <alignment horizontal="center" vertical="center" wrapText="1"/>
    </xf>
    <xf numFmtId="0" fontId="66" fillId="11" borderId="4" xfId="0" applyFont="1" applyFill="1" applyBorder="1" applyAlignment="1">
      <alignment horizontal="center"/>
    </xf>
    <xf numFmtId="0" fontId="66" fillId="11" borderId="13" xfId="0" applyFont="1" applyFill="1" applyBorder="1" applyAlignment="1">
      <alignment horizontal="center"/>
    </xf>
    <xf numFmtId="2" fontId="66" fillId="11" borderId="13" xfId="0" applyNumberFormat="1" applyFont="1" applyFill="1" applyBorder="1" applyAlignment="1">
      <alignment horizontal="center"/>
    </xf>
    <xf numFmtId="0" fontId="66" fillId="11" borderId="24" xfId="0" applyFont="1" applyFill="1" applyBorder="1" applyAlignment="1">
      <alignment/>
    </xf>
    <xf numFmtId="2" fontId="66" fillId="11" borderId="20" xfId="0" applyNumberFormat="1" applyFont="1" applyFill="1" applyBorder="1" applyAlignment="1">
      <alignment horizontal="center"/>
    </xf>
    <xf numFmtId="0" fontId="63" fillId="4" borderId="16" xfId="0" applyFont="1" applyFill="1" applyBorder="1" applyAlignment="1" applyProtection="1">
      <alignment horizontal="centerContinuous" vertical="center" wrapText="1"/>
      <protection/>
    </xf>
    <xf numFmtId="0" fontId="40" fillId="4" borderId="15" xfId="0" applyFont="1" applyFill="1" applyBorder="1" applyAlignment="1">
      <alignment horizontal="centerContinuous"/>
    </xf>
    <xf numFmtId="176" fontId="64" fillId="4" borderId="25" xfId="0" applyNumberFormat="1" applyFont="1" applyFill="1" applyBorder="1" applyAlignment="1" applyProtection="1" quotePrefix="1">
      <alignment horizontal="center"/>
      <protection/>
    </xf>
    <xf numFmtId="176" fontId="64" fillId="4" borderId="33" xfId="0" applyNumberFormat="1" applyFont="1" applyFill="1" applyBorder="1" applyAlignment="1" applyProtection="1" quotePrefix="1">
      <alignment horizontal="center"/>
      <protection/>
    </xf>
    <xf numFmtId="176" fontId="64" fillId="4" borderId="39" xfId="0" applyNumberFormat="1" applyFont="1" applyFill="1" applyBorder="1" applyAlignment="1" applyProtection="1" quotePrefix="1">
      <alignment horizontal="center"/>
      <protection/>
    </xf>
    <xf numFmtId="176" fontId="64" fillId="4" borderId="40" xfId="0" applyNumberFormat="1" applyFont="1" applyFill="1" applyBorder="1" applyAlignment="1" applyProtection="1" quotePrefix="1">
      <alignment horizontal="center"/>
      <protection/>
    </xf>
    <xf numFmtId="176" fontId="64" fillId="4" borderId="41" xfId="0" applyNumberFormat="1" applyFont="1" applyFill="1" applyBorder="1" applyAlignment="1" applyProtection="1" quotePrefix="1">
      <alignment horizontal="center"/>
      <protection/>
    </xf>
    <xf numFmtId="176" fontId="64" fillId="4" borderId="42" xfId="0" applyNumberFormat="1" applyFont="1" applyFill="1" applyBorder="1" applyAlignment="1" applyProtection="1" quotePrefix="1">
      <alignment horizontal="center"/>
      <protection/>
    </xf>
    <xf numFmtId="176" fontId="64" fillId="8" borderId="4" xfId="0" applyNumberFormat="1" applyFont="1" applyFill="1" applyBorder="1" applyAlignment="1" applyProtection="1" quotePrefix="1">
      <alignment horizontal="center"/>
      <protection/>
    </xf>
    <xf numFmtId="176" fontId="64" fillId="8" borderId="13" xfId="0" applyNumberFormat="1" applyFont="1" applyFill="1" applyBorder="1" applyAlignment="1" applyProtection="1" quotePrefix="1">
      <alignment horizontal="center"/>
      <protection/>
    </xf>
    <xf numFmtId="176" fontId="64" fillId="8" borderId="24" xfId="0" applyNumberFormat="1" applyFont="1" applyFill="1" applyBorder="1" applyAlignment="1" applyProtection="1" quotePrefix="1">
      <alignment horizontal="center"/>
      <protection/>
    </xf>
    <xf numFmtId="2" fontId="64" fillId="8" borderId="20" xfId="0" applyNumberFormat="1" applyFont="1" applyFill="1" applyBorder="1" applyAlignment="1">
      <alignment horizontal="center"/>
    </xf>
    <xf numFmtId="0" fontId="60" fillId="2" borderId="4" xfId="0" applyFont="1" applyFill="1" applyBorder="1" applyAlignment="1">
      <alignment horizontal="center"/>
    </xf>
    <xf numFmtId="0" fontId="60" fillId="2" borderId="13" xfId="0" applyFont="1" applyFill="1" applyBorder="1" applyAlignment="1">
      <alignment horizontal="center"/>
    </xf>
    <xf numFmtId="179" fontId="60" fillId="2" borderId="13" xfId="0" applyNumberFormat="1" applyFont="1" applyFill="1" applyBorder="1" applyAlignment="1" applyProtection="1">
      <alignment horizontal="center"/>
      <protection/>
    </xf>
    <xf numFmtId="0" fontId="60" fillId="2" borderId="24" xfId="0" applyFont="1" applyFill="1" applyBorder="1" applyAlignment="1">
      <alignment/>
    </xf>
    <xf numFmtId="2" fontId="7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/>
    </xf>
    <xf numFmtId="181" fontId="11" fillId="0" borderId="0" xfId="0" applyNumberFormat="1" applyFont="1" applyBorder="1" applyAlignment="1">
      <alignment horizontal="center"/>
    </xf>
    <xf numFmtId="0" fontId="59" fillId="0" borderId="7" xfId="0" applyFont="1" applyBorder="1" applyAlignment="1">
      <alignment/>
    </xf>
    <xf numFmtId="7" fontId="23" fillId="0" borderId="4" xfId="0" applyNumberFormat="1" applyFont="1" applyFill="1" applyBorder="1" applyAlignment="1">
      <alignment/>
    </xf>
    <xf numFmtId="7" fontId="11" fillId="0" borderId="4" xfId="0" applyNumberFormat="1" applyFont="1" applyFill="1" applyBorder="1" applyAlignment="1">
      <alignment/>
    </xf>
    <xf numFmtId="7" fontId="11" fillId="0" borderId="4" xfId="0" applyNumberFormat="1" applyFont="1" applyBorder="1" applyAlignment="1">
      <alignment/>
    </xf>
    <xf numFmtId="0" fontId="11" fillId="0" borderId="43" xfId="0" applyFont="1" applyFill="1" applyBorder="1" applyAlignment="1">
      <alignment horizontal="right"/>
    </xf>
    <xf numFmtId="0" fontId="74" fillId="0" borderId="0" xfId="0" applyFont="1" applyAlignment="1">
      <alignment horizontal="right" vertical="top"/>
    </xf>
    <xf numFmtId="0" fontId="74" fillId="0" borderId="0" xfId="0" applyFont="1" applyFill="1" applyAlignment="1">
      <alignment horizontal="right" vertical="top"/>
    </xf>
    <xf numFmtId="181" fontId="0" fillId="0" borderId="2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81" fontId="0" fillId="0" borderId="16" xfId="0" applyNumberFormat="1" applyFont="1" applyFill="1" applyBorder="1" applyAlignment="1">
      <alignment horizontal="centerContinuous"/>
    </xf>
    <xf numFmtId="181" fontId="0" fillId="0" borderId="16" xfId="0" applyNumberFormat="1" applyFont="1" applyBorder="1" applyAlignment="1" applyProtection="1">
      <alignment horizontal="centerContinuous"/>
      <protection locked="0"/>
    </xf>
    <xf numFmtId="0" fontId="17" fillId="0" borderId="9" xfId="0" applyFont="1" applyBorder="1" applyAlignment="1" applyProtection="1">
      <alignment horizontal="centerContinuous"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176" fontId="7" fillId="0" borderId="3" xfId="0" applyNumberFormat="1" applyFont="1" applyBorder="1" applyAlignment="1" applyProtection="1">
      <alignment horizontal="center"/>
      <protection locked="0"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Continuous"/>
      <protection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172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75" fillId="0" borderId="0" xfId="0" applyNumberFormat="1" applyFont="1" applyBorder="1" applyAlignment="1">
      <alignment horizontal="left"/>
    </xf>
    <xf numFmtId="7" fontId="11" fillId="0" borderId="0" xfId="0" applyNumberFormat="1" applyFont="1" applyBorder="1" applyAlignment="1">
      <alignment horizontal="center"/>
    </xf>
    <xf numFmtId="176" fontId="21" fillId="0" borderId="0" xfId="0" applyNumberFormat="1" applyFont="1" applyBorder="1" applyAlignment="1" applyProtection="1">
      <alignment horizontal="center"/>
      <protection/>
    </xf>
    <xf numFmtId="0" fontId="7" fillId="0" borderId="13" xfId="22" applyFont="1" applyBorder="1" applyAlignment="1">
      <alignment horizontal="center"/>
      <protection/>
    </xf>
    <xf numFmtId="0" fontId="7" fillId="0" borderId="13" xfId="22" applyBorder="1" applyAlignment="1">
      <alignment horizontal="center"/>
      <protection/>
    </xf>
    <xf numFmtId="0" fontId="7" fillId="13" borderId="13" xfId="22" applyFont="1" applyFill="1" applyBorder="1" applyAlignment="1">
      <alignment horizontal="center"/>
      <protection/>
    </xf>
    <xf numFmtId="0" fontId="7" fillId="13" borderId="13" xfId="22" applyFill="1" applyBorder="1" applyAlignment="1">
      <alignment horizontal="center"/>
      <protection/>
    </xf>
    <xf numFmtId="0" fontId="10" fillId="0" borderId="0" xfId="0" applyFont="1" applyAlignment="1">
      <alignment/>
    </xf>
    <xf numFmtId="0" fontId="5" fillId="13" borderId="15" xfId="0" applyFont="1" applyFill="1" applyBorder="1" applyAlignment="1" applyProtection="1">
      <alignment horizontal="centerContinuous"/>
      <protection/>
    </xf>
    <xf numFmtId="181" fontId="0" fillId="13" borderId="16" xfId="0" applyNumberFormat="1" applyFont="1" applyFill="1" applyBorder="1" applyAlignment="1">
      <alignment horizontal="centerContinuous"/>
    </xf>
    <xf numFmtId="0" fontId="2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81" fontId="0" fillId="0" borderId="0" xfId="0" applyNumberFormat="1" applyFont="1" applyBorder="1" applyAlignment="1" applyProtection="1">
      <alignment horizontal="centerContinuous"/>
      <protection locked="0"/>
    </xf>
    <xf numFmtId="175" fontId="7" fillId="0" borderId="0" xfId="0" applyNumberFormat="1" applyFont="1" applyBorder="1" applyAlignment="1">
      <alignment horizontal="centerContinuous"/>
    </xf>
    <xf numFmtId="0" fontId="31" fillId="0" borderId="0" xfId="0" applyFont="1" applyBorder="1" applyAlignment="1" applyProtection="1">
      <alignment horizontal="left"/>
      <protection/>
    </xf>
    <xf numFmtId="7" fontId="70" fillId="4" borderId="17" xfId="0" applyNumberFormat="1" applyFont="1" applyFill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Continuous"/>
    </xf>
    <xf numFmtId="0" fontId="31" fillId="0" borderId="0" xfId="0" applyFont="1" applyBorder="1" applyAlignment="1" applyProtection="1">
      <alignment horizontal="centerContinuous" vertical="center"/>
      <protection/>
    </xf>
    <xf numFmtId="0" fontId="32" fillId="0" borderId="0" xfId="0" applyFont="1" applyAlignment="1">
      <alignment horizontal="centerContinuous" vertical="center"/>
    </xf>
    <xf numFmtId="0" fontId="79" fillId="0" borderId="0" xfId="0" applyFont="1" applyBorder="1" applyAlignment="1">
      <alignment horizontal="centerContinuous"/>
    </xf>
    <xf numFmtId="0" fontId="80" fillId="0" borderId="0" xfId="0" applyFont="1" applyBorder="1" applyAlignment="1" applyProtection="1">
      <alignment horizontal="left"/>
      <protection/>
    </xf>
    <xf numFmtId="0" fontId="81" fillId="0" borderId="0" xfId="0" applyFont="1" applyBorder="1" applyAlignment="1">
      <alignment horizontal="centerContinuous"/>
    </xf>
    <xf numFmtId="0" fontId="82" fillId="0" borderId="0" xfId="0" applyFont="1" applyBorder="1" applyAlignment="1" applyProtection="1">
      <alignment horizontal="centerContinuous"/>
      <protection/>
    </xf>
    <xf numFmtId="0" fontId="82" fillId="0" borderId="0" xfId="0" applyFont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3" fillId="0" borderId="7" xfId="0" applyFont="1" applyBorder="1" applyAlignment="1">
      <alignment/>
    </xf>
    <xf numFmtId="0" fontId="0" fillId="0" borderId="8" xfId="0" applyBorder="1" applyAlignment="1">
      <alignment/>
    </xf>
    <xf numFmtId="0" fontId="8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44" xfId="0" applyBorder="1" applyAlignment="1">
      <alignment/>
    </xf>
    <xf numFmtId="0" fontId="83" fillId="0" borderId="0" xfId="0" applyFont="1" applyBorder="1" applyAlignment="1" applyProtection="1">
      <alignment horizontal="center"/>
      <protection/>
    </xf>
    <xf numFmtId="0" fontId="83" fillId="0" borderId="0" xfId="0" applyFont="1" applyBorder="1" applyAlignment="1">
      <alignment/>
    </xf>
    <xf numFmtId="0" fontId="84" fillId="0" borderId="0" xfId="0" applyFont="1" applyAlignment="1">
      <alignment horizontal="centerContinuous" vertical="center"/>
    </xf>
    <xf numFmtId="0" fontId="84" fillId="0" borderId="9" xfId="0" applyFont="1" applyBorder="1" applyAlignment="1">
      <alignment horizontal="centerContinuous" vertical="center"/>
    </xf>
    <xf numFmtId="0" fontId="84" fillId="0" borderId="45" xfId="0" applyFont="1" applyBorder="1" applyAlignment="1">
      <alignment horizontal="centerContinuous" vertical="center"/>
    </xf>
    <xf numFmtId="0" fontId="84" fillId="0" borderId="46" xfId="0" applyFont="1" applyBorder="1" applyAlignment="1" applyProtection="1">
      <alignment horizontal="centerContinuous" vertical="center"/>
      <protection/>
    </xf>
    <xf numFmtId="0" fontId="84" fillId="0" borderId="46" xfId="0" applyFont="1" applyBorder="1" applyAlignment="1" applyProtection="1">
      <alignment horizontal="centerContinuous" vertical="center" wrapText="1"/>
      <protection/>
    </xf>
    <xf numFmtId="176" fontId="84" fillId="0" borderId="20" xfId="0" applyNumberFormat="1" applyFont="1" applyBorder="1" applyAlignment="1" applyProtection="1">
      <alignment horizontal="centerContinuous" vertical="center" wrapText="1"/>
      <protection/>
    </xf>
    <xf numFmtId="17" fontId="84" fillId="0" borderId="20" xfId="0" applyNumberFormat="1" applyFont="1" applyBorder="1" applyAlignment="1">
      <alignment horizontal="centerContinuous" vertical="center"/>
    </xf>
    <xf numFmtId="0" fontId="84" fillId="0" borderId="1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4" fillId="0" borderId="9" xfId="0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47" xfId="0" applyFont="1" applyBorder="1" applyAlignment="1">
      <alignment horizontal="center" vertical="center"/>
    </xf>
    <xf numFmtId="0" fontId="84" fillId="0" borderId="47" xfId="0" applyFont="1" applyBorder="1" applyAlignment="1">
      <alignment vertical="center"/>
    </xf>
    <xf numFmtId="0" fontId="84" fillId="0" borderId="38" xfId="0" applyFont="1" applyBorder="1" applyAlignment="1">
      <alignment vertical="center"/>
    </xf>
    <xf numFmtId="0" fontId="84" fillId="14" borderId="38" xfId="0" applyFont="1" applyFill="1" applyBorder="1" applyAlignment="1">
      <alignment vertical="center"/>
    </xf>
    <xf numFmtId="0" fontId="84" fillId="0" borderId="38" xfId="0" applyFont="1" applyFill="1" applyBorder="1" applyAlignment="1">
      <alignment vertical="center"/>
    </xf>
    <xf numFmtId="0" fontId="84" fillId="1" borderId="14" xfId="0" applyFont="1" applyFill="1" applyBorder="1" applyAlignment="1">
      <alignment horizontal="center" vertical="center"/>
    </xf>
    <xf numFmtId="0" fontId="84" fillId="1" borderId="39" xfId="0" applyFont="1" applyFill="1" applyBorder="1" applyAlignment="1" applyProtection="1">
      <alignment horizontal="center" vertical="center"/>
      <protection/>
    </xf>
    <xf numFmtId="2" fontId="84" fillId="1" borderId="13" xfId="0" applyNumberFormat="1" applyFont="1" applyFill="1" applyBorder="1" applyAlignment="1" applyProtection="1">
      <alignment horizontal="center" vertical="center"/>
      <protection/>
    </xf>
    <xf numFmtId="1" fontId="84" fillId="14" borderId="43" xfId="0" applyNumberFormat="1" applyFont="1" applyFill="1" applyBorder="1" applyAlignment="1">
      <alignment horizontal="center" vertical="center"/>
    </xf>
    <xf numFmtId="1" fontId="84" fillId="0" borderId="38" xfId="0" applyNumberFormat="1" applyFont="1" applyFill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39" xfId="0" applyFont="1" applyBorder="1" applyAlignment="1" applyProtection="1">
      <alignment horizontal="center" vertical="center"/>
      <protection/>
    </xf>
    <xf numFmtId="2" fontId="84" fillId="0" borderId="13" xfId="0" applyNumberFormat="1" applyFont="1" applyBorder="1" applyAlignment="1" applyProtection="1">
      <alignment horizontal="center" vertical="center"/>
      <protection/>
    </xf>
    <xf numFmtId="0" fontId="84" fillId="0" borderId="41" xfId="0" applyFont="1" applyBorder="1" applyAlignment="1" applyProtection="1">
      <alignment horizontal="center" vertical="center"/>
      <protection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Border="1" applyAlignment="1" applyProtection="1">
      <alignment horizontal="center" vertical="center"/>
      <protection/>
    </xf>
    <xf numFmtId="0" fontId="85" fillId="0" borderId="21" xfId="0" applyFont="1" applyBorder="1" applyAlignment="1" applyProtection="1">
      <alignment horizontal="right" vertical="center"/>
      <protection/>
    </xf>
    <xf numFmtId="176" fontId="85" fillId="0" borderId="24" xfId="0" applyNumberFormat="1" applyFont="1" applyBorder="1" applyAlignment="1" applyProtection="1">
      <alignment horizontal="center" vertical="center"/>
      <protection/>
    </xf>
    <xf numFmtId="0" fontId="84" fillId="0" borderId="0" xfId="0" applyFont="1" applyBorder="1" applyAlignment="1">
      <alignment vertical="center"/>
    </xf>
    <xf numFmtId="0" fontId="85" fillId="0" borderId="0" xfId="0" applyFont="1" applyAlignment="1">
      <alignment horizontal="right" vertical="center"/>
    </xf>
    <xf numFmtId="1" fontId="84" fillId="0" borderId="20" xfId="0" applyNumberFormat="1" applyFont="1" applyBorder="1" applyAlignment="1" applyProtection="1">
      <alignment horizontal="center" vertical="center"/>
      <protection/>
    </xf>
    <xf numFmtId="1" fontId="84" fillId="0" borderId="3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Border="1" applyAlignment="1">
      <alignment horizontal="right" vertical="center"/>
    </xf>
    <xf numFmtId="2" fontId="85" fillId="14" borderId="20" xfId="0" applyNumberFormat="1" applyFont="1" applyFill="1" applyBorder="1" applyAlignment="1">
      <alignment horizontal="center" vertical="center"/>
    </xf>
    <xf numFmtId="0" fontId="0" fillId="14" borderId="48" xfId="0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86" fillId="0" borderId="9" xfId="0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/>
    </xf>
    <xf numFmtId="0" fontId="27" fillId="0" borderId="22" xfId="0" applyFont="1" applyBorder="1" applyAlignment="1">
      <alignment horizontal="center"/>
    </xf>
    <xf numFmtId="2" fontId="87" fillId="0" borderId="22" xfId="0" applyNumberFormat="1" applyFont="1" applyBorder="1" applyAlignment="1">
      <alignment horizontal="center"/>
    </xf>
    <xf numFmtId="0" fontId="87" fillId="0" borderId="22" xfId="0" applyFont="1" applyBorder="1" applyAlignment="1">
      <alignment/>
    </xf>
    <xf numFmtId="0" fontId="0" fillId="0" borderId="15" xfId="0" applyBorder="1" applyAlignment="1">
      <alignment/>
    </xf>
    <xf numFmtId="0" fontId="86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6" fillId="0" borderId="0" xfId="0" applyFont="1" applyBorder="1" applyAlignment="1" applyProtection="1">
      <alignment horizontal="left"/>
      <protection/>
    </xf>
    <xf numFmtId="176" fontId="83" fillId="0" borderId="0" xfId="0" applyNumberFormat="1" applyFont="1" applyBorder="1" applyAlignment="1" applyProtection="1">
      <alignment horizontal="left"/>
      <protection/>
    </xf>
    <xf numFmtId="0" fontId="86" fillId="0" borderId="0" xfId="0" applyFont="1" applyBorder="1" applyAlignment="1">
      <alignment/>
    </xf>
    <xf numFmtId="0" fontId="88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>
      <alignment/>
    </xf>
    <xf numFmtId="0" fontId="89" fillId="0" borderId="0" xfId="0" applyFont="1" applyBorder="1" applyAlignment="1">
      <alignment/>
    </xf>
    <xf numFmtId="176" fontId="88" fillId="0" borderId="0" xfId="0" applyNumberFormat="1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left"/>
      <protection/>
    </xf>
    <xf numFmtId="1" fontId="83" fillId="0" borderId="0" xfId="0" applyNumberFormat="1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fill"/>
      <protection/>
    </xf>
    <xf numFmtId="2" fontId="7" fillId="0" borderId="13" xfId="0" applyNumberFormat="1" applyFont="1" applyFill="1" applyBorder="1" applyAlignment="1" applyProtection="1">
      <alignment horizontal="center"/>
      <protection locked="0"/>
    </xf>
    <xf numFmtId="176" fontId="60" fillId="0" borderId="2" xfId="0" applyNumberFormat="1" applyFont="1" applyFill="1" applyBorder="1" applyAlignment="1" applyProtection="1">
      <alignment horizontal="center"/>
      <protection/>
    </xf>
    <xf numFmtId="1" fontId="7" fillId="0" borderId="2" xfId="0" applyNumberFormat="1" applyFont="1" applyFill="1" applyBorder="1" applyAlignment="1" applyProtection="1">
      <alignment horizontal="center"/>
      <protection/>
    </xf>
    <xf numFmtId="2" fontId="62" fillId="0" borderId="20" xfId="0" applyNumberFormat="1" applyFont="1" applyFill="1" applyBorder="1" applyAlignment="1">
      <alignment horizontal="center"/>
    </xf>
    <xf numFmtId="2" fontId="64" fillId="0" borderId="13" xfId="0" applyNumberFormat="1" applyFont="1" applyFill="1" applyBorder="1" applyAlignment="1">
      <alignment horizontal="center"/>
    </xf>
    <xf numFmtId="176" fontId="58" fillId="0" borderId="27" xfId="0" applyNumberFormat="1" applyFont="1" applyFill="1" applyBorder="1" applyAlignment="1" applyProtection="1" quotePrefix="1">
      <alignment horizontal="center"/>
      <protection/>
    </xf>
    <xf numFmtId="176" fontId="58" fillId="0" borderId="28" xfId="0" applyNumberFormat="1" applyFont="1" applyFill="1" applyBorder="1" applyAlignment="1" applyProtection="1" quotePrefix="1">
      <alignment horizontal="center"/>
      <protection/>
    </xf>
    <xf numFmtId="4" fontId="58" fillId="0" borderId="18" xfId="0" applyNumberFormat="1" applyFont="1" applyFill="1" applyBorder="1" applyAlignment="1">
      <alignment horizontal="center"/>
    </xf>
    <xf numFmtId="176" fontId="66" fillId="0" borderId="27" xfId="0" applyNumberFormat="1" applyFont="1" applyFill="1" applyBorder="1" applyAlignment="1" applyProtection="1" quotePrefix="1">
      <alignment horizontal="center"/>
      <protection/>
    </xf>
    <xf numFmtId="176" fontId="66" fillId="0" borderId="28" xfId="0" applyNumberFormat="1" applyFont="1" applyFill="1" applyBorder="1" applyAlignment="1" applyProtection="1" quotePrefix="1">
      <alignment horizontal="center"/>
      <protection/>
    </xf>
    <xf numFmtId="4" fontId="66" fillId="0" borderId="18" xfId="0" applyNumberFormat="1" applyFont="1" applyFill="1" applyBorder="1" applyAlignment="1">
      <alignment horizontal="center"/>
    </xf>
    <xf numFmtId="4" fontId="68" fillId="0" borderId="2" xfId="0" applyNumberFormat="1" applyFont="1" applyFill="1" applyBorder="1" applyAlignment="1">
      <alignment horizontal="center"/>
    </xf>
    <xf numFmtId="4" fontId="66" fillId="0" borderId="2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8" fillId="0" borderId="0" xfId="21" applyNumberFormat="1" applyFont="1" applyBorder="1" applyAlignment="1">
      <alignment horizontal="centerContinuous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ahue" xfId="21"/>
    <cellStyle name="Normal_línea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0</xdr:rowOff>
    </xdr:from>
    <xdr:to>
      <xdr:col>1</xdr:col>
      <xdr:colOff>95250</xdr:colOff>
      <xdr:row>3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0"/>
          <a:ext cx="60007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8</xdr:col>
      <xdr:colOff>1133475</xdr:colOff>
      <xdr:row>15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2838450"/>
          <a:ext cx="23145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0</xdr:row>
      <xdr:rowOff>0</xdr:rowOff>
    </xdr:from>
    <xdr:to>
      <xdr:col>1</xdr:col>
      <xdr:colOff>466725</xdr:colOff>
      <xdr:row>1</xdr:row>
      <xdr:rowOff>371475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4667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EA\TBASEN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-808"/>
    </sheetNames>
    <sheetDataSet>
      <sheetData sheetId="0">
        <row r="17">
          <cell r="C17">
            <v>1</v>
          </cell>
          <cell r="D17" t="str">
            <v>CLORINDA - GUARAMBARÉ (Paraguay)</v>
          </cell>
          <cell r="E17">
            <v>220</v>
          </cell>
          <cell r="F17">
            <v>29.8</v>
          </cell>
        </row>
        <row r="18">
          <cell r="C18">
            <v>2</v>
          </cell>
          <cell r="D18" t="str">
            <v>PASO DE LOS LIBRES - MONTE CASEROS</v>
          </cell>
          <cell r="E18">
            <v>132</v>
          </cell>
          <cell r="F18">
            <v>100.7</v>
          </cell>
        </row>
        <row r="20">
          <cell r="C20">
            <v>3</v>
          </cell>
          <cell r="D20" t="str">
            <v>BARRANQUERAS - RESISTENCIA 1</v>
          </cell>
          <cell r="E20">
            <v>132</v>
          </cell>
          <cell r="F20">
            <v>31.4</v>
          </cell>
          <cell r="FS20">
            <v>1</v>
          </cell>
          <cell r="FT20">
            <v>1</v>
          </cell>
          <cell r="FU20">
            <v>1</v>
          </cell>
          <cell r="FV20">
            <v>2</v>
          </cell>
          <cell r="FW20">
            <v>1</v>
          </cell>
          <cell r="FY20">
            <v>2</v>
          </cell>
          <cell r="GB20">
            <v>1</v>
          </cell>
        </row>
        <row r="21">
          <cell r="C21">
            <v>4</v>
          </cell>
          <cell r="D21" t="str">
            <v>BARRANQUERAS - RESISTENCIA 2</v>
          </cell>
          <cell r="E21">
            <v>132</v>
          </cell>
          <cell r="F21">
            <v>30.2</v>
          </cell>
          <cell r="FU21">
            <v>1</v>
          </cell>
        </row>
        <row r="22">
          <cell r="C22">
            <v>5</v>
          </cell>
          <cell r="D22" t="str">
            <v>BELLA VISTA - GOYA</v>
          </cell>
          <cell r="E22">
            <v>132</v>
          </cell>
          <cell r="F22">
            <v>77.7</v>
          </cell>
          <cell r="FZ22">
            <v>1</v>
          </cell>
        </row>
        <row r="23">
          <cell r="C23">
            <v>6</v>
          </cell>
          <cell r="D23" t="str">
            <v>BELLA VISTA - SANTA CATALINA</v>
          </cell>
          <cell r="E23">
            <v>132</v>
          </cell>
          <cell r="F23">
            <v>121</v>
          </cell>
          <cell r="FQ23">
            <v>1</v>
          </cell>
          <cell r="FZ23">
            <v>2</v>
          </cell>
          <cell r="GB23">
            <v>1</v>
          </cell>
        </row>
        <row r="24">
          <cell r="C24">
            <v>7</v>
          </cell>
          <cell r="D24" t="str">
            <v>CLORINDA - FORMOSA</v>
          </cell>
          <cell r="E24">
            <v>132</v>
          </cell>
          <cell r="F24">
            <v>111</v>
          </cell>
          <cell r="FY24">
            <v>1</v>
          </cell>
          <cell r="FZ24">
            <v>1</v>
          </cell>
        </row>
        <row r="26">
          <cell r="C26">
            <v>8</v>
          </cell>
          <cell r="D26" t="str">
            <v>FORMOSA - RESISTENCIA</v>
          </cell>
          <cell r="E26">
            <v>132</v>
          </cell>
          <cell r="F26">
            <v>178</v>
          </cell>
          <cell r="FQ26">
            <v>1</v>
          </cell>
          <cell r="FR26">
            <v>1</v>
          </cell>
          <cell r="FV26">
            <v>1</v>
          </cell>
          <cell r="FZ26">
            <v>1</v>
          </cell>
        </row>
        <row r="27">
          <cell r="C27">
            <v>9</v>
          </cell>
          <cell r="D27" t="str">
            <v>MONTE CASEROS - CHAJARÍ</v>
          </cell>
          <cell r="E27">
            <v>132</v>
          </cell>
          <cell r="F27">
            <v>74.5</v>
          </cell>
          <cell r="FQ27">
            <v>1</v>
          </cell>
          <cell r="FU27">
            <v>1</v>
          </cell>
          <cell r="FV27">
            <v>2</v>
          </cell>
          <cell r="FX27">
            <v>1</v>
          </cell>
          <cell r="FZ27">
            <v>4</v>
          </cell>
          <cell r="GA27">
            <v>3</v>
          </cell>
          <cell r="GB27">
            <v>1</v>
          </cell>
        </row>
        <row r="28">
          <cell r="C28">
            <v>10</v>
          </cell>
          <cell r="D28" t="str">
            <v>PASO DE LOS LIBRES - URUGUAYANA</v>
          </cell>
          <cell r="E28">
            <v>132</v>
          </cell>
          <cell r="F28">
            <v>3.9</v>
          </cell>
        </row>
        <row r="29">
          <cell r="C29">
            <v>11</v>
          </cell>
          <cell r="D29" t="str">
            <v>SALTO GRANDE - CHAJARÍ</v>
          </cell>
          <cell r="E29">
            <v>132</v>
          </cell>
          <cell r="F29">
            <v>60.9</v>
          </cell>
          <cell r="FT29">
            <v>2</v>
          </cell>
          <cell r="FZ29">
            <v>1</v>
          </cell>
          <cell r="GA29">
            <v>1</v>
          </cell>
        </row>
        <row r="30">
          <cell r="C30">
            <v>12</v>
          </cell>
          <cell r="D30" t="str">
            <v>SANTA CATALINA - RESISTENCIA</v>
          </cell>
          <cell r="E30">
            <v>132</v>
          </cell>
          <cell r="F30">
            <v>42.4</v>
          </cell>
          <cell r="FV30">
            <v>1</v>
          </cell>
          <cell r="GB30">
            <v>1</v>
          </cell>
        </row>
        <row r="32">
          <cell r="C32">
            <v>13</v>
          </cell>
          <cell r="D32" t="str">
            <v>BARRANQUERAS -CORRIENTES I</v>
          </cell>
          <cell r="E32">
            <v>33</v>
          </cell>
          <cell r="FR32">
            <v>1</v>
          </cell>
          <cell r="FS32">
            <v>1</v>
          </cell>
          <cell r="FZ32">
            <v>1</v>
          </cell>
        </row>
        <row r="33">
          <cell r="C33">
            <v>14</v>
          </cell>
          <cell r="D33" t="str">
            <v>BARRANQUERAS -CORRIENTES II</v>
          </cell>
          <cell r="E33">
            <v>33</v>
          </cell>
          <cell r="F33">
            <v>11.8</v>
          </cell>
          <cell r="FR33">
            <v>1</v>
          </cell>
          <cell r="FS33">
            <v>1</v>
          </cell>
          <cell r="FZ33">
            <v>1</v>
          </cell>
        </row>
        <row r="35">
          <cell r="C35">
            <v>15</v>
          </cell>
          <cell r="D35" t="str">
            <v>PASO DE LA PATRIA - STA. CATALINA 1</v>
          </cell>
          <cell r="E35">
            <v>132</v>
          </cell>
          <cell r="F35">
            <v>20.8</v>
          </cell>
        </row>
        <row r="36">
          <cell r="C36">
            <v>16</v>
          </cell>
          <cell r="D36" t="str">
            <v>PASO DE LA PATRIA - STA. CATALINA 2</v>
          </cell>
          <cell r="E36">
            <v>132</v>
          </cell>
          <cell r="F36">
            <v>20.8</v>
          </cell>
        </row>
        <row r="37">
          <cell r="C37">
            <v>17</v>
          </cell>
          <cell r="D37" t="str">
            <v>CORRIENTES CENTRO - RESISTENCIA</v>
          </cell>
          <cell r="E37">
            <v>132</v>
          </cell>
          <cell r="F37">
            <v>35.4</v>
          </cell>
          <cell r="FW37">
            <v>1</v>
          </cell>
        </row>
        <row r="38">
          <cell r="C38">
            <v>18</v>
          </cell>
          <cell r="D38" t="str">
            <v>CORRIENTES CENTRO - SANTA CATALINA</v>
          </cell>
          <cell r="E38">
            <v>132</v>
          </cell>
          <cell r="F38">
            <v>10.2</v>
          </cell>
          <cell r="FU38">
            <v>1</v>
          </cell>
          <cell r="FY38">
            <v>1</v>
          </cell>
        </row>
        <row r="39">
          <cell r="C39">
            <v>19</v>
          </cell>
          <cell r="D39" t="str">
            <v>RINCON - ITUZAINGO CORR. II</v>
          </cell>
          <cell r="E39">
            <v>132</v>
          </cell>
          <cell r="F39">
            <v>9.7</v>
          </cell>
        </row>
        <row r="40">
          <cell r="C40">
            <v>20</v>
          </cell>
          <cell r="D40" t="str">
            <v>VIRASORO SANTO TOMÉ</v>
          </cell>
          <cell r="E40">
            <v>33</v>
          </cell>
          <cell r="F40">
            <v>59</v>
          </cell>
        </row>
        <row r="41">
          <cell r="C41">
            <v>21</v>
          </cell>
          <cell r="D41" t="str">
            <v>ITUZAINGO CORR. - VIRASORO</v>
          </cell>
          <cell r="E41">
            <v>132</v>
          </cell>
          <cell r="F41">
            <v>95</v>
          </cell>
        </row>
        <row r="42">
          <cell r="C42">
            <v>22</v>
          </cell>
          <cell r="D42" t="str">
            <v>PIRANE IBARRETA 132 1</v>
          </cell>
          <cell r="E42">
            <v>132</v>
          </cell>
          <cell r="F42">
            <v>91.8</v>
          </cell>
          <cell r="FZ42">
            <v>1</v>
          </cell>
          <cell r="GA42">
            <v>2</v>
          </cell>
          <cell r="GB42">
            <v>1</v>
          </cell>
        </row>
        <row r="43">
          <cell r="C43">
            <v>23</v>
          </cell>
          <cell r="D43" t="str">
            <v>PIRANE FORMOSA 132 1</v>
          </cell>
          <cell r="E43">
            <v>132</v>
          </cell>
          <cell r="F43">
            <v>111.6</v>
          </cell>
          <cell r="FQ43">
            <v>1</v>
          </cell>
          <cell r="FR43">
            <v>1</v>
          </cell>
          <cell r="FV43">
            <v>2</v>
          </cell>
          <cell r="FY43">
            <v>2</v>
          </cell>
          <cell r="FZ43">
            <v>7</v>
          </cell>
          <cell r="GA43">
            <v>3</v>
          </cell>
          <cell r="GB43">
            <v>1</v>
          </cell>
        </row>
        <row r="44">
          <cell r="C44">
            <v>24</v>
          </cell>
          <cell r="D44" t="str">
            <v>COLORADO - SAN MARTIN</v>
          </cell>
          <cell r="E44">
            <v>132</v>
          </cell>
          <cell r="F44">
            <v>30.47</v>
          </cell>
        </row>
        <row r="45">
          <cell r="C45">
            <v>25</v>
          </cell>
          <cell r="D45" t="str">
            <v>PIRANE - COLORADO</v>
          </cell>
          <cell r="E45">
            <v>132</v>
          </cell>
          <cell r="F45">
            <v>79.15</v>
          </cell>
        </row>
        <row r="46">
          <cell r="C46">
            <v>26</v>
          </cell>
          <cell r="D46" t="str">
            <v>SAN MARTIN CHACO - EL COLORADO</v>
          </cell>
          <cell r="F46">
            <v>30.47</v>
          </cell>
          <cell r="FQ46" t="str">
            <v>XXXX</v>
          </cell>
          <cell r="FR46" t="str">
            <v>XXXX</v>
          </cell>
          <cell r="FS46" t="str">
            <v>XXXX</v>
          </cell>
          <cell r="FT46" t="str">
            <v>XXXX</v>
          </cell>
          <cell r="FU46" t="str">
            <v>XXXX</v>
          </cell>
          <cell r="FV46" t="str">
            <v>XXXX</v>
          </cell>
          <cell r="FW46" t="str">
            <v>XXXX</v>
          </cell>
          <cell r="FX46" t="str">
            <v>XXXX</v>
          </cell>
          <cell r="FY46" t="str">
            <v>XXXX</v>
          </cell>
          <cell r="FZ46" t="str">
            <v>XXXX</v>
          </cell>
          <cell r="GA46" t="str">
            <v>XXXX</v>
          </cell>
          <cell r="GB46" t="str">
            <v>XXXX</v>
          </cell>
        </row>
        <row r="52">
          <cell r="FS52">
            <v>2.9675228775310214</v>
          </cell>
          <cell r="FT52">
            <v>3.1055471974161852</v>
          </cell>
          <cell r="FU52">
            <v>3.1745593573587674</v>
          </cell>
          <cell r="FV52">
            <v>3.381595837186513</v>
          </cell>
          <cell r="FW52">
            <v>3.4506079971290946</v>
          </cell>
          <cell r="FX52">
            <v>2.9675228775310214</v>
          </cell>
          <cell r="FY52">
            <v>2.9675228775310214</v>
          </cell>
          <cell r="FZ52">
            <v>3.243571517301349</v>
          </cell>
          <cell r="GA52">
            <v>4.416778236325241</v>
          </cell>
          <cell r="GB52">
            <v>4.692826876095569</v>
          </cell>
          <cell r="GC52">
            <v>4.830851195980733</v>
          </cell>
          <cell r="GD52">
            <v>5.520972795406552</v>
          </cell>
          <cell r="GE52">
            <v>6.353540747149357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8" customWidth="1"/>
    <col min="2" max="2" width="7.7109375" style="8" customWidth="1"/>
    <col min="3" max="3" width="12.421875" style="8" customWidth="1"/>
    <col min="4" max="4" width="10.7109375" style="8" customWidth="1"/>
    <col min="5" max="5" width="13.57421875" style="8" customWidth="1"/>
    <col min="6" max="7" width="20.7109375" style="8" customWidth="1"/>
    <col min="8" max="8" width="12.00390625" style="8" customWidth="1"/>
    <col min="9" max="9" width="15.7109375" style="8" customWidth="1"/>
    <col min="10" max="10" width="17.7109375" style="8" customWidth="1"/>
    <col min="11" max="11" width="15.7109375" style="8" customWidth="1"/>
    <col min="12" max="13" width="11.421875" style="8" customWidth="1"/>
    <col min="14" max="14" width="14.14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2:11" s="114" customFormat="1" ht="26.25">
      <c r="B1" s="127"/>
      <c r="K1" s="473"/>
    </row>
    <row r="2" spans="2:10" s="114" customFormat="1" ht="26.25">
      <c r="B2" s="127" t="s">
        <v>161</v>
      </c>
      <c r="C2" s="128"/>
      <c r="D2" s="115"/>
      <c r="E2" s="115"/>
      <c r="F2" s="115"/>
      <c r="G2" s="115"/>
      <c r="H2" s="115"/>
      <c r="I2" s="115"/>
      <c r="J2" s="115"/>
    </row>
    <row r="3" spans="3:19" ht="12.75">
      <c r="C3"/>
      <c r="D3" s="31"/>
      <c r="E3" s="31"/>
      <c r="F3" s="31"/>
      <c r="G3" s="31"/>
      <c r="H3" s="31"/>
      <c r="I3" s="31"/>
      <c r="J3" s="31"/>
      <c r="P3" s="6"/>
      <c r="Q3" s="6"/>
      <c r="R3" s="6"/>
      <c r="S3" s="6"/>
    </row>
    <row r="4" spans="1:19" s="112" customFormat="1" ht="11.25">
      <c r="A4" s="129" t="s">
        <v>5</v>
      </c>
      <c r="B4" s="130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s="112" customFormat="1" ht="11.25">
      <c r="A5" s="129" t="s">
        <v>6</v>
      </c>
      <c r="B5" s="130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2:19" s="114" customFormat="1" ht="8.25" customHeight="1">
      <c r="B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2:19" s="116" customFormat="1" ht="21">
      <c r="B7" s="176" t="s">
        <v>0</v>
      </c>
      <c r="C7" s="133"/>
      <c r="D7" s="117"/>
      <c r="E7" s="117"/>
      <c r="F7" s="118"/>
      <c r="G7" s="118"/>
      <c r="H7" s="118"/>
      <c r="I7" s="118"/>
      <c r="J7" s="118"/>
      <c r="K7" s="105"/>
      <c r="L7" s="105"/>
      <c r="M7" s="105"/>
      <c r="N7" s="105"/>
      <c r="O7" s="105"/>
      <c r="P7" s="105"/>
      <c r="Q7" s="105"/>
      <c r="R7" s="105"/>
      <c r="S7" s="105"/>
    </row>
    <row r="8" spans="9:19" ht="12.75"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2:19" s="116" customFormat="1" ht="21">
      <c r="B9" s="176" t="s">
        <v>1</v>
      </c>
      <c r="C9" s="133"/>
      <c r="D9" s="117"/>
      <c r="E9" s="117"/>
      <c r="F9" s="117"/>
      <c r="G9" s="117"/>
      <c r="H9" s="117"/>
      <c r="I9" s="118"/>
      <c r="J9" s="118"/>
      <c r="K9" s="105"/>
      <c r="L9" s="105"/>
      <c r="M9" s="105"/>
      <c r="N9" s="105"/>
      <c r="O9" s="105"/>
      <c r="P9" s="105"/>
      <c r="Q9" s="105"/>
      <c r="R9" s="105"/>
      <c r="S9" s="105"/>
    </row>
    <row r="10" spans="4:19" ht="12.75">
      <c r="D10" s="122"/>
      <c r="E10" s="12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s="116" customFormat="1" ht="20.25">
      <c r="B11" s="176" t="s">
        <v>160</v>
      </c>
      <c r="C11" s="134"/>
      <c r="D11" s="32"/>
      <c r="E11" s="32"/>
      <c r="F11" s="117"/>
      <c r="G11" s="117"/>
      <c r="H11" s="117"/>
      <c r="I11" s="118"/>
      <c r="J11" s="118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4:19" s="135" customFormat="1" ht="16.5" thickBot="1">
      <c r="D12" s="5"/>
      <c r="E12" s="5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2:19" s="135" customFormat="1" ht="16.5" thickTop="1">
      <c r="B13" s="309">
        <v>2</v>
      </c>
      <c r="C13" s="468"/>
      <c r="D13" s="137"/>
      <c r="E13" s="137"/>
      <c r="F13" s="137"/>
      <c r="G13" s="137"/>
      <c r="H13" s="137"/>
      <c r="I13" s="137"/>
      <c r="J13" s="138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2:19" s="120" customFormat="1" ht="19.5">
      <c r="B14" s="139" t="s">
        <v>102</v>
      </c>
      <c r="C14" s="140"/>
      <c r="D14" s="141"/>
      <c r="E14" s="142"/>
      <c r="F14" s="142"/>
      <c r="G14" s="142"/>
      <c r="H14" s="142"/>
      <c r="I14" s="143"/>
      <c r="J14" s="144"/>
      <c r="K14" s="37"/>
      <c r="L14" s="37"/>
      <c r="M14" s="37"/>
      <c r="N14" s="37"/>
      <c r="O14" s="37"/>
      <c r="P14" s="37"/>
      <c r="Q14" s="37"/>
      <c r="R14" s="37"/>
      <c r="S14" s="37"/>
    </row>
    <row r="15" spans="2:19" s="120" customFormat="1" ht="19.5" hidden="1">
      <c r="B15" s="145"/>
      <c r="C15" s="146"/>
      <c r="D15" s="146"/>
      <c r="E15" s="37"/>
      <c r="F15" s="147"/>
      <c r="G15" s="147"/>
      <c r="H15" s="147"/>
      <c r="I15" s="37"/>
      <c r="J15" s="121"/>
      <c r="K15" s="37"/>
      <c r="L15" s="37"/>
      <c r="M15" s="37"/>
      <c r="N15" s="37"/>
      <c r="O15" s="37"/>
      <c r="P15" s="37"/>
      <c r="Q15" s="37"/>
      <c r="R15" s="37"/>
      <c r="S15" s="37"/>
    </row>
    <row r="16" spans="2:18" s="120" customFormat="1" ht="19.5" hidden="1">
      <c r="B16" s="139" t="s">
        <v>7</v>
      </c>
      <c r="C16" s="297"/>
      <c r="D16" s="297"/>
      <c r="E16" s="143"/>
      <c r="F16" s="142"/>
      <c r="G16" s="142"/>
      <c r="H16" s="143"/>
      <c r="I16" s="134"/>
      <c r="J16" s="144"/>
      <c r="K16" s="37"/>
      <c r="L16" s="37"/>
      <c r="M16" s="37"/>
      <c r="N16" s="37"/>
      <c r="O16" s="37"/>
      <c r="P16" s="37"/>
      <c r="Q16" s="37"/>
      <c r="R16" s="37"/>
    </row>
    <row r="17" spans="2:18" s="120" customFormat="1" ht="19.5">
      <c r="B17" s="139"/>
      <c r="D17" s="297"/>
      <c r="E17" s="143"/>
      <c r="F17" s="142"/>
      <c r="G17" s="142"/>
      <c r="H17" s="143"/>
      <c r="I17" s="134"/>
      <c r="J17" s="144"/>
      <c r="K17" s="37"/>
      <c r="L17" s="37"/>
      <c r="M17" s="37"/>
      <c r="N17" s="37"/>
      <c r="O17" s="37"/>
      <c r="P17" s="37"/>
      <c r="Q17" s="37"/>
      <c r="R17" s="37"/>
    </row>
    <row r="18" spans="2:18" s="120" customFormat="1" ht="19.5">
      <c r="B18" s="139"/>
      <c r="C18" s="608" t="s">
        <v>159</v>
      </c>
      <c r="D18" s="297"/>
      <c r="E18" s="143"/>
      <c r="F18" s="142"/>
      <c r="G18" s="142"/>
      <c r="H18" s="143"/>
      <c r="I18" s="134"/>
      <c r="J18" s="144"/>
      <c r="K18" s="37"/>
      <c r="L18" s="37"/>
      <c r="M18" s="37"/>
      <c r="N18" s="37"/>
      <c r="O18" s="37"/>
      <c r="P18" s="37"/>
      <c r="Q18" s="37"/>
      <c r="R18" s="37"/>
    </row>
    <row r="19" spans="2:18" s="120" customFormat="1" ht="19.5">
      <c r="B19" s="145"/>
      <c r="C19" s="146"/>
      <c r="D19" s="146"/>
      <c r="E19" s="37"/>
      <c r="F19" s="147"/>
      <c r="G19" s="147"/>
      <c r="H19" s="37"/>
      <c r="I19"/>
      <c r="J19" s="121"/>
      <c r="K19" s="37"/>
      <c r="L19" s="37"/>
      <c r="M19" s="37"/>
      <c r="N19" s="37"/>
      <c r="O19" s="37"/>
      <c r="P19" s="37"/>
      <c r="Q19" s="37"/>
      <c r="R19" s="37"/>
    </row>
    <row r="20" spans="2:19" s="120" customFormat="1" ht="19.5">
      <c r="B20" s="145"/>
      <c r="C20" s="148" t="s">
        <v>8</v>
      </c>
      <c r="D20" s="149" t="s">
        <v>9</v>
      </c>
      <c r="E20" s="37"/>
      <c r="F20" s="147"/>
      <c r="G20" s="147"/>
      <c r="H20" s="147"/>
      <c r="I20" s="38"/>
      <c r="J20" s="121"/>
      <c r="K20" s="37"/>
      <c r="L20" s="37"/>
      <c r="M20" s="37"/>
      <c r="N20" s="37"/>
      <c r="O20" s="37"/>
      <c r="P20" s="37"/>
      <c r="Q20" s="37"/>
      <c r="R20" s="37"/>
      <c r="S20" s="37"/>
    </row>
    <row r="21" spans="2:19" s="112" customFormat="1" ht="11.25">
      <c r="B21" s="259"/>
      <c r="C21" s="260"/>
      <c r="D21" s="260"/>
      <c r="E21" s="113"/>
      <c r="F21" s="261"/>
      <c r="G21" s="261"/>
      <c r="H21" s="261"/>
      <c r="I21" s="262"/>
      <c r="J21" s="26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2:19" s="120" customFormat="1" ht="19.5">
      <c r="B22" s="145"/>
      <c r="C22" s="148"/>
      <c r="D22" s="148" t="s">
        <v>10</v>
      </c>
      <c r="E22" s="7" t="s">
        <v>11</v>
      </c>
      <c r="F22" s="147"/>
      <c r="G22" s="147"/>
      <c r="H22" s="147"/>
      <c r="I22" s="38">
        <f>'LI-02 (2)'!AA44</f>
        <v>123326.21</v>
      </c>
      <c r="J22" s="121"/>
      <c r="K22" s="37"/>
      <c r="L22" s="37"/>
      <c r="M22" s="37"/>
      <c r="N22" s="37"/>
      <c r="O22" s="37"/>
      <c r="P22" s="37"/>
      <c r="Q22" s="37"/>
      <c r="R22" s="37"/>
      <c r="S22" s="37"/>
    </row>
    <row r="23" spans="2:19" s="120" customFormat="1" ht="19.5">
      <c r="B23" s="145"/>
      <c r="C23" s="148"/>
      <c r="D23" s="148" t="s">
        <v>83</v>
      </c>
      <c r="E23" s="7" t="s">
        <v>88</v>
      </c>
      <c r="F23" s="147"/>
      <c r="G23" s="147"/>
      <c r="H23" s="147"/>
      <c r="I23" s="38">
        <f>'LI-ENECOR-02 (1)'!AA44</f>
        <v>106.02</v>
      </c>
      <c r="J23" s="121"/>
      <c r="K23" s="37"/>
      <c r="L23" s="37"/>
      <c r="M23" s="37"/>
      <c r="N23" s="37"/>
      <c r="O23" s="37"/>
      <c r="P23" s="37"/>
      <c r="Q23" s="37"/>
      <c r="R23" s="37"/>
      <c r="S23" s="37"/>
    </row>
    <row r="24" spans="2:19" s="135" customFormat="1" ht="15.75">
      <c r="B24" s="264"/>
      <c r="C24" s="265"/>
      <c r="D24" s="266"/>
      <c r="E24" s="136"/>
      <c r="F24" s="267"/>
      <c r="G24" s="267"/>
      <c r="H24" s="267"/>
      <c r="I24" s="268"/>
      <c r="J24" s="269"/>
      <c r="K24" s="136"/>
      <c r="L24" s="136"/>
      <c r="M24" s="136"/>
      <c r="N24" s="136"/>
      <c r="O24" s="136"/>
      <c r="P24" s="136"/>
      <c r="Q24" s="136"/>
      <c r="R24" s="136"/>
      <c r="S24" s="136"/>
    </row>
    <row r="25" spans="2:19" s="120" customFormat="1" ht="19.5">
      <c r="B25" s="145"/>
      <c r="C25" s="148" t="s">
        <v>12</v>
      </c>
      <c r="D25" s="149" t="s">
        <v>13</v>
      </c>
      <c r="E25" s="37"/>
      <c r="F25" s="147"/>
      <c r="G25" s="147"/>
      <c r="H25" s="147"/>
      <c r="I25" s="38"/>
      <c r="J25" s="121"/>
      <c r="K25" s="37"/>
      <c r="L25" s="37"/>
      <c r="M25" s="37"/>
      <c r="N25" s="37"/>
      <c r="O25" s="37"/>
      <c r="P25" s="37"/>
      <c r="Q25" s="37"/>
      <c r="R25" s="37"/>
      <c r="S25" s="37"/>
    </row>
    <row r="26" spans="2:19" s="112" customFormat="1" ht="5.25" customHeight="1">
      <c r="B26" s="259"/>
      <c r="C26" s="260"/>
      <c r="D26" s="260"/>
      <c r="E26" s="113"/>
      <c r="F26" s="261"/>
      <c r="G26" s="261"/>
      <c r="H26" s="261"/>
      <c r="I26" s="262"/>
      <c r="J26" s="26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2:19" s="120" customFormat="1" ht="19.5">
      <c r="B27" s="145"/>
      <c r="C27" s="148"/>
      <c r="D27" s="148" t="s">
        <v>14</v>
      </c>
      <c r="E27" s="7" t="s">
        <v>15</v>
      </c>
      <c r="F27" s="147"/>
      <c r="G27" s="147"/>
      <c r="H27" s="147"/>
      <c r="I27" s="38"/>
      <c r="J27" s="121"/>
      <c r="K27" s="37"/>
      <c r="L27" s="37"/>
      <c r="M27" s="37"/>
      <c r="N27" s="37"/>
      <c r="O27" s="37"/>
      <c r="P27" s="37"/>
      <c r="Q27" s="37"/>
      <c r="R27" s="37"/>
      <c r="S27" s="37"/>
    </row>
    <row r="28" spans="2:19" s="120" customFormat="1" ht="19.5">
      <c r="B28" s="145"/>
      <c r="C28" s="148"/>
      <c r="E28" s="148" t="s">
        <v>91</v>
      </c>
      <c r="F28" s="7" t="s">
        <v>11</v>
      </c>
      <c r="G28" s="147"/>
      <c r="H28" s="147"/>
      <c r="I28" s="38">
        <f>'T-02 (2)'!AC43</f>
        <v>19692.89</v>
      </c>
      <c r="J28" s="121"/>
      <c r="K28" s="37"/>
      <c r="L28" s="37"/>
      <c r="M28" s="37"/>
      <c r="N28" s="37"/>
      <c r="O28" s="37"/>
      <c r="P28" s="37"/>
      <c r="Q28" s="37"/>
      <c r="R28" s="37"/>
      <c r="S28" s="37"/>
    </row>
    <row r="29" spans="2:19" s="112" customFormat="1" ht="7.5" customHeight="1">
      <c r="B29" s="259"/>
      <c r="C29" s="260"/>
      <c r="D29" s="260"/>
      <c r="E29" s="113"/>
      <c r="F29" s="261"/>
      <c r="G29" s="261"/>
      <c r="H29" s="261"/>
      <c r="I29" s="38"/>
      <c r="J29" s="263"/>
      <c r="K29" s="113"/>
      <c r="L29" s="113"/>
      <c r="M29" s="113"/>
      <c r="N29" s="113"/>
      <c r="O29" s="113"/>
      <c r="P29" s="113"/>
      <c r="Q29" s="113"/>
      <c r="R29" s="113"/>
      <c r="S29" s="113"/>
    </row>
    <row r="30" spans="2:19" s="120" customFormat="1" ht="19.5">
      <c r="B30" s="145"/>
      <c r="C30" s="148"/>
      <c r="D30" s="148" t="s">
        <v>16</v>
      </c>
      <c r="E30" s="7" t="s">
        <v>17</v>
      </c>
      <c r="F30" s="147"/>
      <c r="G30" s="147"/>
      <c r="H30" s="147"/>
      <c r="I30" s="38"/>
      <c r="J30" s="121"/>
      <c r="K30" s="37"/>
      <c r="L30" s="37"/>
      <c r="M30" s="37"/>
      <c r="N30" s="37"/>
      <c r="O30" s="37"/>
      <c r="P30" s="37"/>
      <c r="Q30" s="37"/>
      <c r="R30" s="37"/>
      <c r="S30" s="37"/>
    </row>
    <row r="31" spans="2:19" s="120" customFormat="1" ht="19.5">
      <c r="B31" s="145"/>
      <c r="C31" s="148"/>
      <c r="E31" s="148" t="s">
        <v>92</v>
      </c>
      <c r="F31" s="7" t="s">
        <v>11</v>
      </c>
      <c r="G31" s="147"/>
      <c r="H31" s="147"/>
      <c r="I31" s="38">
        <f>'SA-02 (1)'!V43</f>
        <v>1418.72</v>
      </c>
      <c r="J31" s="121"/>
      <c r="K31" s="37"/>
      <c r="L31" s="37"/>
      <c r="M31" s="37"/>
      <c r="N31" s="37"/>
      <c r="O31" s="37"/>
      <c r="P31" s="37"/>
      <c r="Q31" s="37"/>
      <c r="R31" s="37"/>
      <c r="S31" s="37"/>
    </row>
    <row r="32" spans="2:19" s="120" customFormat="1" ht="19.5">
      <c r="B32" s="145"/>
      <c r="C32" s="148"/>
      <c r="D32" s="148"/>
      <c r="E32" s="7"/>
      <c r="F32" s="147"/>
      <c r="G32" s="147"/>
      <c r="H32" s="147"/>
      <c r="I32" s="38"/>
      <c r="J32" s="121"/>
      <c r="K32" s="37"/>
      <c r="L32" s="37"/>
      <c r="M32" s="37"/>
      <c r="N32" s="37"/>
      <c r="O32" s="37"/>
      <c r="P32" s="37"/>
      <c r="Q32" s="37"/>
      <c r="R32" s="37"/>
      <c r="S32" s="37"/>
    </row>
    <row r="33" spans="2:19" s="120" customFormat="1" ht="19.5">
      <c r="B33" s="145"/>
      <c r="C33" s="148" t="s">
        <v>18</v>
      </c>
      <c r="D33" s="149" t="s">
        <v>85</v>
      </c>
      <c r="E33" s="7"/>
      <c r="F33" s="147"/>
      <c r="G33" s="147"/>
      <c r="H33" s="147"/>
      <c r="I33" s="38"/>
      <c r="J33" s="121"/>
      <c r="K33" s="37"/>
      <c r="L33" s="37"/>
      <c r="M33" s="37"/>
      <c r="N33" s="37"/>
      <c r="O33" s="37"/>
      <c r="P33" s="37"/>
      <c r="Q33" s="37"/>
      <c r="R33" s="37"/>
      <c r="S33" s="37"/>
    </row>
    <row r="34" spans="2:19" s="120" customFormat="1" ht="19.5">
      <c r="B34" s="145"/>
      <c r="C34" s="146"/>
      <c r="D34" s="146" t="s">
        <v>84</v>
      </c>
      <c r="E34" s="7" t="s">
        <v>88</v>
      </c>
      <c r="F34" s="147"/>
      <c r="G34" s="147"/>
      <c r="H34" s="147"/>
      <c r="I34" s="38">
        <f>'SUP-ENECOR'!I44</f>
        <v>42.407999999999994</v>
      </c>
      <c r="J34" s="121"/>
      <c r="K34" s="37"/>
      <c r="L34" s="37"/>
      <c r="M34" s="37"/>
      <c r="N34" s="37"/>
      <c r="O34" s="37"/>
      <c r="P34" s="37"/>
      <c r="Q34" s="37"/>
      <c r="R34" s="37"/>
      <c r="S34" s="37"/>
    </row>
    <row r="35" spans="2:19" s="120" customFormat="1" ht="20.25" thickBot="1">
      <c r="B35" s="145"/>
      <c r="C35" s="146"/>
      <c r="D35" s="146"/>
      <c r="E35" s="37"/>
      <c r="F35" s="147"/>
      <c r="G35" s="147"/>
      <c r="H35" s="147"/>
      <c r="I35" s="37"/>
      <c r="J35" s="121"/>
      <c r="K35" s="37"/>
      <c r="L35" s="37"/>
      <c r="M35" s="37"/>
      <c r="N35" s="37"/>
      <c r="O35" s="37"/>
      <c r="P35" s="37"/>
      <c r="Q35" s="37"/>
      <c r="R35" s="37"/>
      <c r="S35" s="37"/>
    </row>
    <row r="36" spans="2:19" s="120" customFormat="1" ht="20.25" thickBot="1" thickTop="1">
      <c r="B36" s="145"/>
      <c r="C36" s="148"/>
      <c r="D36" s="148"/>
      <c r="F36" s="150" t="s">
        <v>19</v>
      </c>
      <c r="G36" s="83">
        <f>SUM(I22:I34)</f>
        <v>144586.248</v>
      </c>
      <c r="H36" s="270"/>
      <c r="J36" s="121"/>
      <c r="K36" s="37"/>
      <c r="L36" s="37"/>
      <c r="M36" s="37"/>
      <c r="N36" s="37"/>
      <c r="O36" s="37"/>
      <c r="P36" s="37"/>
      <c r="Q36" s="37"/>
      <c r="R36" s="37"/>
      <c r="S36" s="37"/>
    </row>
    <row r="37" spans="2:19" s="120" customFormat="1" ht="19.5" thickTop="1">
      <c r="B37" s="145"/>
      <c r="C37" s="148"/>
      <c r="D37" s="148"/>
      <c r="F37" s="498"/>
      <c r="G37" s="270"/>
      <c r="H37" s="270"/>
      <c r="J37" s="121"/>
      <c r="K37" s="37"/>
      <c r="L37" s="37"/>
      <c r="M37" s="37"/>
      <c r="N37" s="37"/>
      <c r="O37" s="37"/>
      <c r="P37" s="37"/>
      <c r="Q37" s="37"/>
      <c r="R37" s="37"/>
      <c r="S37" s="37"/>
    </row>
    <row r="38" spans="2:19" s="120" customFormat="1" ht="18.75">
      <c r="B38" s="145"/>
      <c r="C38" s="499" t="s">
        <v>147</v>
      </c>
      <c r="D38" s="148"/>
      <c r="F38" s="498"/>
      <c r="G38" s="270"/>
      <c r="H38" s="270"/>
      <c r="J38" s="121"/>
      <c r="K38" s="37"/>
      <c r="L38" s="37"/>
      <c r="M38" s="37"/>
      <c r="N38" s="37"/>
      <c r="O38" s="37"/>
      <c r="P38" s="37"/>
      <c r="Q38" s="37"/>
      <c r="R38" s="37"/>
      <c r="S38" s="37"/>
    </row>
    <row r="39" spans="2:19" s="135" customFormat="1" ht="16.5" thickBot="1">
      <c r="B39" s="151"/>
      <c r="C39" s="152"/>
      <c r="D39" s="152"/>
      <c r="E39" s="153"/>
      <c r="F39" s="153"/>
      <c r="G39" s="153"/>
      <c r="H39" s="153"/>
      <c r="I39" s="153"/>
      <c r="J39" s="154"/>
      <c r="K39" s="136"/>
      <c r="L39" s="136"/>
      <c r="M39" s="155"/>
      <c r="N39" s="156"/>
      <c r="O39" s="156"/>
      <c r="P39" s="157"/>
      <c r="Q39" s="158"/>
      <c r="R39" s="136"/>
      <c r="S39" s="136"/>
    </row>
    <row r="40" spans="4:19" ht="13.5" thickTop="1">
      <c r="D40" s="6"/>
      <c r="F40" s="6"/>
      <c r="G40" s="6"/>
      <c r="H40" s="6"/>
      <c r="I40" s="6"/>
      <c r="J40" s="6"/>
      <c r="K40" s="6"/>
      <c r="L40" s="6"/>
      <c r="M40" s="24"/>
      <c r="N40" s="159"/>
      <c r="O40" s="159"/>
      <c r="P40" s="6"/>
      <c r="Q40" s="27"/>
      <c r="R40" s="6"/>
      <c r="S40" s="6"/>
    </row>
    <row r="41" spans="4:19" ht="12.75">
      <c r="D41" s="6"/>
      <c r="F41" s="6"/>
      <c r="G41" s="6"/>
      <c r="H41" s="6"/>
      <c r="I41" s="6"/>
      <c r="J41" s="6"/>
      <c r="K41" s="6"/>
      <c r="L41" s="6"/>
      <c r="M41" s="6"/>
      <c r="N41" s="125"/>
      <c r="O41" s="125"/>
      <c r="P41" s="126"/>
      <c r="Q41" s="27"/>
      <c r="R41" s="6"/>
      <c r="S41" s="6"/>
    </row>
    <row r="42" spans="4:19" ht="12.75">
      <c r="D42" s="6"/>
      <c r="E42" s="6"/>
      <c r="F42" s="6"/>
      <c r="G42" s="6"/>
      <c r="H42" s="6"/>
      <c r="I42" s="6"/>
      <c r="J42" s="6"/>
      <c r="K42" s="6"/>
      <c r="L42" s="6"/>
      <c r="M42" s="6"/>
      <c r="N42" s="125"/>
      <c r="O42" s="125"/>
      <c r="P42" s="126"/>
      <c r="Q42" s="27"/>
      <c r="R42" s="6"/>
      <c r="S42" s="6"/>
    </row>
    <row r="43" spans="4:19" ht="12.75">
      <c r="D43" s="6"/>
      <c r="E43" s="6"/>
      <c r="L43" s="6"/>
      <c r="M43" s="6"/>
      <c r="N43" s="6"/>
      <c r="O43" s="6"/>
      <c r="P43" s="6"/>
      <c r="Q43" s="6"/>
      <c r="R43" s="6"/>
      <c r="S43" s="6"/>
    </row>
    <row r="44" spans="4:19" ht="12.75">
      <c r="D44" s="6"/>
      <c r="E44" s="6"/>
      <c r="P44" s="6"/>
      <c r="Q44" s="6"/>
      <c r="R44" s="6"/>
      <c r="S44" s="6"/>
    </row>
    <row r="45" spans="4:19" ht="12.75">
      <c r="D45" s="6"/>
      <c r="E45" s="6"/>
      <c r="P45" s="6"/>
      <c r="Q45" s="6"/>
      <c r="R45" s="6"/>
      <c r="S45" s="6"/>
    </row>
    <row r="46" spans="4:19" ht="12.75">
      <c r="D46" s="6"/>
      <c r="E46" s="6"/>
      <c r="P46" s="6"/>
      <c r="Q46" s="6"/>
      <c r="R46" s="6"/>
      <c r="S46" s="6"/>
    </row>
    <row r="47" spans="4:19" ht="12.75">
      <c r="D47" s="6"/>
      <c r="E47" s="6"/>
      <c r="P47" s="6"/>
      <c r="Q47" s="6"/>
      <c r="R47" s="6"/>
      <c r="S47" s="6"/>
    </row>
    <row r="48" spans="4:19" ht="12.75">
      <c r="D48" s="6"/>
      <c r="E48" s="6"/>
      <c r="P48" s="6"/>
      <c r="Q48" s="6"/>
      <c r="R48" s="6"/>
      <c r="S48" s="6"/>
    </row>
    <row r="49" spans="16:19" ht="12.75">
      <c r="P49" s="6"/>
      <c r="Q49" s="6"/>
      <c r="R49" s="6"/>
      <c r="S49" s="6"/>
    </row>
    <row r="50" spans="16:19" ht="12.75">
      <c r="P50" s="6"/>
      <c r="Q50" s="6"/>
      <c r="R50" s="6"/>
      <c r="S50" s="6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2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92"/>
  <sheetViews>
    <sheetView zoomScale="75" zoomScaleNormal="75" workbookViewId="0" topLeftCell="A10">
      <selection activeCell="F32" sqref="F32"/>
    </sheetView>
  </sheetViews>
  <sheetFormatPr defaultColWidth="11.421875" defaultRowHeight="12.75"/>
  <cols>
    <col min="1" max="3" width="4.140625" style="0" customWidth="1"/>
    <col min="4" max="4" width="13.7109375" style="0" customWidth="1"/>
    <col min="5" max="5" width="11.57421875" style="0" customWidth="1"/>
    <col min="6" max="6" width="44.7109375" style="0" customWidth="1"/>
    <col min="7" max="7" width="8.7109375" style="0" customWidth="1"/>
    <col min="8" max="8" width="9.7109375" style="0" customWidth="1"/>
    <col min="9" max="9" width="7.57421875" style="0" hidden="1" customWidth="1"/>
    <col min="10" max="11" width="15.7109375" style="0" customWidth="1"/>
    <col min="12" max="14" width="9.7109375" style="0" customWidth="1"/>
    <col min="15" max="15" width="5.28125" style="0" bestFit="1" customWidth="1"/>
    <col min="16" max="16" width="13.140625" style="0" hidden="1" customWidth="1"/>
    <col min="17" max="17" width="12.28125" style="0" hidden="1" customWidth="1"/>
    <col min="18" max="19" width="10.57421875" style="0" hidden="1" customWidth="1"/>
    <col min="20" max="20" width="9.8515625" style="0" hidden="1" customWidth="1"/>
    <col min="21" max="23" width="6.421875" style="0" hidden="1" customWidth="1"/>
    <col min="24" max="25" width="12.28125" style="0" hidden="1" customWidth="1"/>
    <col min="26" max="26" width="8.7109375" style="0" bestFit="1" customWidth="1"/>
    <col min="27" max="27" width="15.7109375" style="0" customWidth="1"/>
    <col min="28" max="28" width="4.140625" style="0" customWidth="1"/>
  </cols>
  <sheetData>
    <row r="1" s="114" customFormat="1" ht="29.25" customHeight="1">
      <c r="AB1" s="473"/>
    </row>
    <row r="2" spans="2:28" s="114" customFormat="1" ht="26.25">
      <c r="B2" s="486" t="str">
        <f>+'TOT-0210'!B2</f>
        <v>ANEXO II al Memoradnum D.T.E.E. N°  480 /2011</v>
      </c>
      <c r="C2" s="115"/>
      <c r="D2" s="115"/>
      <c r="E2" s="115"/>
      <c r="F2" s="115"/>
      <c r="G2" s="127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="8" customFormat="1" ht="12.75"/>
    <row r="4" spans="1:3" s="112" customFormat="1" ht="11.25">
      <c r="A4" s="513" t="s">
        <v>100</v>
      </c>
      <c r="B4" s="180"/>
      <c r="C4" s="513"/>
    </row>
    <row r="5" spans="1:3" s="112" customFormat="1" ht="11.25">
      <c r="A5" s="513" t="s">
        <v>101</v>
      </c>
      <c r="B5" s="180"/>
      <c r="C5" s="180"/>
    </row>
    <row r="6" s="8" customFormat="1" ht="13.5" thickBot="1"/>
    <row r="7" spans="1:28" s="8" customFormat="1" ht="13.5" thickTop="1">
      <c r="A7" s="6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</row>
    <row r="8" spans="1:28" s="116" customFormat="1" ht="20.25">
      <c r="A8" s="105"/>
      <c r="B8" s="174"/>
      <c r="F8" s="17" t="s">
        <v>20</v>
      </c>
      <c r="G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19"/>
    </row>
    <row r="9" spans="1:28" s="8" customFormat="1" ht="12.75">
      <c r="A9" s="6"/>
      <c r="B9" s="36"/>
      <c r="C9" s="123"/>
      <c r="D9" s="123"/>
      <c r="E9" s="123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9"/>
    </row>
    <row r="10" spans="1:28" s="116" customFormat="1" ht="20.25">
      <c r="A10" s="105"/>
      <c r="B10" s="174"/>
      <c r="F10" s="17" t="s">
        <v>21</v>
      </c>
      <c r="G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19"/>
    </row>
    <row r="11" spans="1:28" s="8" customFormat="1" ht="12.75">
      <c r="A11" s="6"/>
      <c r="B11" s="36"/>
      <c r="C11" s="123"/>
      <c r="D11" s="123"/>
      <c r="E11" s="123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9"/>
    </row>
    <row r="12" spans="1:28" s="116" customFormat="1" ht="20.25">
      <c r="A12" s="105"/>
      <c r="B12" s="174"/>
      <c r="F12" s="17" t="s">
        <v>22</v>
      </c>
      <c r="G12" s="17"/>
      <c r="H12" s="105"/>
      <c r="I12" s="175"/>
      <c r="J12" s="175"/>
      <c r="K12" s="175"/>
      <c r="L12" s="175"/>
      <c r="M12" s="175"/>
      <c r="N12" s="175"/>
      <c r="O12" s="17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19"/>
    </row>
    <row r="13" spans="1:28" s="8" customFormat="1" ht="12.75">
      <c r="A13" s="6"/>
      <c r="B13" s="36"/>
      <c r="C13" s="6"/>
      <c r="D13" s="6"/>
      <c r="E13" s="6"/>
      <c r="F13" s="172"/>
      <c r="G13" s="171"/>
      <c r="H13" s="6"/>
      <c r="I13" s="161"/>
      <c r="J13" s="161"/>
      <c r="K13" s="161"/>
      <c r="L13" s="161"/>
      <c r="M13" s="161"/>
      <c r="N13" s="161"/>
      <c r="O13" s="161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9"/>
    </row>
    <row r="14" spans="1:28" s="120" customFormat="1" ht="19.5">
      <c r="A14" s="37"/>
      <c r="B14" s="479" t="str">
        <f>+'TOT-0210'!B14</f>
        <v>Desde el 01 al 28 de febrero de 2010</v>
      </c>
      <c r="C14" s="143"/>
      <c r="D14" s="143"/>
      <c r="E14" s="143"/>
      <c r="F14" s="143"/>
      <c r="G14" s="176"/>
      <c r="H14" s="177"/>
      <c r="I14" s="178"/>
      <c r="J14" s="179"/>
      <c r="K14" s="178"/>
      <c r="L14" s="178"/>
      <c r="M14" s="178"/>
      <c r="N14" s="178"/>
      <c r="O14" s="178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4"/>
    </row>
    <row r="15" spans="1:28" s="8" customFormat="1" ht="13.5" thickBot="1">
      <c r="A15" s="6"/>
      <c r="B15" s="36"/>
      <c r="C15" s="6"/>
      <c r="D15" s="6"/>
      <c r="E15" s="6"/>
      <c r="F15" s="6"/>
      <c r="G15" s="171"/>
      <c r="H15" s="173"/>
      <c r="I15" s="161"/>
      <c r="J15" s="161"/>
      <c r="K15" s="161"/>
      <c r="L15" s="161"/>
      <c r="M15" s="161"/>
      <c r="N15" s="161"/>
      <c r="O15" s="161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9"/>
    </row>
    <row r="16" spans="1:28" s="8" customFormat="1" ht="14.25" thickBot="1" thickTop="1">
      <c r="A16" s="6"/>
      <c r="B16" s="36"/>
      <c r="C16" s="6"/>
      <c r="D16" s="6"/>
      <c r="E16" s="6"/>
      <c r="F16" s="181" t="s">
        <v>23</v>
      </c>
      <c r="G16" s="478">
        <v>117.437</v>
      </c>
      <c r="H16" s="287"/>
      <c r="I16" s="161"/>
      <c r="J16" s="161"/>
      <c r="K16" s="161"/>
      <c r="L16" s="161"/>
      <c r="M16" s="161"/>
      <c r="N16" s="161"/>
      <c r="O16" s="16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9"/>
    </row>
    <row r="17" spans="1:28" s="8" customFormat="1" ht="14.25" thickBot="1" thickTop="1">
      <c r="A17" s="6"/>
      <c r="B17" s="36"/>
      <c r="C17" s="6"/>
      <c r="D17" s="6"/>
      <c r="E17" s="6"/>
      <c r="F17" s="181" t="s">
        <v>24</v>
      </c>
      <c r="G17" s="478">
        <v>112.722</v>
      </c>
      <c r="H17" s="288"/>
      <c r="I17" s="6"/>
      <c r="J17" s="160"/>
      <c r="K17" s="182" t="s">
        <v>25</v>
      </c>
      <c r="L17" s="183">
        <f>30*'TOT-0210'!B13</f>
        <v>60</v>
      </c>
      <c r="M17" s="258" t="str">
        <f>IF(L17=30," ",IF(L17=60,"Coeficiente duplicado por tasa de falla &gt;4 Sal. x año/100 km.","REVISAR COEFICIENTE"))</f>
        <v>Coeficiente duplicado por tasa de falla &gt;4 Sal. x año/100 km.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9"/>
    </row>
    <row r="18" spans="1:28" s="8" customFormat="1" ht="14.25" thickBot="1" thickTop="1">
      <c r="A18" s="6"/>
      <c r="B18" s="36"/>
      <c r="C18" s="6"/>
      <c r="D18" s="6"/>
      <c r="E18" s="6"/>
      <c r="F18" s="181" t="s">
        <v>26</v>
      </c>
      <c r="G18" s="478">
        <v>112.722</v>
      </c>
      <c r="H18" s="288"/>
      <c r="I18" s="6"/>
      <c r="J18" s="6"/>
      <c r="K18" s="6"/>
      <c r="L18" s="124"/>
      <c r="M18" s="16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9"/>
    </row>
    <row r="19" spans="1:28" s="8" customFormat="1" ht="14.25" thickBot="1" thickTop="1">
      <c r="A19" s="6"/>
      <c r="B19" s="36"/>
      <c r="C19" s="6"/>
      <c r="D19" s="6"/>
      <c r="E19" s="6"/>
      <c r="F19" s="6"/>
      <c r="G19" s="6"/>
      <c r="H19" s="6"/>
      <c r="I19" s="6"/>
      <c r="J19" s="163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9"/>
    </row>
    <row r="20" spans="1:28" s="8" customFormat="1" ht="33.75" customHeight="1" thickBot="1" thickTop="1">
      <c r="A20" s="6"/>
      <c r="B20" s="36"/>
      <c r="C20" s="187" t="s">
        <v>27</v>
      </c>
      <c r="D20" s="187" t="s">
        <v>98</v>
      </c>
      <c r="E20" s="187" t="s">
        <v>99</v>
      </c>
      <c r="F20" s="188" t="s">
        <v>9</v>
      </c>
      <c r="G20" s="189" t="s">
        <v>28</v>
      </c>
      <c r="H20" s="189" t="s">
        <v>29</v>
      </c>
      <c r="I20" s="301" t="s">
        <v>30</v>
      </c>
      <c r="J20" s="188" t="s">
        <v>31</v>
      </c>
      <c r="K20" s="188" t="s">
        <v>32</v>
      </c>
      <c r="L20" s="189" t="s">
        <v>33</v>
      </c>
      <c r="M20" s="189" t="s">
        <v>34</v>
      </c>
      <c r="N20" s="189" t="s">
        <v>35</v>
      </c>
      <c r="O20" s="189" t="s">
        <v>36</v>
      </c>
      <c r="P20" s="317" t="s">
        <v>37</v>
      </c>
      <c r="Q20" s="321" t="s">
        <v>38</v>
      </c>
      <c r="R20" s="303" t="s">
        <v>39</v>
      </c>
      <c r="S20" s="304"/>
      <c r="T20" s="305"/>
      <c r="U20" s="341" t="s">
        <v>40</v>
      </c>
      <c r="V20" s="342"/>
      <c r="W20" s="343"/>
      <c r="X20" s="357" t="s">
        <v>41</v>
      </c>
      <c r="Y20" s="363" t="s">
        <v>42</v>
      </c>
      <c r="Z20" s="295" t="s">
        <v>43</v>
      </c>
      <c r="AA20" s="191" t="s">
        <v>44</v>
      </c>
      <c r="AB20" s="9"/>
    </row>
    <row r="21" spans="1:28" s="8" customFormat="1" ht="16.5" thickBot="1" thickTop="1">
      <c r="A21" s="6"/>
      <c r="B21" s="36"/>
      <c r="C21" s="164"/>
      <c r="D21" s="164"/>
      <c r="E21" s="164"/>
      <c r="F21" s="166"/>
      <c r="G21" s="165"/>
      <c r="H21" s="165"/>
      <c r="I21" s="310"/>
      <c r="J21" s="165"/>
      <c r="K21" s="166"/>
      <c r="L21" s="166"/>
      <c r="M21" s="166"/>
      <c r="N21" s="165"/>
      <c r="O21" s="165"/>
      <c r="P21" s="318"/>
      <c r="Q21" s="326"/>
      <c r="R21" s="328"/>
      <c r="S21" s="329"/>
      <c r="T21" s="330"/>
      <c r="U21" s="344"/>
      <c r="V21" s="345"/>
      <c r="W21" s="346"/>
      <c r="X21" s="358"/>
      <c r="Y21" s="364"/>
      <c r="Z21" s="167"/>
      <c r="AA21" s="471"/>
      <c r="AB21" s="9"/>
    </row>
    <row r="22" spans="1:28" s="8" customFormat="1" ht="16.5" thickBot="1" thickTop="1">
      <c r="A22" s="6"/>
      <c r="B22" s="36"/>
      <c r="C22" s="164"/>
      <c r="D22" s="164"/>
      <c r="E22" s="164"/>
      <c r="F22" s="480"/>
      <c r="G22" s="480"/>
      <c r="H22" s="480"/>
      <c r="I22" s="311"/>
      <c r="J22" s="480"/>
      <c r="K22" s="42"/>
      <c r="L22" s="185"/>
      <c r="M22" s="185"/>
      <c r="N22" s="480"/>
      <c r="O22" s="480"/>
      <c r="P22" s="318"/>
      <c r="Q22" s="324"/>
      <c r="R22" s="331"/>
      <c r="S22" s="332"/>
      <c r="T22" s="333"/>
      <c r="U22" s="347"/>
      <c r="V22" s="348"/>
      <c r="W22" s="349"/>
      <c r="X22" s="359"/>
      <c r="Y22" s="365"/>
      <c r="Z22" s="184"/>
      <c r="AA22" s="316"/>
      <c r="AB22" s="9"/>
    </row>
    <row r="23" spans="1:28" s="8" customFormat="1" ht="16.5" thickBot="1" thickTop="1">
      <c r="A23" s="6"/>
      <c r="B23" s="36"/>
      <c r="C23" s="42">
        <v>1</v>
      </c>
      <c r="D23" s="42">
        <v>218016</v>
      </c>
      <c r="E23" s="42">
        <v>748</v>
      </c>
      <c r="F23" s="43" t="s">
        <v>103</v>
      </c>
      <c r="G23" s="43">
        <v>132</v>
      </c>
      <c r="H23" s="314">
        <v>42</v>
      </c>
      <c r="I23" s="312">
        <f aca="true" t="shared" si="0" ref="I23:I42">IF(H23&gt;25,H23,25)*IF(G23=220,$G$16,IF(G23=132,$G$17,$G$18))/100</f>
        <v>47.343239999999994</v>
      </c>
      <c r="J23" s="44">
        <v>40210.25902777778</v>
      </c>
      <c r="K23" s="44">
        <v>40210.472916666666</v>
      </c>
      <c r="L23" s="10">
        <f aca="true" t="shared" si="1" ref="L23:L42">IF(F23="","",(K23-J23)*24)</f>
        <v>5.133333333302289</v>
      </c>
      <c r="M23" s="11">
        <f aca="true" t="shared" si="2" ref="M23:M42">IF(F23="","",ROUND((K23-J23)*24*60,0))</f>
        <v>308</v>
      </c>
      <c r="N23" s="45" t="s">
        <v>104</v>
      </c>
      <c r="O23" s="46" t="str">
        <f aca="true" t="shared" si="3" ref="O23:O42">IF(F23="","","--")</f>
        <v>--</v>
      </c>
      <c r="P23" s="319">
        <f aca="true" t="shared" si="4" ref="P23:P42">IF(N23="P",ROUND(M23/60,2)*I23*$L$17*0.01,"--")</f>
        <v>145.72249271999996</v>
      </c>
      <c r="Q23" s="325" t="str">
        <f aca="true" t="shared" si="5" ref="Q23:Q42">IF(N23="RP",ROUND(M23/60,2)*I23*$L$17*0.01*O23/100,"--")</f>
        <v>--</v>
      </c>
      <c r="R23" s="334" t="str">
        <f aca="true" t="shared" si="6" ref="R23:R42">IF(N23="F",I23*$L$17,"--")</f>
        <v>--</v>
      </c>
      <c r="S23" s="335" t="str">
        <f aca="true" t="shared" si="7" ref="S23:S42">IF(AND(M23&gt;10,N23="F"),I23*$L$17*IF(M23&gt;180,3,ROUND(M23/60,2)),"--")</f>
        <v>--</v>
      </c>
      <c r="T23" s="336" t="str">
        <f aca="true" t="shared" si="8" ref="T23:T42">IF(AND(N23="F",M23&gt;180),(ROUND(M23/60,2)-3)*I23*$L$17*0.1,"--")</f>
        <v>--</v>
      </c>
      <c r="U23" s="350" t="str">
        <f aca="true" t="shared" si="9" ref="U23:U42">IF(N23="R",I23*$L$17*O23/100,"--")</f>
        <v>--</v>
      </c>
      <c r="V23" s="351" t="str">
        <f aca="true" t="shared" si="10" ref="V23:V42">IF(AND(M23&gt;10,N23="R"),I23*$L$17*O23/100*IF(M23&gt;180,3,ROUND(M23/60,2)),"--")</f>
        <v>--</v>
      </c>
      <c r="W23" s="352" t="str">
        <f aca="true" t="shared" si="11" ref="W23:W42">IF(AND(N23="R",M23&gt;180),(ROUND(M23/60,2)-3)*I23*$L$17*0.1*O23/100,"--")</f>
        <v>--</v>
      </c>
      <c r="X23" s="360" t="str">
        <f aca="true" t="shared" si="12" ref="X23:X42">IF(N23="RF",ROUND(M23/60,2)*I23*$L$17*0.1,"--")</f>
        <v>--</v>
      </c>
      <c r="Y23" s="366" t="str">
        <f aca="true" t="shared" si="13" ref="Y23:Y42">IF(N23="RR",ROUND(M23/60,2)*I23*$L$17*0.1*O23/100,"--")</f>
        <v>--</v>
      </c>
      <c r="Z23" s="302" t="s">
        <v>105</v>
      </c>
      <c r="AA23" s="47">
        <f aca="true" t="shared" si="14" ref="AA23:AA42">IF(F23="","",SUM(P23:Y23)*IF(Z23="SI",1,2))</f>
        <v>145.72249271999996</v>
      </c>
      <c r="AB23" s="465"/>
    </row>
    <row r="24" spans="1:28" s="8" customFormat="1" ht="16.5" thickBot="1" thickTop="1">
      <c r="A24" s="6"/>
      <c r="B24" s="36"/>
      <c r="C24" s="42">
        <v>2</v>
      </c>
      <c r="D24" s="42">
        <v>218052</v>
      </c>
      <c r="E24" s="42">
        <v>746</v>
      </c>
      <c r="F24" s="43" t="s">
        <v>106</v>
      </c>
      <c r="G24" s="43">
        <v>132</v>
      </c>
      <c r="H24" s="314">
        <v>74.5</v>
      </c>
      <c r="I24" s="312">
        <f t="shared" si="0"/>
        <v>83.97788999999999</v>
      </c>
      <c r="J24" s="44">
        <v>40211.29861111111</v>
      </c>
      <c r="K24" s="44">
        <v>40211.3875</v>
      </c>
      <c r="L24" s="10">
        <f t="shared" si="1"/>
        <v>2.1333333333022892</v>
      </c>
      <c r="M24" s="11">
        <f t="shared" si="2"/>
        <v>128</v>
      </c>
      <c r="N24" s="45" t="s">
        <v>107</v>
      </c>
      <c r="O24" s="46" t="str">
        <f t="shared" si="3"/>
        <v>--</v>
      </c>
      <c r="P24" s="319" t="str">
        <f t="shared" si="4"/>
        <v>--</v>
      </c>
      <c r="Q24" s="325" t="str">
        <f t="shared" si="5"/>
        <v>--</v>
      </c>
      <c r="R24" s="334">
        <f t="shared" si="6"/>
        <v>5038.6734</v>
      </c>
      <c r="S24" s="335">
        <f t="shared" si="7"/>
        <v>10732.374342</v>
      </c>
      <c r="T24" s="336" t="str">
        <f t="shared" si="8"/>
        <v>--</v>
      </c>
      <c r="U24" s="350" t="str">
        <f t="shared" si="9"/>
        <v>--</v>
      </c>
      <c r="V24" s="351" t="str">
        <f t="shared" si="10"/>
        <v>--</v>
      </c>
      <c r="W24" s="352" t="str">
        <f t="shared" si="11"/>
        <v>--</v>
      </c>
      <c r="X24" s="360" t="str">
        <f t="shared" si="12"/>
        <v>--</v>
      </c>
      <c r="Y24" s="366" t="str">
        <f t="shared" si="13"/>
        <v>--</v>
      </c>
      <c r="Z24" s="302" t="s">
        <v>105</v>
      </c>
      <c r="AA24" s="47">
        <f t="shared" si="14"/>
        <v>15771.047741999999</v>
      </c>
      <c r="AB24" s="465"/>
    </row>
    <row r="25" spans="1:28" s="8" customFormat="1" ht="16.5" thickBot="1" thickTop="1">
      <c r="A25" s="6"/>
      <c r="B25" s="36"/>
      <c r="C25" s="42">
        <v>3</v>
      </c>
      <c r="D25" s="42">
        <v>218116</v>
      </c>
      <c r="E25" s="42">
        <v>746</v>
      </c>
      <c r="F25" s="43" t="s">
        <v>106</v>
      </c>
      <c r="G25" s="43">
        <v>132</v>
      </c>
      <c r="H25" s="314">
        <v>74.5</v>
      </c>
      <c r="I25" s="312">
        <f t="shared" si="0"/>
        <v>83.97788999999999</v>
      </c>
      <c r="J25" s="44">
        <v>40213.25486111111</v>
      </c>
      <c r="K25" s="44">
        <v>40213.259722222225</v>
      </c>
      <c r="L25" s="10">
        <f t="shared" si="1"/>
        <v>0.11666666669771075</v>
      </c>
      <c r="M25" s="11">
        <f t="shared" si="2"/>
        <v>7</v>
      </c>
      <c r="N25" s="45" t="s">
        <v>107</v>
      </c>
      <c r="O25" s="46" t="str">
        <f t="shared" si="3"/>
        <v>--</v>
      </c>
      <c r="P25" s="319" t="str">
        <f t="shared" si="4"/>
        <v>--</v>
      </c>
      <c r="Q25" s="325" t="str">
        <f t="shared" si="5"/>
        <v>--</v>
      </c>
      <c r="R25" s="334">
        <f t="shared" si="6"/>
        <v>5038.6734</v>
      </c>
      <c r="S25" s="335" t="str">
        <f t="shared" si="7"/>
        <v>--</v>
      </c>
      <c r="T25" s="336" t="str">
        <f t="shared" si="8"/>
        <v>--</v>
      </c>
      <c r="U25" s="350" t="str">
        <f t="shared" si="9"/>
        <v>--</v>
      </c>
      <c r="V25" s="351" t="str">
        <f t="shared" si="10"/>
        <v>--</v>
      </c>
      <c r="W25" s="352" t="str">
        <f t="shared" si="11"/>
        <v>--</v>
      </c>
      <c r="X25" s="360" t="str">
        <f t="shared" si="12"/>
        <v>--</v>
      </c>
      <c r="Y25" s="366" t="str">
        <f t="shared" si="13"/>
        <v>--</v>
      </c>
      <c r="Z25" s="302" t="s">
        <v>105</v>
      </c>
      <c r="AA25" s="47">
        <f t="shared" si="14"/>
        <v>5038.6734</v>
      </c>
      <c r="AB25" s="465"/>
    </row>
    <row r="26" spans="1:28" s="8" customFormat="1" ht="16.5" thickBot="1" thickTop="1">
      <c r="A26" s="6"/>
      <c r="B26" s="36"/>
      <c r="C26" s="42">
        <v>4</v>
      </c>
      <c r="D26" s="42">
        <v>218168</v>
      </c>
      <c r="E26" s="42">
        <v>746</v>
      </c>
      <c r="F26" s="43" t="s">
        <v>106</v>
      </c>
      <c r="G26" s="43">
        <v>132</v>
      </c>
      <c r="H26" s="314">
        <v>74.5</v>
      </c>
      <c r="I26" s="312">
        <f t="shared" si="0"/>
        <v>83.97788999999999</v>
      </c>
      <c r="J26" s="44">
        <v>40213.638194444444</v>
      </c>
      <c r="K26" s="44">
        <v>40213.64097222222</v>
      </c>
      <c r="L26" s="10">
        <f t="shared" si="1"/>
        <v>0.06666666670935228</v>
      </c>
      <c r="M26" s="11">
        <f t="shared" si="2"/>
        <v>4</v>
      </c>
      <c r="N26" s="45" t="s">
        <v>107</v>
      </c>
      <c r="O26" s="46" t="str">
        <f t="shared" si="3"/>
        <v>--</v>
      </c>
      <c r="P26" s="319" t="str">
        <f t="shared" si="4"/>
        <v>--</v>
      </c>
      <c r="Q26" s="325" t="str">
        <f t="shared" si="5"/>
        <v>--</v>
      </c>
      <c r="R26" s="334">
        <f t="shared" si="6"/>
        <v>5038.6734</v>
      </c>
      <c r="S26" s="335" t="str">
        <f t="shared" si="7"/>
        <v>--</v>
      </c>
      <c r="T26" s="336" t="str">
        <f t="shared" si="8"/>
        <v>--</v>
      </c>
      <c r="U26" s="350" t="str">
        <f t="shared" si="9"/>
        <v>--</v>
      </c>
      <c r="V26" s="351" t="str">
        <f t="shared" si="10"/>
        <v>--</v>
      </c>
      <c r="W26" s="352" t="str">
        <f t="shared" si="11"/>
        <v>--</v>
      </c>
      <c r="X26" s="360" t="str">
        <f t="shared" si="12"/>
        <v>--</v>
      </c>
      <c r="Y26" s="366" t="str">
        <f t="shared" si="13"/>
        <v>--</v>
      </c>
      <c r="Z26" s="302" t="s">
        <v>105</v>
      </c>
      <c r="AA26" s="47">
        <f t="shared" si="14"/>
        <v>5038.6734</v>
      </c>
      <c r="AB26" s="465"/>
    </row>
    <row r="27" spans="1:28" s="8" customFormat="1" ht="16.5" thickBot="1" thickTop="1">
      <c r="A27" s="6"/>
      <c r="B27" s="36"/>
      <c r="C27" s="42">
        <v>5</v>
      </c>
      <c r="D27" s="42">
        <v>218185</v>
      </c>
      <c r="E27" s="42">
        <v>746</v>
      </c>
      <c r="F27" s="43" t="s">
        <v>106</v>
      </c>
      <c r="G27" s="43">
        <v>132</v>
      </c>
      <c r="H27" s="314">
        <v>74.5</v>
      </c>
      <c r="I27" s="312">
        <f t="shared" si="0"/>
        <v>83.97788999999999</v>
      </c>
      <c r="J27" s="44">
        <v>40215.03611111111</v>
      </c>
      <c r="K27" s="44">
        <v>40215.31597222222</v>
      </c>
      <c r="L27" s="10">
        <f t="shared" si="1"/>
        <v>6.716666666558012</v>
      </c>
      <c r="M27" s="11">
        <f t="shared" si="2"/>
        <v>403</v>
      </c>
      <c r="N27" s="45" t="s">
        <v>107</v>
      </c>
      <c r="O27" s="46" t="str">
        <f t="shared" si="3"/>
        <v>--</v>
      </c>
      <c r="P27" s="319" t="str">
        <f t="shared" si="4"/>
        <v>--</v>
      </c>
      <c r="Q27" s="325" t="str">
        <f t="shared" si="5"/>
        <v>--</v>
      </c>
      <c r="R27" s="334">
        <f t="shared" si="6"/>
        <v>5038.6734</v>
      </c>
      <c r="S27" s="335">
        <f t="shared" si="7"/>
        <v>15116.020199999999</v>
      </c>
      <c r="T27" s="336">
        <f t="shared" si="8"/>
        <v>1874.3865047999998</v>
      </c>
      <c r="U27" s="350" t="str">
        <f t="shared" si="9"/>
        <v>--</v>
      </c>
      <c r="V27" s="351" t="str">
        <f t="shared" si="10"/>
        <v>--</v>
      </c>
      <c r="W27" s="352" t="str">
        <f t="shared" si="11"/>
        <v>--</v>
      </c>
      <c r="X27" s="360" t="str">
        <f t="shared" si="12"/>
        <v>--</v>
      </c>
      <c r="Y27" s="366" t="str">
        <f t="shared" si="13"/>
        <v>--</v>
      </c>
      <c r="Z27" s="302" t="s">
        <v>105</v>
      </c>
      <c r="AA27" s="47">
        <f t="shared" si="14"/>
        <v>22029.0801048</v>
      </c>
      <c r="AB27" s="465"/>
    </row>
    <row r="28" spans="1:28" s="8" customFormat="1" ht="16.5" thickBot="1" thickTop="1">
      <c r="A28" s="6"/>
      <c r="B28" s="36"/>
      <c r="C28" s="42">
        <v>6</v>
      </c>
      <c r="D28" s="42">
        <v>218408</v>
      </c>
      <c r="E28" s="42">
        <v>1003</v>
      </c>
      <c r="F28" s="43" t="s">
        <v>108</v>
      </c>
      <c r="G28" s="43">
        <v>33</v>
      </c>
      <c r="H28" s="314">
        <v>11.800000190734863</v>
      </c>
      <c r="I28" s="312">
        <f t="shared" si="0"/>
        <v>28.1805</v>
      </c>
      <c r="J28" s="44">
        <v>40221.614583333336</v>
      </c>
      <c r="K28" s="44">
        <v>40222.175</v>
      </c>
      <c r="L28" s="10">
        <f t="shared" si="1"/>
        <v>13.450000000011642</v>
      </c>
      <c r="M28" s="11">
        <f t="shared" si="2"/>
        <v>807</v>
      </c>
      <c r="N28" s="45" t="s">
        <v>107</v>
      </c>
      <c r="O28" s="46" t="str">
        <f t="shared" si="3"/>
        <v>--</v>
      </c>
      <c r="P28" s="319" t="str">
        <f t="shared" si="4"/>
        <v>--</v>
      </c>
      <c r="Q28" s="325" t="str">
        <f t="shared" si="5"/>
        <v>--</v>
      </c>
      <c r="R28" s="334">
        <f t="shared" si="6"/>
        <v>1690.83</v>
      </c>
      <c r="S28" s="335">
        <f t="shared" si="7"/>
        <v>5072.49</v>
      </c>
      <c r="T28" s="336">
        <f t="shared" si="8"/>
        <v>1766.9173500000002</v>
      </c>
      <c r="U28" s="350" t="str">
        <f t="shared" si="9"/>
        <v>--</v>
      </c>
      <c r="V28" s="351" t="str">
        <f t="shared" si="10"/>
        <v>--</v>
      </c>
      <c r="W28" s="352" t="str">
        <f t="shared" si="11"/>
        <v>--</v>
      </c>
      <c r="X28" s="360" t="str">
        <f t="shared" si="12"/>
        <v>--</v>
      </c>
      <c r="Y28" s="366" t="str">
        <f t="shared" si="13"/>
        <v>--</v>
      </c>
      <c r="Z28" s="302" t="s">
        <v>105</v>
      </c>
      <c r="AA28" s="47">
        <f t="shared" si="14"/>
        <v>8530.23735</v>
      </c>
      <c r="AB28" s="465"/>
    </row>
    <row r="29" spans="1:28" s="8" customFormat="1" ht="16.5" thickBot="1" thickTop="1">
      <c r="A29" s="6"/>
      <c r="B29" s="36"/>
      <c r="C29" s="42">
        <v>7</v>
      </c>
      <c r="D29" s="42">
        <v>218407</v>
      </c>
      <c r="E29" s="42">
        <v>1002</v>
      </c>
      <c r="F29" s="43" t="s">
        <v>109</v>
      </c>
      <c r="G29" s="43">
        <v>33</v>
      </c>
      <c r="H29" s="314">
        <v>11.800000190734863</v>
      </c>
      <c r="I29" s="312">
        <f t="shared" si="0"/>
        <v>28.1805</v>
      </c>
      <c r="J29" s="44">
        <v>40221.614583333336</v>
      </c>
      <c r="K29" s="44">
        <v>40222.175</v>
      </c>
      <c r="L29" s="10">
        <f t="shared" si="1"/>
        <v>13.450000000011642</v>
      </c>
      <c r="M29" s="11">
        <f t="shared" si="2"/>
        <v>807</v>
      </c>
      <c r="N29" s="45" t="s">
        <v>107</v>
      </c>
      <c r="O29" s="46" t="str">
        <f t="shared" si="3"/>
        <v>--</v>
      </c>
      <c r="P29" s="319" t="str">
        <f t="shared" si="4"/>
        <v>--</v>
      </c>
      <c r="Q29" s="325" t="str">
        <f t="shared" si="5"/>
        <v>--</v>
      </c>
      <c r="R29" s="334">
        <f t="shared" si="6"/>
        <v>1690.83</v>
      </c>
      <c r="S29" s="335">
        <f t="shared" si="7"/>
        <v>5072.49</v>
      </c>
      <c r="T29" s="336">
        <f t="shared" si="8"/>
        <v>1766.9173500000002</v>
      </c>
      <c r="U29" s="350" t="str">
        <f t="shared" si="9"/>
        <v>--</v>
      </c>
      <c r="V29" s="351" t="str">
        <f t="shared" si="10"/>
        <v>--</v>
      </c>
      <c r="W29" s="352" t="str">
        <f t="shared" si="11"/>
        <v>--</v>
      </c>
      <c r="X29" s="360" t="str">
        <f t="shared" si="12"/>
        <v>--</v>
      </c>
      <c r="Y29" s="366" t="str">
        <f t="shared" si="13"/>
        <v>--</v>
      </c>
      <c r="Z29" s="302" t="s">
        <v>105</v>
      </c>
      <c r="AA29" s="47">
        <f t="shared" si="14"/>
        <v>8530.23735</v>
      </c>
      <c r="AB29" s="465"/>
    </row>
    <row r="30" spans="1:28" s="195" customFormat="1" ht="16.5" thickBot="1" thickTop="1">
      <c r="A30" s="24"/>
      <c r="B30" s="201"/>
      <c r="C30" s="491">
        <v>8</v>
      </c>
      <c r="D30" s="491">
        <v>218409</v>
      </c>
      <c r="E30" s="491">
        <v>742</v>
      </c>
      <c r="F30" s="429" t="s">
        <v>110</v>
      </c>
      <c r="G30" s="429">
        <v>132</v>
      </c>
      <c r="H30" s="594">
        <v>33</v>
      </c>
      <c r="I30" s="595">
        <f t="shared" si="0"/>
        <v>37.19826</v>
      </c>
      <c r="J30" s="54">
        <v>40221.615277777775</v>
      </c>
      <c r="K30" s="54">
        <v>40222.50486111111</v>
      </c>
      <c r="L30" s="21">
        <f t="shared" si="1"/>
        <v>21.350000000093132</v>
      </c>
      <c r="M30" s="596">
        <f t="shared" si="2"/>
        <v>1281</v>
      </c>
      <c r="N30" s="55" t="s">
        <v>107</v>
      </c>
      <c r="O30" s="370" t="str">
        <f t="shared" si="3"/>
        <v>--</v>
      </c>
      <c r="P30" s="597" t="str">
        <f t="shared" si="4"/>
        <v>--</v>
      </c>
      <c r="Q30" s="598" t="str">
        <f t="shared" si="5"/>
        <v>--</v>
      </c>
      <c r="R30" s="599">
        <f t="shared" si="6"/>
        <v>2231.8956</v>
      </c>
      <c r="S30" s="600">
        <f t="shared" si="7"/>
        <v>6695.6867999999995</v>
      </c>
      <c r="T30" s="601">
        <f t="shared" si="8"/>
        <v>4095.5284260000003</v>
      </c>
      <c r="U30" s="602" t="str">
        <f t="shared" si="9"/>
        <v>--</v>
      </c>
      <c r="V30" s="603" t="str">
        <f t="shared" si="10"/>
        <v>--</v>
      </c>
      <c r="W30" s="604" t="str">
        <f t="shared" si="11"/>
        <v>--</v>
      </c>
      <c r="X30" s="605" t="str">
        <f t="shared" si="12"/>
        <v>--</v>
      </c>
      <c r="Y30" s="606" t="str">
        <f t="shared" si="13"/>
        <v>--</v>
      </c>
      <c r="Z30" s="607" t="s">
        <v>105</v>
      </c>
      <c r="AA30" s="26">
        <f t="shared" si="14"/>
        <v>13023.110826</v>
      </c>
      <c r="AB30" s="466"/>
    </row>
    <row r="31" spans="1:28" s="195" customFormat="1" ht="16.5" thickBot="1" thickTop="1">
      <c r="A31" s="24"/>
      <c r="B31" s="201"/>
      <c r="C31" s="491">
        <v>9</v>
      </c>
      <c r="D31" s="491">
        <v>218410</v>
      </c>
      <c r="E31" s="491">
        <v>741</v>
      </c>
      <c r="F31" s="429" t="s">
        <v>111</v>
      </c>
      <c r="G31" s="429">
        <v>132</v>
      </c>
      <c r="H31" s="594">
        <v>10.199999809265137</v>
      </c>
      <c r="I31" s="595">
        <f t="shared" si="0"/>
        <v>28.1805</v>
      </c>
      <c r="J31" s="54">
        <v>40221.615277777775</v>
      </c>
      <c r="K31" s="54">
        <v>40221.61666666667</v>
      </c>
      <c r="L31" s="21">
        <f t="shared" si="1"/>
        <v>0.033333333441987634</v>
      </c>
      <c r="M31" s="596">
        <f t="shared" si="2"/>
        <v>2</v>
      </c>
      <c r="N31" s="55" t="s">
        <v>107</v>
      </c>
      <c r="O31" s="370" t="str">
        <f t="shared" si="3"/>
        <v>--</v>
      </c>
      <c r="P31" s="597" t="str">
        <f t="shared" si="4"/>
        <v>--</v>
      </c>
      <c r="Q31" s="598" t="str">
        <f t="shared" si="5"/>
        <v>--</v>
      </c>
      <c r="R31" s="599">
        <f t="shared" si="6"/>
        <v>1690.83</v>
      </c>
      <c r="S31" s="600" t="str">
        <f t="shared" si="7"/>
        <v>--</v>
      </c>
      <c r="T31" s="601" t="str">
        <f t="shared" si="8"/>
        <v>--</v>
      </c>
      <c r="U31" s="602" t="str">
        <f t="shared" si="9"/>
        <v>--</v>
      </c>
      <c r="V31" s="603" t="str">
        <f t="shared" si="10"/>
        <v>--</v>
      </c>
      <c r="W31" s="604" t="str">
        <f t="shared" si="11"/>
        <v>--</v>
      </c>
      <c r="X31" s="605" t="str">
        <f t="shared" si="12"/>
        <v>--</v>
      </c>
      <c r="Y31" s="606" t="str">
        <f t="shared" si="13"/>
        <v>--</v>
      </c>
      <c r="Z31" s="607" t="s">
        <v>105</v>
      </c>
      <c r="AA31" s="26">
        <f t="shared" si="14"/>
        <v>1690.83</v>
      </c>
      <c r="AB31" s="466"/>
    </row>
    <row r="32" spans="1:28" s="8" customFormat="1" ht="16.5" thickBot="1" thickTop="1">
      <c r="A32" s="6"/>
      <c r="B32" s="36"/>
      <c r="C32" s="42">
        <v>10</v>
      </c>
      <c r="D32" s="42">
        <v>218449</v>
      </c>
      <c r="E32" s="42">
        <v>4800</v>
      </c>
      <c r="F32" s="43" t="s">
        <v>145</v>
      </c>
      <c r="G32" s="43">
        <v>132</v>
      </c>
      <c r="H32" s="314">
        <v>12.6</v>
      </c>
      <c r="I32" s="312">
        <f t="shared" si="0"/>
        <v>28.1805</v>
      </c>
      <c r="J32" s="44">
        <v>40223.154861111114</v>
      </c>
      <c r="K32" s="44">
        <v>40223.8375</v>
      </c>
      <c r="L32" s="10">
        <f t="shared" si="1"/>
        <v>16.38333333330229</v>
      </c>
      <c r="M32" s="11">
        <f t="shared" si="2"/>
        <v>983</v>
      </c>
      <c r="N32" s="45" t="s">
        <v>107</v>
      </c>
      <c r="O32" s="46" t="str">
        <f t="shared" si="3"/>
        <v>--</v>
      </c>
      <c r="P32" s="319" t="str">
        <f t="shared" si="4"/>
        <v>--</v>
      </c>
      <c r="Q32" s="325" t="str">
        <f t="shared" si="5"/>
        <v>--</v>
      </c>
      <c r="R32" s="334">
        <f t="shared" si="6"/>
        <v>1690.83</v>
      </c>
      <c r="S32" s="335">
        <f t="shared" si="7"/>
        <v>5072.49</v>
      </c>
      <c r="T32" s="336">
        <f t="shared" si="8"/>
        <v>2262.33054</v>
      </c>
      <c r="U32" s="350" t="str">
        <f t="shared" si="9"/>
        <v>--</v>
      </c>
      <c r="V32" s="351" t="str">
        <f t="shared" si="10"/>
        <v>--</v>
      </c>
      <c r="W32" s="352" t="str">
        <f t="shared" si="11"/>
        <v>--</v>
      </c>
      <c r="X32" s="360" t="str">
        <f t="shared" si="12"/>
        <v>--</v>
      </c>
      <c r="Y32" s="366" t="str">
        <f t="shared" si="13"/>
        <v>--</v>
      </c>
      <c r="Z32" s="302" t="s">
        <v>105</v>
      </c>
      <c r="AA32" s="47">
        <f t="shared" si="14"/>
        <v>9025.650539999999</v>
      </c>
      <c r="AB32" s="465"/>
    </row>
    <row r="33" spans="1:28" s="8" customFormat="1" ht="16.5" thickBot="1" thickTop="1">
      <c r="A33" s="6"/>
      <c r="B33" s="36"/>
      <c r="C33" s="42">
        <v>11</v>
      </c>
      <c r="D33" s="42">
        <v>218677</v>
      </c>
      <c r="E33" s="42">
        <v>4316</v>
      </c>
      <c r="F33" s="43" t="s">
        <v>112</v>
      </c>
      <c r="G33" s="43">
        <v>132</v>
      </c>
      <c r="H33" s="314">
        <v>111.5999984741211</v>
      </c>
      <c r="I33" s="312">
        <f t="shared" si="0"/>
        <v>125.79775027999878</v>
      </c>
      <c r="J33" s="44">
        <v>40224.89097222222</v>
      </c>
      <c r="K33" s="44">
        <v>40224.89375</v>
      </c>
      <c r="L33" s="10">
        <f t="shared" si="1"/>
        <v>0.06666666670935228</v>
      </c>
      <c r="M33" s="11">
        <f t="shared" si="2"/>
        <v>4</v>
      </c>
      <c r="N33" s="45" t="s">
        <v>107</v>
      </c>
      <c r="O33" s="46" t="str">
        <f t="shared" si="3"/>
        <v>--</v>
      </c>
      <c r="P33" s="319" t="str">
        <f t="shared" si="4"/>
        <v>--</v>
      </c>
      <c r="Q33" s="325" t="str">
        <f t="shared" si="5"/>
        <v>--</v>
      </c>
      <c r="R33" s="334">
        <f t="shared" si="6"/>
        <v>7547.865016799927</v>
      </c>
      <c r="S33" s="335" t="str">
        <f t="shared" si="7"/>
        <v>--</v>
      </c>
      <c r="T33" s="336" t="str">
        <f t="shared" si="8"/>
        <v>--</v>
      </c>
      <c r="U33" s="350" t="str">
        <f t="shared" si="9"/>
        <v>--</v>
      </c>
      <c r="V33" s="351" t="str">
        <f t="shared" si="10"/>
        <v>--</v>
      </c>
      <c r="W33" s="352" t="str">
        <f t="shared" si="11"/>
        <v>--</v>
      </c>
      <c r="X33" s="360" t="str">
        <f t="shared" si="12"/>
        <v>--</v>
      </c>
      <c r="Y33" s="366" t="str">
        <f t="shared" si="13"/>
        <v>--</v>
      </c>
      <c r="Z33" s="302" t="s">
        <v>105</v>
      </c>
      <c r="AA33" s="47">
        <f t="shared" si="14"/>
        <v>7547.865016799927</v>
      </c>
      <c r="AB33" s="465"/>
    </row>
    <row r="34" spans="1:28" s="8" customFormat="1" ht="16.5" thickBot="1" thickTop="1">
      <c r="A34" s="6"/>
      <c r="B34" s="36"/>
      <c r="C34" s="42">
        <v>12</v>
      </c>
      <c r="D34" s="42">
        <v>218695</v>
      </c>
      <c r="E34" s="42">
        <v>748</v>
      </c>
      <c r="F34" s="43" t="s">
        <v>103</v>
      </c>
      <c r="G34" s="43">
        <v>132</v>
      </c>
      <c r="H34" s="314">
        <v>42</v>
      </c>
      <c r="I34" s="312">
        <f t="shared" si="0"/>
        <v>47.343239999999994</v>
      </c>
      <c r="J34" s="44">
        <v>40225.084027777775</v>
      </c>
      <c r="K34" s="44">
        <v>40225.52291666667</v>
      </c>
      <c r="L34" s="10">
        <f t="shared" si="1"/>
        <v>10.533333333441988</v>
      </c>
      <c r="M34" s="11">
        <f t="shared" si="2"/>
        <v>632</v>
      </c>
      <c r="N34" s="45" t="s">
        <v>104</v>
      </c>
      <c r="O34" s="46" t="str">
        <f t="shared" si="3"/>
        <v>--</v>
      </c>
      <c r="P34" s="319">
        <f t="shared" si="4"/>
        <v>299.11459031999993</v>
      </c>
      <c r="Q34" s="325" t="str">
        <f t="shared" si="5"/>
        <v>--</v>
      </c>
      <c r="R34" s="334" t="str">
        <f t="shared" si="6"/>
        <v>--</v>
      </c>
      <c r="S34" s="335" t="str">
        <f t="shared" si="7"/>
        <v>--</v>
      </c>
      <c r="T34" s="336" t="str">
        <f t="shared" si="8"/>
        <v>--</v>
      </c>
      <c r="U34" s="350" t="str">
        <f t="shared" si="9"/>
        <v>--</v>
      </c>
      <c r="V34" s="351" t="str">
        <f t="shared" si="10"/>
        <v>--</v>
      </c>
      <c r="W34" s="352" t="str">
        <f t="shared" si="11"/>
        <v>--</v>
      </c>
      <c r="X34" s="360" t="str">
        <f t="shared" si="12"/>
        <v>--</v>
      </c>
      <c r="Y34" s="366" t="str">
        <f t="shared" si="13"/>
        <v>--</v>
      </c>
      <c r="Z34" s="302" t="s">
        <v>105</v>
      </c>
      <c r="AA34" s="47">
        <f t="shared" si="14"/>
        <v>299.11459031999993</v>
      </c>
      <c r="AB34" s="465"/>
    </row>
    <row r="35" spans="1:28" s="8" customFormat="1" ht="16.5" thickBot="1" thickTop="1">
      <c r="A35" s="6"/>
      <c r="B35" s="36"/>
      <c r="C35" s="42">
        <v>13</v>
      </c>
      <c r="D35" s="42">
        <v>218696</v>
      </c>
      <c r="E35" s="42">
        <v>748</v>
      </c>
      <c r="F35" s="43" t="s">
        <v>103</v>
      </c>
      <c r="G35" s="43">
        <v>132</v>
      </c>
      <c r="H35" s="314">
        <v>42</v>
      </c>
      <c r="I35" s="312">
        <f t="shared" si="0"/>
        <v>47.343239999999994</v>
      </c>
      <c r="J35" s="44">
        <v>40226.07708333333</v>
      </c>
      <c r="K35" s="44">
        <v>40226.520833333336</v>
      </c>
      <c r="L35" s="10">
        <f t="shared" si="1"/>
        <v>10.650000000139698</v>
      </c>
      <c r="M35" s="11">
        <f t="shared" si="2"/>
        <v>639</v>
      </c>
      <c r="N35" s="45" t="s">
        <v>104</v>
      </c>
      <c r="O35" s="46" t="str">
        <f t="shared" si="3"/>
        <v>--</v>
      </c>
      <c r="P35" s="319">
        <f t="shared" si="4"/>
        <v>302.52330359999996</v>
      </c>
      <c r="Q35" s="325" t="str">
        <f t="shared" si="5"/>
        <v>--</v>
      </c>
      <c r="R35" s="334" t="str">
        <f t="shared" si="6"/>
        <v>--</v>
      </c>
      <c r="S35" s="335" t="str">
        <f t="shared" si="7"/>
        <v>--</v>
      </c>
      <c r="T35" s="336" t="str">
        <f t="shared" si="8"/>
        <v>--</v>
      </c>
      <c r="U35" s="350" t="str">
        <f t="shared" si="9"/>
        <v>--</v>
      </c>
      <c r="V35" s="351" t="str">
        <f t="shared" si="10"/>
        <v>--</v>
      </c>
      <c r="W35" s="352" t="str">
        <f t="shared" si="11"/>
        <v>--</v>
      </c>
      <c r="X35" s="360" t="str">
        <f t="shared" si="12"/>
        <v>--</v>
      </c>
      <c r="Y35" s="366" t="str">
        <f t="shared" si="13"/>
        <v>--</v>
      </c>
      <c r="Z35" s="302" t="s">
        <v>105</v>
      </c>
      <c r="AA35" s="47">
        <f t="shared" si="14"/>
        <v>302.52330359999996</v>
      </c>
      <c r="AB35" s="9"/>
    </row>
    <row r="36" spans="1:28" s="8" customFormat="1" ht="16.5" thickBot="1" thickTop="1">
      <c r="A36" s="6"/>
      <c r="B36" s="36"/>
      <c r="C36" s="42">
        <v>14</v>
      </c>
      <c r="D36" s="42">
        <v>218697</v>
      </c>
      <c r="E36" s="42">
        <v>748</v>
      </c>
      <c r="F36" s="43" t="s">
        <v>103</v>
      </c>
      <c r="G36" s="43">
        <v>132</v>
      </c>
      <c r="H36" s="314">
        <v>42</v>
      </c>
      <c r="I36" s="312">
        <f t="shared" si="0"/>
        <v>47.343239999999994</v>
      </c>
      <c r="J36" s="44">
        <v>40227.084027777775</v>
      </c>
      <c r="K36" s="44">
        <v>40227.520833333336</v>
      </c>
      <c r="L36" s="10">
        <f t="shared" si="1"/>
        <v>10.48333333345363</v>
      </c>
      <c r="M36" s="11">
        <f t="shared" si="2"/>
        <v>629</v>
      </c>
      <c r="N36" s="45" t="s">
        <v>104</v>
      </c>
      <c r="O36" s="46" t="str">
        <f t="shared" si="3"/>
        <v>--</v>
      </c>
      <c r="P36" s="319">
        <f t="shared" si="4"/>
        <v>297.69429312</v>
      </c>
      <c r="Q36" s="325" t="str">
        <f t="shared" si="5"/>
        <v>--</v>
      </c>
      <c r="R36" s="334" t="str">
        <f t="shared" si="6"/>
        <v>--</v>
      </c>
      <c r="S36" s="335" t="str">
        <f t="shared" si="7"/>
        <v>--</v>
      </c>
      <c r="T36" s="336" t="str">
        <f t="shared" si="8"/>
        <v>--</v>
      </c>
      <c r="U36" s="350" t="str">
        <f t="shared" si="9"/>
        <v>--</v>
      </c>
      <c r="V36" s="351" t="str">
        <f t="shared" si="10"/>
        <v>--</v>
      </c>
      <c r="W36" s="352" t="str">
        <f t="shared" si="11"/>
        <v>--</v>
      </c>
      <c r="X36" s="360" t="str">
        <f t="shared" si="12"/>
        <v>--</v>
      </c>
      <c r="Y36" s="366" t="str">
        <f t="shared" si="13"/>
        <v>--</v>
      </c>
      <c r="Z36" s="302" t="s">
        <v>105</v>
      </c>
      <c r="AA36" s="47">
        <f t="shared" si="14"/>
        <v>297.69429312</v>
      </c>
      <c r="AB36" s="9"/>
    </row>
    <row r="37" spans="1:28" s="8" customFormat="1" ht="16.5" thickBot="1" thickTop="1">
      <c r="A37" s="6"/>
      <c r="B37" s="168"/>
      <c r="C37" s="42">
        <v>15</v>
      </c>
      <c r="D37" s="42">
        <v>218700</v>
      </c>
      <c r="E37" s="42">
        <v>1002</v>
      </c>
      <c r="F37" s="43" t="s">
        <v>109</v>
      </c>
      <c r="G37" s="43">
        <v>33</v>
      </c>
      <c r="H37" s="314">
        <v>11.800000190734863</v>
      </c>
      <c r="I37" s="312">
        <f t="shared" si="0"/>
        <v>28.1805</v>
      </c>
      <c r="J37" s="44">
        <v>40228.243055555555</v>
      </c>
      <c r="K37" s="44">
        <v>40228.24791666667</v>
      </c>
      <c r="L37" s="10">
        <f t="shared" si="1"/>
        <v>0.11666666669771075</v>
      </c>
      <c r="M37" s="11">
        <f t="shared" si="2"/>
        <v>7</v>
      </c>
      <c r="N37" s="45" t="s">
        <v>107</v>
      </c>
      <c r="O37" s="46" t="str">
        <f t="shared" si="3"/>
        <v>--</v>
      </c>
      <c r="P37" s="319" t="str">
        <f t="shared" si="4"/>
        <v>--</v>
      </c>
      <c r="Q37" s="325" t="str">
        <f t="shared" si="5"/>
        <v>--</v>
      </c>
      <c r="R37" s="334">
        <f t="shared" si="6"/>
        <v>1690.83</v>
      </c>
      <c r="S37" s="335" t="str">
        <f t="shared" si="7"/>
        <v>--</v>
      </c>
      <c r="T37" s="336" t="str">
        <f t="shared" si="8"/>
        <v>--</v>
      </c>
      <c r="U37" s="350" t="str">
        <f t="shared" si="9"/>
        <v>--</v>
      </c>
      <c r="V37" s="351" t="str">
        <f t="shared" si="10"/>
        <v>--</v>
      </c>
      <c r="W37" s="352" t="str">
        <f t="shared" si="11"/>
        <v>--</v>
      </c>
      <c r="X37" s="360" t="str">
        <f t="shared" si="12"/>
        <v>--</v>
      </c>
      <c r="Y37" s="366" t="str">
        <f t="shared" si="13"/>
        <v>--</v>
      </c>
      <c r="Z37" s="302" t="s">
        <v>105</v>
      </c>
      <c r="AA37" s="47">
        <f t="shared" si="14"/>
        <v>1690.83</v>
      </c>
      <c r="AB37" s="9"/>
    </row>
    <row r="38" spans="1:28" s="8" customFormat="1" ht="16.5" thickBot="1" thickTop="1">
      <c r="A38" s="6"/>
      <c r="B38" s="36"/>
      <c r="C38" s="42">
        <v>16</v>
      </c>
      <c r="D38" s="42">
        <v>218701</v>
      </c>
      <c r="E38" s="42">
        <v>1003</v>
      </c>
      <c r="F38" s="43" t="s">
        <v>108</v>
      </c>
      <c r="G38" s="43">
        <v>33</v>
      </c>
      <c r="H38" s="314">
        <v>11.800000190734863</v>
      </c>
      <c r="I38" s="312">
        <f t="shared" si="0"/>
        <v>28.1805</v>
      </c>
      <c r="J38" s="44">
        <v>40228.243055555555</v>
      </c>
      <c r="K38" s="44">
        <v>40228.26388888889</v>
      </c>
      <c r="L38" s="10">
        <f t="shared" si="1"/>
        <v>0.5000000000582077</v>
      </c>
      <c r="M38" s="11">
        <f t="shared" si="2"/>
        <v>30</v>
      </c>
      <c r="N38" s="45" t="s">
        <v>107</v>
      </c>
      <c r="O38" s="46" t="str">
        <f t="shared" si="3"/>
        <v>--</v>
      </c>
      <c r="P38" s="319" t="str">
        <f t="shared" si="4"/>
        <v>--</v>
      </c>
      <c r="Q38" s="325" t="str">
        <f t="shared" si="5"/>
        <v>--</v>
      </c>
      <c r="R38" s="334">
        <f t="shared" si="6"/>
        <v>1690.83</v>
      </c>
      <c r="S38" s="335">
        <f t="shared" si="7"/>
        <v>845.415</v>
      </c>
      <c r="T38" s="336" t="str">
        <f t="shared" si="8"/>
        <v>--</v>
      </c>
      <c r="U38" s="350" t="str">
        <f t="shared" si="9"/>
        <v>--</v>
      </c>
      <c r="V38" s="351" t="str">
        <f t="shared" si="10"/>
        <v>--</v>
      </c>
      <c r="W38" s="352" t="str">
        <f t="shared" si="11"/>
        <v>--</v>
      </c>
      <c r="X38" s="360" t="str">
        <f t="shared" si="12"/>
        <v>--</v>
      </c>
      <c r="Y38" s="366" t="str">
        <f t="shared" si="13"/>
        <v>--</v>
      </c>
      <c r="Z38" s="302" t="s">
        <v>105</v>
      </c>
      <c r="AA38" s="47">
        <f t="shared" si="14"/>
        <v>2536.245</v>
      </c>
      <c r="AB38" s="9"/>
    </row>
    <row r="39" spans="1:28" s="8" customFormat="1" ht="16.5" thickBot="1" thickTop="1">
      <c r="A39" s="6"/>
      <c r="B39" s="36"/>
      <c r="C39" s="42">
        <v>17</v>
      </c>
      <c r="D39" s="42">
        <v>218723</v>
      </c>
      <c r="E39" s="42">
        <v>748</v>
      </c>
      <c r="F39" s="43" t="s">
        <v>103</v>
      </c>
      <c r="G39" s="43">
        <v>132</v>
      </c>
      <c r="H39" s="314">
        <v>42</v>
      </c>
      <c r="I39" s="312">
        <f t="shared" si="0"/>
        <v>47.343239999999994</v>
      </c>
      <c r="J39" s="44">
        <v>40228.478472222225</v>
      </c>
      <c r="K39" s="44">
        <v>40237.99930555555</v>
      </c>
      <c r="L39" s="10">
        <f t="shared" si="1"/>
        <v>228.49999999988358</v>
      </c>
      <c r="M39" s="11">
        <f t="shared" si="2"/>
        <v>13710</v>
      </c>
      <c r="N39" s="45" t="s">
        <v>104</v>
      </c>
      <c r="O39" s="46" t="str">
        <f t="shared" si="3"/>
        <v>--</v>
      </c>
      <c r="P39" s="319">
        <f t="shared" si="4"/>
        <v>6490.758204</v>
      </c>
      <c r="Q39" s="325" t="str">
        <f t="shared" si="5"/>
        <v>--</v>
      </c>
      <c r="R39" s="334" t="str">
        <f t="shared" si="6"/>
        <v>--</v>
      </c>
      <c r="S39" s="335" t="str">
        <f t="shared" si="7"/>
        <v>--</v>
      </c>
      <c r="T39" s="336" t="str">
        <f t="shared" si="8"/>
        <v>--</v>
      </c>
      <c r="U39" s="350" t="str">
        <f t="shared" si="9"/>
        <v>--</v>
      </c>
      <c r="V39" s="351" t="str">
        <f t="shared" si="10"/>
        <v>--</v>
      </c>
      <c r="W39" s="352" t="str">
        <f t="shared" si="11"/>
        <v>--</v>
      </c>
      <c r="X39" s="360" t="str">
        <f t="shared" si="12"/>
        <v>--</v>
      </c>
      <c r="Y39" s="366" t="str">
        <f t="shared" si="13"/>
        <v>--</v>
      </c>
      <c r="Z39" s="302" t="s">
        <v>105</v>
      </c>
      <c r="AA39" s="47">
        <f t="shared" si="14"/>
        <v>6490.758204</v>
      </c>
      <c r="AB39" s="9"/>
    </row>
    <row r="40" spans="2:28" s="8" customFormat="1" ht="16.5" thickBot="1" thickTop="1">
      <c r="B40" s="169"/>
      <c r="C40" s="42">
        <v>18</v>
      </c>
      <c r="D40" s="42">
        <v>218734</v>
      </c>
      <c r="E40" s="42">
        <v>4316</v>
      </c>
      <c r="F40" s="43" t="s">
        <v>112</v>
      </c>
      <c r="G40" s="43">
        <v>132</v>
      </c>
      <c r="H40" s="314">
        <v>111.5999984741211</v>
      </c>
      <c r="I40" s="312">
        <f t="shared" si="0"/>
        <v>125.79775027999878</v>
      </c>
      <c r="J40" s="44">
        <v>40230.15416666667</v>
      </c>
      <c r="K40" s="44">
        <v>40230.15694444445</v>
      </c>
      <c r="L40" s="10">
        <f t="shared" si="1"/>
        <v>0.06666666670935228</v>
      </c>
      <c r="M40" s="11">
        <f t="shared" si="2"/>
        <v>4</v>
      </c>
      <c r="N40" s="45" t="s">
        <v>107</v>
      </c>
      <c r="O40" s="46" t="str">
        <f t="shared" si="3"/>
        <v>--</v>
      </c>
      <c r="P40" s="319" t="str">
        <f t="shared" si="4"/>
        <v>--</v>
      </c>
      <c r="Q40" s="325" t="str">
        <f t="shared" si="5"/>
        <v>--</v>
      </c>
      <c r="R40" s="334">
        <f t="shared" si="6"/>
        <v>7547.865016799927</v>
      </c>
      <c r="S40" s="335" t="str">
        <f t="shared" si="7"/>
        <v>--</v>
      </c>
      <c r="T40" s="336" t="str">
        <f t="shared" si="8"/>
        <v>--</v>
      </c>
      <c r="U40" s="350" t="str">
        <f t="shared" si="9"/>
        <v>--</v>
      </c>
      <c r="V40" s="351" t="str">
        <f t="shared" si="10"/>
        <v>--</v>
      </c>
      <c r="W40" s="352" t="str">
        <f t="shared" si="11"/>
        <v>--</v>
      </c>
      <c r="X40" s="360" t="str">
        <f t="shared" si="12"/>
        <v>--</v>
      </c>
      <c r="Y40" s="366" t="str">
        <f t="shared" si="13"/>
        <v>--</v>
      </c>
      <c r="Z40" s="302" t="s">
        <v>105</v>
      </c>
      <c r="AA40" s="47">
        <f t="shared" si="14"/>
        <v>7547.865016799927</v>
      </c>
      <c r="AB40" s="9"/>
    </row>
    <row r="41" spans="2:28" s="8" customFormat="1" ht="16.5" thickBot="1" thickTop="1">
      <c r="B41" s="169"/>
      <c r="C41" s="42">
        <v>19</v>
      </c>
      <c r="D41" s="42">
        <v>218937</v>
      </c>
      <c r="E41" s="42">
        <v>4316</v>
      </c>
      <c r="F41" s="43" t="s">
        <v>112</v>
      </c>
      <c r="G41" s="43">
        <v>132</v>
      </c>
      <c r="H41" s="314">
        <v>111.5999984741211</v>
      </c>
      <c r="I41" s="312">
        <f t="shared" si="0"/>
        <v>125.79775027999878</v>
      </c>
      <c r="J41" s="44">
        <v>40232.42847222222</v>
      </c>
      <c r="K41" s="44">
        <v>40232.43194444444</v>
      </c>
      <c r="L41" s="10">
        <f t="shared" si="1"/>
        <v>0.08333333325572312</v>
      </c>
      <c r="M41" s="11">
        <f t="shared" si="2"/>
        <v>5</v>
      </c>
      <c r="N41" s="45" t="s">
        <v>107</v>
      </c>
      <c r="O41" s="46" t="str">
        <f t="shared" si="3"/>
        <v>--</v>
      </c>
      <c r="P41" s="319" t="str">
        <f t="shared" si="4"/>
        <v>--</v>
      </c>
      <c r="Q41" s="325" t="str">
        <f t="shared" si="5"/>
        <v>--</v>
      </c>
      <c r="R41" s="334">
        <f t="shared" si="6"/>
        <v>7547.865016799927</v>
      </c>
      <c r="S41" s="335" t="str">
        <f t="shared" si="7"/>
        <v>--</v>
      </c>
      <c r="T41" s="336" t="str">
        <f t="shared" si="8"/>
        <v>--</v>
      </c>
      <c r="U41" s="350" t="str">
        <f t="shared" si="9"/>
        <v>--</v>
      </c>
      <c r="V41" s="351" t="str">
        <f t="shared" si="10"/>
        <v>--</v>
      </c>
      <c r="W41" s="352" t="str">
        <f t="shared" si="11"/>
        <v>--</v>
      </c>
      <c r="X41" s="360" t="str">
        <f t="shared" si="12"/>
        <v>--</v>
      </c>
      <c r="Y41" s="366" t="str">
        <f t="shared" si="13"/>
        <v>--</v>
      </c>
      <c r="Z41" s="302" t="s">
        <v>105</v>
      </c>
      <c r="AA41" s="47">
        <f t="shared" si="14"/>
        <v>7547.865016799927</v>
      </c>
      <c r="AB41" s="9"/>
    </row>
    <row r="42" spans="2:28" s="8" customFormat="1" ht="16.5" thickBot="1" thickTop="1">
      <c r="B42" s="169"/>
      <c r="C42" s="42"/>
      <c r="D42" s="42"/>
      <c r="E42" s="42"/>
      <c r="F42" s="43"/>
      <c r="G42" s="43"/>
      <c r="H42" s="314"/>
      <c r="I42" s="312">
        <f t="shared" si="0"/>
        <v>28.1805</v>
      </c>
      <c r="J42" s="44"/>
      <c r="K42" s="44"/>
      <c r="L42" s="10">
        <f t="shared" si="1"/>
      </c>
      <c r="M42" s="11">
        <f t="shared" si="2"/>
      </c>
      <c r="N42" s="45"/>
      <c r="O42" s="46">
        <f t="shared" si="3"/>
      </c>
      <c r="P42" s="319" t="str">
        <f t="shared" si="4"/>
        <v>--</v>
      </c>
      <c r="Q42" s="325" t="str">
        <f t="shared" si="5"/>
        <v>--</v>
      </c>
      <c r="R42" s="334" t="str">
        <f t="shared" si="6"/>
        <v>--</v>
      </c>
      <c r="S42" s="335" t="str">
        <f t="shared" si="7"/>
        <v>--</v>
      </c>
      <c r="T42" s="336" t="str">
        <f t="shared" si="8"/>
        <v>--</v>
      </c>
      <c r="U42" s="350" t="str">
        <f t="shared" si="9"/>
        <v>--</v>
      </c>
      <c r="V42" s="351" t="str">
        <f t="shared" si="10"/>
        <v>--</v>
      </c>
      <c r="W42" s="352" t="str">
        <f t="shared" si="11"/>
        <v>--</v>
      </c>
      <c r="X42" s="360" t="str">
        <f t="shared" si="12"/>
        <v>--</v>
      </c>
      <c r="Y42" s="366" t="str">
        <f t="shared" si="13"/>
        <v>--</v>
      </c>
      <c r="Z42" s="302">
        <f>IF(F42="","","SI")</f>
      </c>
      <c r="AA42" s="47">
        <f t="shared" si="14"/>
      </c>
      <c r="AB42" s="9"/>
    </row>
    <row r="43" spans="1:28" s="8" customFormat="1" ht="16.5" thickBot="1" thickTop="1">
      <c r="A43" s="6"/>
      <c r="B43" s="36"/>
      <c r="C43" s="315"/>
      <c r="D43" s="315"/>
      <c r="E43" s="315"/>
      <c r="F43" s="481"/>
      <c r="G43" s="482"/>
      <c r="H43" s="483"/>
      <c r="I43" s="313"/>
      <c r="J43" s="483"/>
      <c r="K43" s="483"/>
      <c r="L43" s="12"/>
      <c r="M43" s="12"/>
      <c r="N43" s="483"/>
      <c r="O43" s="484"/>
      <c r="P43" s="320"/>
      <c r="Q43" s="327"/>
      <c r="R43" s="337"/>
      <c r="S43" s="338"/>
      <c r="T43" s="339"/>
      <c r="U43" s="353"/>
      <c r="V43" s="354"/>
      <c r="W43" s="355"/>
      <c r="X43" s="361"/>
      <c r="Y43" s="367"/>
      <c r="Z43" s="48"/>
      <c r="AA43" s="186"/>
      <c r="AB43" s="9"/>
    </row>
    <row r="44" spans="1:28" s="8" customFormat="1" ht="17.25" thickBot="1" thickTop="1">
      <c r="A44" s="6"/>
      <c r="B44" s="36"/>
      <c r="C44" s="271" t="s">
        <v>45</v>
      </c>
      <c r="D44" s="273"/>
      <c r="E44" s="273"/>
      <c r="F44" s="272"/>
      <c r="G44" s="13"/>
      <c r="H44" s="14"/>
      <c r="I44" s="49"/>
      <c r="J44" s="49"/>
      <c r="K44" s="49"/>
      <c r="L44" s="49"/>
      <c r="M44" s="49"/>
      <c r="N44" s="49"/>
      <c r="O44" s="50"/>
      <c r="P44" s="320">
        <f aca="true" t="shared" si="15" ref="P44:Y44">SUM(P21:P43)</f>
        <v>7535.81288376</v>
      </c>
      <c r="Q44" s="323">
        <f t="shared" si="15"/>
        <v>0</v>
      </c>
      <c r="R44" s="340">
        <f t="shared" si="15"/>
        <v>55175.164250399794</v>
      </c>
      <c r="S44" s="340">
        <f t="shared" si="15"/>
        <v>48606.966342</v>
      </c>
      <c r="T44" s="340">
        <f t="shared" si="15"/>
        <v>11766.0801708</v>
      </c>
      <c r="U44" s="356">
        <f t="shared" si="15"/>
        <v>0</v>
      </c>
      <c r="V44" s="356">
        <f t="shared" si="15"/>
        <v>0</v>
      </c>
      <c r="W44" s="356">
        <f t="shared" si="15"/>
        <v>0</v>
      </c>
      <c r="X44" s="362">
        <f t="shared" si="15"/>
        <v>0</v>
      </c>
      <c r="Y44" s="368">
        <f t="shared" si="15"/>
        <v>0</v>
      </c>
      <c r="Z44" s="51"/>
      <c r="AA44" s="306">
        <f>ROUND(SUM(AA21:AA43),2)</f>
        <v>123084.02</v>
      </c>
      <c r="AB44" s="170"/>
    </row>
    <row r="45" spans="1:28" s="286" customFormat="1" ht="9.75" thickTop="1">
      <c r="A45" s="275"/>
      <c r="B45" s="276"/>
      <c r="C45" s="273"/>
      <c r="D45" s="273"/>
      <c r="E45" s="273"/>
      <c r="F45" s="274"/>
      <c r="G45" s="277"/>
      <c r="H45" s="278"/>
      <c r="I45" s="279"/>
      <c r="J45" s="279"/>
      <c r="K45" s="279"/>
      <c r="L45" s="279"/>
      <c r="M45" s="279"/>
      <c r="N45" s="279"/>
      <c r="O45" s="280"/>
      <c r="P45" s="281"/>
      <c r="Q45" s="281"/>
      <c r="R45" s="282"/>
      <c r="S45" s="282"/>
      <c r="T45" s="283"/>
      <c r="U45" s="283"/>
      <c r="V45" s="283"/>
      <c r="W45" s="283"/>
      <c r="X45" s="283"/>
      <c r="Y45" s="283"/>
      <c r="Z45" s="283"/>
      <c r="AA45" s="284"/>
      <c r="AB45" s="285"/>
    </row>
    <row r="46" spans="1:28" s="8" customFormat="1" ht="13.5" thickBot="1">
      <c r="A46" s="6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</row>
    <row r="47" spans="1:28" ht="13.5" thickTop="1">
      <c r="A47" s="1"/>
      <c r="B47" s="1"/>
      <c r="AB47" s="1"/>
    </row>
    <row r="92" spans="1:2" ht="12.75">
      <c r="A92" s="1"/>
      <c r="B92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B92"/>
  <sheetViews>
    <sheetView zoomScale="75" zoomScaleNormal="75" workbookViewId="0" topLeftCell="D1">
      <selection activeCell="G16" sqref="G16:G18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6" width="40.7109375" style="0" customWidth="1"/>
    <col min="7" max="7" width="8.7109375" style="0" customWidth="1"/>
    <col min="8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7" width="15.140625" style="0" hidden="1" customWidth="1"/>
    <col min="18" max="18" width="12.57421875" style="0" hidden="1" customWidth="1"/>
    <col min="19" max="19" width="15.28125" style="0" hidden="1" customWidth="1"/>
    <col min="20" max="23" width="12.57421875" style="0" hidden="1" customWidth="1"/>
    <col min="24" max="24" width="14.42187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="114" customFormat="1" ht="29.25" customHeight="1">
      <c r="AB1" s="473"/>
    </row>
    <row r="2" spans="2:28" s="114" customFormat="1" ht="26.25">
      <c r="B2" s="486" t="str">
        <f>+'TOT-0210'!B2</f>
        <v>ANEXO II al Memoradnum D.T.E.E. N°  480 /2011</v>
      </c>
      <c r="C2" s="115"/>
      <c r="D2" s="115"/>
      <c r="E2" s="115"/>
      <c r="F2" s="115"/>
      <c r="G2" s="127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="8" customFormat="1" ht="12.75"/>
    <row r="4" spans="1:3" s="112" customFormat="1" ht="11.25">
      <c r="A4" s="513" t="s">
        <v>100</v>
      </c>
      <c r="B4" s="180"/>
      <c r="C4" s="513"/>
    </row>
    <row r="5" spans="1:3" s="112" customFormat="1" ht="11.25">
      <c r="A5" s="513" t="s">
        <v>101</v>
      </c>
      <c r="B5" s="180"/>
      <c r="C5" s="180"/>
    </row>
    <row r="6" s="8" customFormat="1" ht="13.5" thickBot="1"/>
    <row r="7" spans="1:28" s="8" customFormat="1" ht="13.5" thickTop="1">
      <c r="A7" s="6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</row>
    <row r="8" spans="1:28" s="116" customFormat="1" ht="20.25">
      <c r="A8" s="105"/>
      <c r="B8" s="174"/>
      <c r="F8" s="17" t="s">
        <v>20</v>
      </c>
      <c r="G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19"/>
    </row>
    <row r="9" spans="1:28" s="8" customFormat="1" ht="12.75">
      <c r="A9" s="6"/>
      <c r="B9" s="36"/>
      <c r="C9" s="123"/>
      <c r="D9" s="123"/>
      <c r="E9" s="123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9"/>
    </row>
    <row r="10" spans="1:28" s="116" customFormat="1" ht="20.25">
      <c r="A10" s="105"/>
      <c r="B10" s="174"/>
      <c r="F10" s="17" t="s">
        <v>21</v>
      </c>
      <c r="G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19"/>
    </row>
    <row r="11" spans="1:28" s="8" customFormat="1" ht="12.75">
      <c r="A11" s="6"/>
      <c r="B11" s="36"/>
      <c r="C11" s="123"/>
      <c r="D11" s="123"/>
      <c r="E11" s="123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9"/>
    </row>
    <row r="12" spans="1:28" s="116" customFormat="1" ht="20.25">
      <c r="A12" s="105"/>
      <c r="B12" s="174"/>
      <c r="F12" s="17" t="s">
        <v>22</v>
      </c>
      <c r="G12" s="17"/>
      <c r="H12" s="105"/>
      <c r="I12" s="175"/>
      <c r="J12" s="175"/>
      <c r="K12" s="175"/>
      <c r="L12" s="175"/>
      <c r="M12" s="175"/>
      <c r="N12" s="175"/>
      <c r="O12" s="17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19"/>
    </row>
    <row r="13" spans="1:28" s="8" customFormat="1" ht="12.75">
      <c r="A13" s="6"/>
      <c r="B13" s="36"/>
      <c r="C13" s="6"/>
      <c r="D13" s="6"/>
      <c r="E13" s="6"/>
      <c r="F13" s="172"/>
      <c r="G13" s="171"/>
      <c r="H13" s="6"/>
      <c r="I13" s="161"/>
      <c r="J13" s="161"/>
      <c r="K13" s="161"/>
      <c r="L13" s="161"/>
      <c r="M13" s="161"/>
      <c r="N13" s="161"/>
      <c r="O13" s="161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9"/>
    </row>
    <row r="14" spans="1:28" s="120" customFormat="1" ht="19.5">
      <c r="A14" s="37"/>
      <c r="B14" s="479" t="str">
        <f>+'TOT-0210'!B14</f>
        <v>Desde el 01 al 28 de febrero de 2010</v>
      </c>
      <c r="C14" s="143"/>
      <c r="D14" s="143"/>
      <c r="E14" s="143"/>
      <c r="F14" s="143"/>
      <c r="G14" s="176"/>
      <c r="H14" s="177"/>
      <c r="I14" s="178"/>
      <c r="J14" s="179"/>
      <c r="K14" s="178"/>
      <c r="L14" s="178"/>
      <c r="M14" s="178"/>
      <c r="N14" s="178"/>
      <c r="O14" s="178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4"/>
    </row>
    <row r="15" spans="1:28" s="8" customFormat="1" ht="13.5" thickBot="1">
      <c r="A15" s="6"/>
      <c r="B15" s="36"/>
      <c r="C15" s="6"/>
      <c r="D15" s="6"/>
      <c r="E15" s="6"/>
      <c r="F15" s="6"/>
      <c r="G15" s="171"/>
      <c r="H15" s="173"/>
      <c r="I15" s="161"/>
      <c r="J15" s="161"/>
      <c r="K15" s="161"/>
      <c r="L15" s="161"/>
      <c r="M15" s="161"/>
      <c r="N15" s="161"/>
      <c r="O15" s="161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9"/>
    </row>
    <row r="16" spans="1:28" s="8" customFormat="1" ht="14.25" thickBot="1" thickTop="1">
      <c r="A16" s="6"/>
      <c r="B16" s="36"/>
      <c r="C16" s="6"/>
      <c r="D16" s="6"/>
      <c r="E16" s="6"/>
      <c r="F16" s="181" t="s">
        <v>23</v>
      </c>
      <c r="G16" s="478">
        <v>117.437</v>
      </c>
      <c r="H16" s="287"/>
      <c r="I16" s="161"/>
      <c r="J16" s="161"/>
      <c r="K16" s="161"/>
      <c r="L16" s="161"/>
      <c r="M16" s="161"/>
      <c r="N16" s="161"/>
      <c r="O16" s="16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9"/>
    </row>
    <row r="17" spans="1:28" s="8" customFormat="1" ht="14.25" thickBot="1" thickTop="1">
      <c r="A17" s="6"/>
      <c r="B17" s="36"/>
      <c r="C17" s="6"/>
      <c r="D17" s="6"/>
      <c r="E17" s="6"/>
      <c r="F17" s="181" t="s">
        <v>24</v>
      </c>
      <c r="G17" s="478">
        <v>112.722</v>
      </c>
      <c r="H17" s="288"/>
      <c r="I17" s="6"/>
      <c r="J17" s="160"/>
      <c r="K17" s="182" t="s">
        <v>25</v>
      </c>
      <c r="L17" s="183">
        <f>30*'TOT-0210'!B13</f>
        <v>60</v>
      </c>
      <c r="M17" s="258" t="str">
        <f>IF(L17=30," ",IF(L17=60,"Coeficiente duplicado por tasa de falla &gt;4 Sal. x año/100 km.","REVISAR COEFICIENTE"))</f>
        <v>Coeficiente duplicado por tasa de falla &gt;4 Sal. x año/100 km.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9"/>
    </row>
    <row r="18" spans="1:28" s="8" customFormat="1" ht="14.25" thickBot="1" thickTop="1">
      <c r="A18" s="6"/>
      <c r="B18" s="36"/>
      <c r="C18" s="6"/>
      <c r="D18" s="6"/>
      <c r="E18" s="6"/>
      <c r="F18" s="181" t="s">
        <v>26</v>
      </c>
      <c r="G18" s="478">
        <v>112.722</v>
      </c>
      <c r="H18" s="288"/>
      <c r="I18" s="6"/>
      <c r="J18" s="6"/>
      <c r="K18" s="6"/>
      <c r="L18" s="124"/>
      <c r="M18" s="16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9"/>
    </row>
    <row r="19" spans="1:28" s="8" customFormat="1" ht="14.25" thickBot="1" thickTop="1">
      <c r="A19" s="6"/>
      <c r="B19" s="36"/>
      <c r="C19" s="6"/>
      <c r="D19" s="6"/>
      <c r="E19" s="6"/>
      <c r="F19" s="6"/>
      <c r="G19" s="6"/>
      <c r="H19" s="6"/>
      <c r="I19" s="6"/>
      <c r="J19" s="163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9"/>
    </row>
    <row r="20" spans="1:28" s="8" customFormat="1" ht="33.75" customHeight="1" thickBot="1" thickTop="1">
      <c r="A20" s="6"/>
      <c r="B20" s="36"/>
      <c r="C20" s="187" t="s">
        <v>27</v>
      </c>
      <c r="D20" s="187" t="s">
        <v>98</v>
      </c>
      <c r="E20" s="187" t="s">
        <v>99</v>
      </c>
      <c r="F20" s="188" t="s">
        <v>9</v>
      </c>
      <c r="G20" s="189" t="s">
        <v>28</v>
      </c>
      <c r="H20" s="189" t="s">
        <v>29</v>
      </c>
      <c r="I20" s="301" t="s">
        <v>30</v>
      </c>
      <c r="J20" s="188" t="s">
        <v>31</v>
      </c>
      <c r="K20" s="188" t="s">
        <v>32</v>
      </c>
      <c r="L20" s="189" t="s">
        <v>33</v>
      </c>
      <c r="M20" s="189" t="s">
        <v>34</v>
      </c>
      <c r="N20" s="189" t="s">
        <v>35</v>
      </c>
      <c r="O20" s="189" t="s">
        <v>36</v>
      </c>
      <c r="P20" s="317" t="s">
        <v>37</v>
      </c>
      <c r="Q20" s="321" t="s">
        <v>38</v>
      </c>
      <c r="R20" s="303" t="s">
        <v>39</v>
      </c>
      <c r="S20" s="304"/>
      <c r="T20" s="305"/>
      <c r="U20" s="341" t="s">
        <v>40</v>
      </c>
      <c r="V20" s="342"/>
      <c r="W20" s="343"/>
      <c r="X20" s="357" t="s">
        <v>41</v>
      </c>
      <c r="Y20" s="363" t="s">
        <v>42</v>
      </c>
      <c r="Z20" s="295" t="s">
        <v>43</v>
      </c>
      <c r="AA20" s="191" t="s">
        <v>44</v>
      </c>
      <c r="AB20" s="9"/>
    </row>
    <row r="21" spans="1:28" s="8" customFormat="1" ht="16.5" thickBot="1" thickTop="1">
      <c r="A21" s="6"/>
      <c r="B21" s="36"/>
      <c r="C21" s="164"/>
      <c r="D21" s="164"/>
      <c r="E21" s="164"/>
      <c r="F21" s="166"/>
      <c r="G21" s="165"/>
      <c r="H21" s="165"/>
      <c r="I21" s="310"/>
      <c r="J21" s="165"/>
      <c r="K21" s="166"/>
      <c r="L21" s="166"/>
      <c r="M21" s="166"/>
      <c r="N21" s="165"/>
      <c r="O21" s="165"/>
      <c r="P21" s="318"/>
      <c r="Q21" s="326"/>
      <c r="R21" s="328"/>
      <c r="S21" s="329"/>
      <c r="T21" s="330"/>
      <c r="U21" s="344"/>
      <c r="V21" s="345"/>
      <c r="W21" s="346"/>
      <c r="X21" s="358"/>
      <c r="Y21" s="364">
        <f>'LI-02 (1)'!Y44</f>
        <v>0</v>
      </c>
      <c r="Z21" s="167"/>
      <c r="AA21" s="471">
        <f>'LI-02 (1)'!AA44</f>
        <v>123084.02</v>
      </c>
      <c r="AB21" s="9"/>
    </row>
    <row r="22" spans="1:28" s="8" customFormat="1" ht="16.5" thickBot="1" thickTop="1">
      <c r="A22" s="6"/>
      <c r="B22" s="36"/>
      <c r="C22" s="164"/>
      <c r="D22" s="164"/>
      <c r="E22" s="164"/>
      <c r="F22" s="480"/>
      <c r="G22" s="480"/>
      <c r="H22" s="480"/>
      <c r="I22" s="311"/>
      <c r="J22" s="480"/>
      <c r="K22" s="42"/>
      <c r="L22" s="185"/>
      <c r="M22" s="185"/>
      <c r="N22" s="480"/>
      <c r="O22" s="480"/>
      <c r="P22" s="318"/>
      <c r="Q22" s="324"/>
      <c r="R22" s="331"/>
      <c r="S22" s="332"/>
      <c r="T22" s="333"/>
      <c r="U22" s="347"/>
      <c r="V22" s="348"/>
      <c r="W22" s="349"/>
      <c r="X22" s="359"/>
      <c r="Y22" s="365"/>
      <c r="Z22" s="184"/>
      <c r="AA22" s="316"/>
      <c r="AB22" s="9"/>
    </row>
    <row r="23" spans="1:28" s="8" customFormat="1" ht="16.5" thickBot="1" thickTop="1">
      <c r="A23" s="6"/>
      <c r="B23" s="36"/>
      <c r="C23" s="42">
        <v>20</v>
      </c>
      <c r="D23" s="42">
        <v>218957</v>
      </c>
      <c r="E23" s="42">
        <v>1003</v>
      </c>
      <c r="F23" s="43" t="s">
        <v>108</v>
      </c>
      <c r="G23" s="43">
        <v>33</v>
      </c>
      <c r="H23" s="314">
        <v>11.800000190734863</v>
      </c>
      <c r="I23" s="312">
        <f aca="true" t="shared" si="0" ref="I23:I42">IF(H23&gt;25,H23,25)*IF(G23=220,$G$16,IF(G23=132,$G$17,$G$18))/100</f>
        <v>28.1805</v>
      </c>
      <c r="J23" s="44">
        <v>40235.316666666666</v>
      </c>
      <c r="K23" s="44">
        <v>40235.60763888889</v>
      </c>
      <c r="L23" s="10">
        <f aca="true" t="shared" si="1" ref="L23:L42">IF(F23="","",(K23-J23)*24)</f>
        <v>6.9833333333954215</v>
      </c>
      <c r="M23" s="11">
        <f aca="true" t="shared" si="2" ref="M23:M42">IF(F23="","",ROUND((K23-J23)*24*60,0))</f>
        <v>419</v>
      </c>
      <c r="N23" s="45" t="s">
        <v>104</v>
      </c>
      <c r="O23" s="46" t="str">
        <f aca="true" t="shared" si="3" ref="O23:O42">IF(F23="","","--")</f>
        <v>--</v>
      </c>
      <c r="P23" s="319">
        <f aca="true" t="shared" si="4" ref="P23:P42">IF(N23="P",ROUND(M23/60,2)*I23*$L$17*0.01,"--")</f>
        <v>118.01993400000002</v>
      </c>
      <c r="Q23" s="325" t="str">
        <f aca="true" t="shared" si="5" ref="Q23:Q42">IF(N23="RP",ROUND(M23/60,2)*I23*$L$17*0.01*O23/100,"--")</f>
        <v>--</v>
      </c>
      <c r="R23" s="334" t="str">
        <f aca="true" t="shared" si="6" ref="R23:R42">IF(N23="F",I23*$L$17,"--")</f>
        <v>--</v>
      </c>
      <c r="S23" s="335" t="str">
        <f aca="true" t="shared" si="7" ref="S23:S42">IF(AND(M23&gt;10,N23="F"),I23*$L$17*IF(M23&gt;180,3,ROUND(M23/60,2)),"--")</f>
        <v>--</v>
      </c>
      <c r="T23" s="336" t="str">
        <f aca="true" t="shared" si="8" ref="T23:T42">IF(AND(N23="F",M23&gt;180),(ROUND(M23/60,2)-3)*I23*$L$17*0.1,"--")</f>
        <v>--</v>
      </c>
      <c r="U23" s="350" t="str">
        <f aca="true" t="shared" si="9" ref="U23:U42">IF(N23="R",I23*$L$17*O23/100,"--")</f>
        <v>--</v>
      </c>
      <c r="V23" s="351" t="str">
        <f aca="true" t="shared" si="10" ref="V23:V42">IF(AND(M23&gt;10,N23="R"),I23*$L$17*O23/100*IF(M23&gt;180,3,ROUND(M23/60,2)),"--")</f>
        <v>--</v>
      </c>
      <c r="W23" s="352" t="str">
        <f aca="true" t="shared" si="11" ref="W23:W42">IF(AND(N23="R",M23&gt;180),(ROUND(M23/60,2)-3)*I23*$L$17*0.1*O23/100,"--")</f>
        <v>--</v>
      </c>
      <c r="X23" s="360" t="str">
        <f aca="true" t="shared" si="12" ref="X23:X42">IF(N23="RF",ROUND(M23/60,2)*I23*$L$17*0.1,"--")</f>
        <v>--</v>
      </c>
      <c r="Y23" s="366" t="str">
        <f aca="true" t="shared" si="13" ref="Y23:Y42">IF(N23="RR",ROUND(M23/60,2)*I23*$L$17*0.1*O23/100,"--")</f>
        <v>--</v>
      </c>
      <c r="Z23" s="302" t="s">
        <v>105</v>
      </c>
      <c r="AA23" s="47">
        <f aca="true" t="shared" si="14" ref="AA23:AA42">IF(F23="","",SUM(P23:Y23)*IF(Z23="SI",1,2))</f>
        <v>118.01993400000002</v>
      </c>
      <c r="AB23" s="465"/>
    </row>
    <row r="24" spans="1:28" s="8" customFormat="1" ht="16.5" thickBot="1" thickTop="1">
      <c r="A24" s="6"/>
      <c r="B24" s="36"/>
      <c r="C24" s="42">
        <v>21</v>
      </c>
      <c r="D24" s="42">
        <v>218967</v>
      </c>
      <c r="E24" s="42">
        <v>4317</v>
      </c>
      <c r="F24" s="43" t="s">
        <v>113</v>
      </c>
      <c r="G24" s="43">
        <v>132</v>
      </c>
      <c r="H24" s="314">
        <v>91.80000305175781</v>
      </c>
      <c r="I24" s="312">
        <f t="shared" si="0"/>
        <v>103.47879944000243</v>
      </c>
      <c r="J24" s="44">
        <v>40236.53888888889</v>
      </c>
      <c r="K24" s="44">
        <v>40236.62222222222</v>
      </c>
      <c r="L24" s="10">
        <f t="shared" si="1"/>
        <v>1.9999999998835847</v>
      </c>
      <c r="M24" s="11">
        <f t="shared" si="2"/>
        <v>120</v>
      </c>
      <c r="N24" s="45" t="s">
        <v>104</v>
      </c>
      <c r="O24" s="46" t="str">
        <f t="shared" si="3"/>
        <v>--</v>
      </c>
      <c r="P24" s="319">
        <f t="shared" si="4"/>
        <v>124.17455932800293</v>
      </c>
      <c r="Q24" s="325" t="str">
        <f t="shared" si="5"/>
        <v>--</v>
      </c>
      <c r="R24" s="334" t="str">
        <f t="shared" si="6"/>
        <v>--</v>
      </c>
      <c r="S24" s="335" t="str">
        <f t="shared" si="7"/>
        <v>--</v>
      </c>
      <c r="T24" s="336" t="str">
        <f t="shared" si="8"/>
        <v>--</v>
      </c>
      <c r="U24" s="350" t="str">
        <f t="shared" si="9"/>
        <v>--</v>
      </c>
      <c r="V24" s="351" t="str">
        <f t="shared" si="10"/>
        <v>--</v>
      </c>
      <c r="W24" s="352" t="str">
        <f t="shared" si="11"/>
        <v>--</v>
      </c>
      <c r="X24" s="360" t="str">
        <f t="shared" si="12"/>
        <v>--</v>
      </c>
      <c r="Y24" s="366" t="str">
        <f t="shared" si="13"/>
        <v>--</v>
      </c>
      <c r="Z24" s="302" t="s">
        <v>105</v>
      </c>
      <c r="AA24" s="47">
        <f t="shared" si="14"/>
        <v>124.17455932800293</v>
      </c>
      <c r="AB24" s="465"/>
    </row>
    <row r="25" spans="1:28" s="8" customFormat="1" ht="16.5" thickBot="1" thickTop="1">
      <c r="A25" s="6"/>
      <c r="B25" s="36"/>
      <c r="C25" s="42"/>
      <c r="D25" s="42"/>
      <c r="E25" s="42"/>
      <c r="F25" s="43"/>
      <c r="G25" s="43"/>
      <c r="H25" s="314"/>
      <c r="I25" s="312">
        <f t="shared" si="0"/>
        <v>28.1805</v>
      </c>
      <c r="J25" s="44"/>
      <c r="K25" s="44"/>
      <c r="L25" s="10">
        <f t="shared" si="1"/>
      </c>
      <c r="M25" s="11">
        <f t="shared" si="2"/>
      </c>
      <c r="N25" s="45"/>
      <c r="O25" s="46">
        <f t="shared" si="3"/>
      </c>
      <c r="P25" s="319" t="str">
        <f t="shared" si="4"/>
        <v>--</v>
      </c>
      <c r="Q25" s="325" t="str">
        <f t="shared" si="5"/>
        <v>--</v>
      </c>
      <c r="R25" s="334" t="str">
        <f t="shared" si="6"/>
        <v>--</v>
      </c>
      <c r="S25" s="335" t="str">
        <f t="shared" si="7"/>
        <v>--</v>
      </c>
      <c r="T25" s="336" t="str">
        <f t="shared" si="8"/>
        <v>--</v>
      </c>
      <c r="U25" s="350" t="str">
        <f t="shared" si="9"/>
        <v>--</v>
      </c>
      <c r="V25" s="351" t="str">
        <f t="shared" si="10"/>
        <v>--</v>
      </c>
      <c r="W25" s="352" t="str">
        <f t="shared" si="11"/>
        <v>--</v>
      </c>
      <c r="X25" s="360" t="str">
        <f t="shared" si="12"/>
        <v>--</v>
      </c>
      <c r="Y25" s="366" t="str">
        <f t="shared" si="13"/>
        <v>--</v>
      </c>
      <c r="Z25" s="302">
        <f aca="true" t="shared" si="15" ref="Z25:Z42">IF(F25="","","SI")</f>
      </c>
      <c r="AA25" s="47">
        <f t="shared" si="14"/>
      </c>
      <c r="AB25" s="465"/>
    </row>
    <row r="26" spans="1:28" s="8" customFormat="1" ht="16.5" thickBot="1" thickTop="1">
      <c r="A26" s="6"/>
      <c r="B26" s="36"/>
      <c r="C26" s="42"/>
      <c r="D26" s="42"/>
      <c r="E26" s="42"/>
      <c r="F26" s="43"/>
      <c r="G26" s="43"/>
      <c r="H26" s="314"/>
      <c r="I26" s="312">
        <f t="shared" si="0"/>
        <v>28.1805</v>
      </c>
      <c r="J26" s="44"/>
      <c r="K26" s="44"/>
      <c r="L26" s="10">
        <f t="shared" si="1"/>
      </c>
      <c r="M26" s="11">
        <f t="shared" si="2"/>
      </c>
      <c r="N26" s="45"/>
      <c r="O26" s="46">
        <f t="shared" si="3"/>
      </c>
      <c r="P26" s="319" t="str">
        <f t="shared" si="4"/>
        <v>--</v>
      </c>
      <c r="Q26" s="325" t="str">
        <f t="shared" si="5"/>
        <v>--</v>
      </c>
      <c r="R26" s="334" t="str">
        <f t="shared" si="6"/>
        <v>--</v>
      </c>
      <c r="S26" s="335" t="str">
        <f t="shared" si="7"/>
        <v>--</v>
      </c>
      <c r="T26" s="336" t="str">
        <f t="shared" si="8"/>
        <v>--</v>
      </c>
      <c r="U26" s="350" t="str">
        <f t="shared" si="9"/>
        <v>--</v>
      </c>
      <c r="V26" s="351" t="str">
        <f t="shared" si="10"/>
        <v>--</v>
      </c>
      <c r="W26" s="352" t="str">
        <f t="shared" si="11"/>
        <v>--</v>
      </c>
      <c r="X26" s="360" t="str">
        <f t="shared" si="12"/>
        <v>--</v>
      </c>
      <c r="Y26" s="366" t="str">
        <f t="shared" si="13"/>
        <v>--</v>
      </c>
      <c r="Z26" s="302">
        <f t="shared" si="15"/>
      </c>
      <c r="AA26" s="47">
        <f t="shared" si="14"/>
      </c>
      <c r="AB26" s="465"/>
    </row>
    <row r="27" spans="1:28" s="8" customFormat="1" ht="16.5" thickBot="1" thickTop="1">
      <c r="A27" s="6"/>
      <c r="B27" s="36"/>
      <c r="C27" s="42"/>
      <c r="D27" s="42"/>
      <c r="E27" s="42"/>
      <c r="F27" s="43"/>
      <c r="G27" s="43"/>
      <c r="H27" s="314"/>
      <c r="I27" s="312">
        <f t="shared" si="0"/>
        <v>28.1805</v>
      </c>
      <c r="J27" s="44"/>
      <c r="K27" s="44"/>
      <c r="L27" s="10">
        <f t="shared" si="1"/>
      </c>
      <c r="M27" s="11">
        <f t="shared" si="2"/>
      </c>
      <c r="N27" s="45"/>
      <c r="O27" s="46">
        <f t="shared" si="3"/>
      </c>
      <c r="P27" s="319" t="str">
        <f t="shared" si="4"/>
        <v>--</v>
      </c>
      <c r="Q27" s="325" t="str">
        <f t="shared" si="5"/>
        <v>--</v>
      </c>
      <c r="R27" s="334" t="str">
        <f t="shared" si="6"/>
        <v>--</v>
      </c>
      <c r="S27" s="335" t="str">
        <f t="shared" si="7"/>
        <v>--</v>
      </c>
      <c r="T27" s="336" t="str">
        <f t="shared" si="8"/>
        <v>--</v>
      </c>
      <c r="U27" s="350" t="str">
        <f t="shared" si="9"/>
        <v>--</v>
      </c>
      <c r="V27" s="351" t="str">
        <f t="shared" si="10"/>
        <v>--</v>
      </c>
      <c r="W27" s="352" t="str">
        <f t="shared" si="11"/>
        <v>--</v>
      </c>
      <c r="X27" s="360" t="str">
        <f t="shared" si="12"/>
        <v>--</v>
      </c>
      <c r="Y27" s="366" t="str">
        <f t="shared" si="13"/>
        <v>--</v>
      </c>
      <c r="Z27" s="302">
        <f t="shared" si="15"/>
      </c>
      <c r="AA27" s="47">
        <f t="shared" si="14"/>
      </c>
      <c r="AB27" s="465"/>
    </row>
    <row r="28" spans="1:28" s="8" customFormat="1" ht="16.5" thickBot="1" thickTop="1">
      <c r="A28" s="6"/>
      <c r="B28" s="36"/>
      <c r="C28" s="42"/>
      <c r="D28" s="42"/>
      <c r="E28" s="42"/>
      <c r="F28" s="43"/>
      <c r="G28" s="43"/>
      <c r="H28" s="314"/>
      <c r="I28" s="312">
        <f t="shared" si="0"/>
        <v>28.1805</v>
      </c>
      <c r="J28" s="44"/>
      <c r="K28" s="44"/>
      <c r="L28" s="10">
        <f t="shared" si="1"/>
      </c>
      <c r="M28" s="11">
        <f t="shared" si="2"/>
      </c>
      <c r="N28" s="45"/>
      <c r="O28" s="46">
        <f t="shared" si="3"/>
      </c>
      <c r="P28" s="319" t="str">
        <f t="shared" si="4"/>
        <v>--</v>
      </c>
      <c r="Q28" s="325" t="str">
        <f t="shared" si="5"/>
        <v>--</v>
      </c>
      <c r="R28" s="334" t="str">
        <f t="shared" si="6"/>
        <v>--</v>
      </c>
      <c r="S28" s="335" t="str">
        <f t="shared" si="7"/>
        <v>--</v>
      </c>
      <c r="T28" s="336" t="str">
        <f t="shared" si="8"/>
        <v>--</v>
      </c>
      <c r="U28" s="350" t="str">
        <f t="shared" si="9"/>
        <v>--</v>
      </c>
      <c r="V28" s="351" t="str">
        <f t="shared" si="10"/>
        <v>--</v>
      </c>
      <c r="W28" s="352" t="str">
        <f t="shared" si="11"/>
        <v>--</v>
      </c>
      <c r="X28" s="360" t="str">
        <f t="shared" si="12"/>
        <v>--</v>
      </c>
      <c r="Y28" s="366" t="str">
        <f t="shared" si="13"/>
        <v>--</v>
      </c>
      <c r="Z28" s="302">
        <f t="shared" si="15"/>
      </c>
      <c r="AA28" s="47">
        <f t="shared" si="14"/>
      </c>
      <c r="AB28" s="465"/>
    </row>
    <row r="29" spans="1:28" s="8" customFormat="1" ht="16.5" thickBot="1" thickTop="1">
      <c r="A29" s="6"/>
      <c r="B29" s="36"/>
      <c r="C29" s="42"/>
      <c r="D29" s="42"/>
      <c r="E29" s="42"/>
      <c r="F29" s="43"/>
      <c r="G29" s="43"/>
      <c r="H29" s="314"/>
      <c r="I29" s="312">
        <f t="shared" si="0"/>
        <v>28.1805</v>
      </c>
      <c r="J29" s="44"/>
      <c r="K29" s="44"/>
      <c r="L29" s="10">
        <f t="shared" si="1"/>
      </c>
      <c r="M29" s="11">
        <f t="shared" si="2"/>
      </c>
      <c r="N29" s="45"/>
      <c r="O29" s="46">
        <f t="shared" si="3"/>
      </c>
      <c r="P29" s="319" t="str">
        <f t="shared" si="4"/>
        <v>--</v>
      </c>
      <c r="Q29" s="325" t="str">
        <f t="shared" si="5"/>
        <v>--</v>
      </c>
      <c r="R29" s="334" t="str">
        <f t="shared" si="6"/>
        <v>--</v>
      </c>
      <c r="S29" s="335" t="str">
        <f t="shared" si="7"/>
        <v>--</v>
      </c>
      <c r="T29" s="336" t="str">
        <f t="shared" si="8"/>
        <v>--</v>
      </c>
      <c r="U29" s="350" t="str">
        <f t="shared" si="9"/>
        <v>--</v>
      </c>
      <c r="V29" s="351" t="str">
        <f t="shared" si="10"/>
        <v>--</v>
      </c>
      <c r="W29" s="352" t="str">
        <f t="shared" si="11"/>
        <v>--</v>
      </c>
      <c r="X29" s="360" t="str">
        <f t="shared" si="12"/>
        <v>--</v>
      </c>
      <c r="Y29" s="366" t="str">
        <f t="shared" si="13"/>
        <v>--</v>
      </c>
      <c r="Z29" s="302">
        <f t="shared" si="15"/>
      </c>
      <c r="AA29" s="47">
        <f t="shared" si="14"/>
      </c>
      <c r="AB29" s="465"/>
    </row>
    <row r="30" spans="1:28" s="8" customFormat="1" ht="16.5" thickBot="1" thickTop="1">
      <c r="A30" s="6"/>
      <c r="B30" s="36"/>
      <c r="C30" s="42"/>
      <c r="D30" s="42"/>
      <c r="E30" s="42"/>
      <c r="F30" s="43"/>
      <c r="G30" s="43"/>
      <c r="H30" s="314"/>
      <c r="I30" s="312">
        <f t="shared" si="0"/>
        <v>28.1805</v>
      </c>
      <c r="J30" s="44"/>
      <c r="K30" s="44"/>
      <c r="L30" s="10">
        <f t="shared" si="1"/>
      </c>
      <c r="M30" s="11">
        <f t="shared" si="2"/>
      </c>
      <c r="N30" s="45"/>
      <c r="O30" s="46">
        <f t="shared" si="3"/>
      </c>
      <c r="P30" s="319" t="str">
        <f t="shared" si="4"/>
        <v>--</v>
      </c>
      <c r="Q30" s="325" t="str">
        <f t="shared" si="5"/>
        <v>--</v>
      </c>
      <c r="R30" s="334" t="str">
        <f t="shared" si="6"/>
        <v>--</v>
      </c>
      <c r="S30" s="335" t="str">
        <f t="shared" si="7"/>
        <v>--</v>
      </c>
      <c r="T30" s="336" t="str">
        <f t="shared" si="8"/>
        <v>--</v>
      </c>
      <c r="U30" s="350" t="str">
        <f t="shared" si="9"/>
        <v>--</v>
      </c>
      <c r="V30" s="351" t="str">
        <f t="shared" si="10"/>
        <v>--</v>
      </c>
      <c r="W30" s="352" t="str">
        <f t="shared" si="11"/>
        <v>--</v>
      </c>
      <c r="X30" s="360" t="str">
        <f t="shared" si="12"/>
        <v>--</v>
      </c>
      <c r="Y30" s="366" t="str">
        <f t="shared" si="13"/>
        <v>--</v>
      </c>
      <c r="Z30" s="302">
        <f t="shared" si="15"/>
      </c>
      <c r="AA30" s="47">
        <f t="shared" si="14"/>
      </c>
      <c r="AB30" s="465"/>
    </row>
    <row r="31" spans="1:28" s="8" customFormat="1" ht="16.5" thickBot="1" thickTop="1">
      <c r="A31" s="6"/>
      <c r="B31" s="36"/>
      <c r="C31" s="42"/>
      <c r="D31" s="42"/>
      <c r="E31" s="42"/>
      <c r="F31" s="43"/>
      <c r="G31" s="43"/>
      <c r="H31" s="314"/>
      <c r="I31" s="312">
        <f t="shared" si="0"/>
        <v>28.1805</v>
      </c>
      <c r="J31" s="44"/>
      <c r="K31" s="44"/>
      <c r="L31" s="10">
        <f t="shared" si="1"/>
      </c>
      <c r="M31" s="11">
        <f t="shared" si="2"/>
      </c>
      <c r="N31" s="45"/>
      <c r="O31" s="46">
        <f t="shared" si="3"/>
      </c>
      <c r="P31" s="319" t="str">
        <f t="shared" si="4"/>
        <v>--</v>
      </c>
      <c r="Q31" s="325" t="str">
        <f t="shared" si="5"/>
        <v>--</v>
      </c>
      <c r="R31" s="334" t="str">
        <f t="shared" si="6"/>
        <v>--</v>
      </c>
      <c r="S31" s="335" t="str">
        <f t="shared" si="7"/>
        <v>--</v>
      </c>
      <c r="T31" s="336" t="str">
        <f t="shared" si="8"/>
        <v>--</v>
      </c>
      <c r="U31" s="350" t="str">
        <f t="shared" si="9"/>
        <v>--</v>
      </c>
      <c r="V31" s="351" t="str">
        <f t="shared" si="10"/>
        <v>--</v>
      </c>
      <c r="W31" s="352" t="str">
        <f t="shared" si="11"/>
        <v>--</v>
      </c>
      <c r="X31" s="360" t="str">
        <f t="shared" si="12"/>
        <v>--</v>
      </c>
      <c r="Y31" s="366" t="str">
        <f t="shared" si="13"/>
        <v>--</v>
      </c>
      <c r="Z31" s="302">
        <f t="shared" si="15"/>
      </c>
      <c r="AA31" s="47">
        <f t="shared" si="14"/>
      </c>
      <c r="AB31" s="465"/>
    </row>
    <row r="32" spans="1:28" s="8" customFormat="1" ht="16.5" thickBot="1" thickTop="1">
      <c r="A32" s="6"/>
      <c r="B32" s="36"/>
      <c r="C32" s="42"/>
      <c r="D32" s="42"/>
      <c r="E32" s="42"/>
      <c r="F32" s="43"/>
      <c r="G32" s="43"/>
      <c r="H32" s="314"/>
      <c r="I32" s="312">
        <f t="shared" si="0"/>
        <v>28.1805</v>
      </c>
      <c r="J32" s="44"/>
      <c r="K32" s="44"/>
      <c r="L32" s="10">
        <f t="shared" si="1"/>
      </c>
      <c r="M32" s="11">
        <f t="shared" si="2"/>
      </c>
      <c r="N32" s="45"/>
      <c r="O32" s="46">
        <f t="shared" si="3"/>
      </c>
      <c r="P32" s="319" t="str">
        <f t="shared" si="4"/>
        <v>--</v>
      </c>
      <c r="Q32" s="325" t="str">
        <f t="shared" si="5"/>
        <v>--</v>
      </c>
      <c r="R32" s="334" t="str">
        <f t="shared" si="6"/>
        <v>--</v>
      </c>
      <c r="S32" s="335" t="str">
        <f t="shared" si="7"/>
        <v>--</v>
      </c>
      <c r="T32" s="336" t="str">
        <f t="shared" si="8"/>
        <v>--</v>
      </c>
      <c r="U32" s="350" t="str">
        <f t="shared" si="9"/>
        <v>--</v>
      </c>
      <c r="V32" s="351" t="str">
        <f t="shared" si="10"/>
        <v>--</v>
      </c>
      <c r="W32" s="352" t="str">
        <f t="shared" si="11"/>
        <v>--</v>
      </c>
      <c r="X32" s="360" t="str">
        <f t="shared" si="12"/>
        <v>--</v>
      </c>
      <c r="Y32" s="366" t="str">
        <f t="shared" si="13"/>
        <v>--</v>
      </c>
      <c r="Z32" s="302">
        <f t="shared" si="15"/>
      </c>
      <c r="AA32" s="47">
        <f t="shared" si="14"/>
      </c>
      <c r="AB32" s="465"/>
    </row>
    <row r="33" spans="1:28" s="8" customFormat="1" ht="16.5" thickBot="1" thickTop="1">
      <c r="A33" s="6"/>
      <c r="B33" s="36"/>
      <c r="C33" s="42"/>
      <c r="D33" s="42"/>
      <c r="E33" s="42"/>
      <c r="F33" s="43"/>
      <c r="G33" s="43"/>
      <c r="H33" s="314"/>
      <c r="I33" s="312">
        <f t="shared" si="0"/>
        <v>28.1805</v>
      </c>
      <c r="J33" s="44"/>
      <c r="K33" s="44"/>
      <c r="L33" s="10">
        <f t="shared" si="1"/>
      </c>
      <c r="M33" s="11">
        <f t="shared" si="2"/>
      </c>
      <c r="N33" s="45"/>
      <c r="O33" s="46">
        <f t="shared" si="3"/>
      </c>
      <c r="P33" s="319" t="str">
        <f t="shared" si="4"/>
        <v>--</v>
      </c>
      <c r="Q33" s="325" t="str">
        <f t="shared" si="5"/>
        <v>--</v>
      </c>
      <c r="R33" s="334" t="str">
        <f t="shared" si="6"/>
        <v>--</v>
      </c>
      <c r="S33" s="335" t="str">
        <f t="shared" si="7"/>
        <v>--</v>
      </c>
      <c r="T33" s="336" t="str">
        <f t="shared" si="8"/>
        <v>--</v>
      </c>
      <c r="U33" s="350" t="str">
        <f t="shared" si="9"/>
        <v>--</v>
      </c>
      <c r="V33" s="351" t="str">
        <f t="shared" si="10"/>
        <v>--</v>
      </c>
      <c r="W33" s="352" t="str">
        <f t="shared" si="11"/>
        <v>--</v>
      </c>
      <c r="X33" s="360" t="str">
        <f t="shared" si="12"/>
        <v>--</v>
      </c>
      <c r="Y33" s="366" t="str">
        <f t="shared" si="13"/>
        <v>--</v>
      </c>
      <c r="Z33" s="302">
        <f t="shared" si="15"/>
      </c>
      <c r="AA33" s="47">
        <f t="shared" si="14"/>
      </c>
      <c r="AB33" s="465"/>
    </row>
    <row r="34" spans="1:28" s="8" customFormat="1" ht="16.5" thickBot="1" thickTop="1">
      <c r="A34" s="6"/>
      <c r="B34" s="36"/>
      <c r="C34" s="42"/>
      <c r="D34" s="42"/>
      <c r="E34" s="42"/>
      <c r="F34" s="43"/>
      <c r="G34" s="43"/>
      <c r="H34" s="314"/>
      <c r="I34" s="312">
        <f t="shared" si="0"/>
        <v>28.1805</v>
      </c>
      <c r="J34" s="44"/>
      <c r="K34" s="44"/>
      <c r="L34" s="10">
        <f t="shared" si="1"/>
      </c>
      <c r="M34" s="11">
        <f t="shared" si="2"/>
      </c>
      <c r="N34" s="45"/>
      <c r="O34" s="46">
        <f t="shared" si="3"/>
      </c>
      <c r="P34" s="319" t="str">
        <f t="shared" si="4"/>
        <v>--</v>
      </c>
      <c r="Q34" s="325" t="str">
        <f t="shared" si="5"/>
        <v>--</v>
      </c>
      <c r="R34" s="334" t="str">
        <f t="shared" si="6"/>
        <v>--</v>
      </c>
      <c r="S34" s="335" t="str">
        <f t="shared" si="7"/>
        <v>--</v>
      </c>
      <c r="T34" s="336" t="str">
        <f t="shared" si="8"/>
        <v>--</v>
      </c>
      <c r="U34" s="350" t="str">
        <f t="shared" si="9"/>
        <v>--</v>
      </c>
      <c r="V34" s="351" t="str">
        <f t="shared" si="10"/>
        <v>--</v>
      </c>
      <c r="W34" s="352" t="str">
        <f t="shared" si="11"/>
        <v>--</v>
      </c>
      <c r="X34" s="360" t="str">
        <f t="shared" si="12"/>
        <v>--</v>
      </c>
      <c r="Y34" s="366" t="str">
        <f t="shared" si="13"/>
        <v>--</v>
      </c>
      <c r="Z34" s="302">
        <f t="shared" si="15"/>
      </c>
      <c r="AA34" s="47">
        <f t="shared" si="14"/>
      </c>
      <c r="AB34" s="465"/>
    </row>
    <row r="35" spans="1:28" s="8" customFormat="1" ht="16.5" thickBot="1" thickTop="1">
      <c r="A35" s="6"/>
      <c r="B35" s="36"/>
      <c r="C35" s="42"/>
      <c r="D35" s="42"/>
      <c r="E35" s="42"/>
      <c r="F35" s="43"/>
      <c r="G35" s="43"/>
      <c r="H35" s="314"/>
      <c r="I35" s="312">
        <f t="shared" si="0"/>
        <v>28.1805</v>
      </c>
      <c r="J35" s="44"/>
      <c r="K35" s="44"/>
      <c r="L35" s="10">
        <f t="shared" si="1"/>
      </c>
      <c r="M35" s="11">
        <f t="shared" si="2"/>
      </c>
      <c r="N35" s="45"/>
      <c r="O35" s="46">
        <f t="shared" si="3"/>
      </c>
      <c r="P35" s="319" t="str">
        <f t="shared" si="4"/>
        <v>--</v>
      </c>
      <c r="Q35" s="325" t="str">
        <f t="shared" si="5"/>
        <v>--</v>
      </c>
      <c r="R35" s="334" t="str">
        <f t="shared" si="6"/>
        <v>--</v>
      </c>
      <c r="S35" s="335" t="str">
        <f t="shared" si="7"/>
        <v>--</v>
      </c>
      <c r="T35" s="336" t="str">
        <f t="shared" si="8"/>
        <v>--</v>
      </c>
      <c r="U35" s="350" t="str">
        <f t="shared" si="9"/>
        <v>--</v>
      </c>
      <c r="V35" s="351" t="str">
        <f t="shared" si="10"/>
        <v>--</v>
      </c>
      <c r="W35" s="352" t="str">
        <f t="shared" si="11"/>
        <v>--</v>
      </c>
      <c r="X35" s="360" t="str">
        <f t="shared" si="12"/>
        <v>--</v>
      </c>
      <c r="Y35" s="366" t="str">
        <f t="shared" si="13"/>
        <v>--</v>
      </c>
      <c r="Z35" s="302">
        <f t="shared" si="15"/>
      </c>
      <c r="AA35" s="47">
        <f t="shared" si="14"/>
      </c>
      <c r="AB35" s="9"/>
    </row>
    <row r="36" spans="1:28" s="8" customFormat="1" ht="16.5" thickBot="1" thickTop="1">
      <c r="A36" s="6"/>
      <c r="B36" s="36"/>
      <c r="C36" s="42"/>
      <c r="D36" s="42"/>
      <c r="E36" s="42"/>
      <c r="F36" s="43"/>
      <c r="G36" s="43"/>
      <c r="H36" s="314"/>
      <c r="I36" s="312">
        <f t="shared" si="0"/>
        <v>28.1805</v>
      </c>
      <c r="J36" s="44"/>
      <c r="K36" s="44"/>
      <c r="L36" s="10">
        <f t="shared" si="1"/>
      </c>
      <c r="M36" s="11">
        <f t="shared" si="2"/>
      </c>
      <c r="N36" s="45"/>
      <c r="O36" s="46">
        <f t="shared" si="3"/>
      </c>
      <c r="P36" s="319" t="str">
        <f t="shared" si="4"/>
        <v>--</v>
      </c>
      <c r="Q36" s="325" t="str">
        <f t="shared" si="5"/>
        <v>--</v>
      </c>
      <c r="R36" s="334" t="str">
        <f t="shared" si="6"/>
        <v>--</v>
      </c>
      <c r="S36" s="335" t="str">
        <f t="shared" si="7"/>
        <v>--</v>
      </c>
      <c r="T36" s="336" t="str">
        <f t="shared" si="8"/>
        <v>--</v>
      </c>
      <c r="U36" s="350" t="str">
        <f t="shared" si="9"/>
        <v>--</v>
      </c>
      <c r="V36" s="351" t="str">
        <f t="shared" si="10"/>
        <v>--</v>
      </c>
      <c r="W36" s="352" t="str">
        <f t="shared" si="11"/>
        <v>--</v>
      </c>
      <c r="X36" s="360" t="str">
        <f t="shared" si="12"/>
        <v>--</v>
      </c>
      <c r="Y36" s="366" t="str">
        <f t="shared" si="13"/>
        <v>--</v>
      </c>
      <c r="Z36" s="302">
        <f t="shared" si="15"/>
      </c>
      <c r="AA36" s="47">
        <f t="shared" si="14"/>
      </c>
      <c r="AB36" s="9"/>
    </row>
    <row r="37" spans="1:28" s="8" customFormat="1" ht="16.5" thickBot="1" thickTop="1">
      <c r="A37" s="6"/>
      <c r="B37" s="168"/>
      <c r="C37" s="42"/>
      <c r="D37" s="42"/>
      <c r="E37" s="42"/>
      <c r="F37" s="43"/>
      <c r="G37" s="43"/>
      <c r="H37" s="314"/>
      <c r="I37" s="312">
        <f t="shared" si="0"/>
        <v>28.1805</v>
      </c>
      <c r="J37" s="44"/>
      <c r="K37" s="44"/>
      <c r="L37" s="10">
        <f t="shared" si="1"/>
      </c>
      <c r="M37" s="11">
        <f t="shared" si="2"/>
      </c>
      <c r="N37" s="45"/>
      <c r="O37" s="46">
        <f t="shared" si="3"/>
      </c>
      <c r="P37" s="319" t="str">
        <f t="shared" si="4"/>
        <v>--</v>
      </c>
      <c r="Q37" s="325" t="str">
        <f t="shared" si="5"/>
        <v>--</v>
      </c>
      <c r="R37" s="334" t="str">
        <f t="shared" si="6"/>
        <v>--</v>
      </c>
      <c r="S37" s="335" t="str">
        <f t="shared" si="7"/>
        <v>--</v>
      </c>
      <c r="T37" s="336" t="str">
        <f t="shared" si="8"/>
        <v>--</v>
      </c>
      <c r="U37" s="350" t="str">
        <f t="shared" si="9"/>
        <v>--</v>
      </c>
      <c r="V37" s="351" t="str">
        <f t="shared" si="10"/>
        <v>--</v>
      </c>
      <c r="W37" s="352" t="str">
        <f t="shared" si="11"/>
        <v>--</v>
      </c>
      <c r="X37" s="360" t="str">
        <f t="shared" si="12"/>
        <v>--</v>
      </c>
      <c r="Y37" s="366" t="str">
        <f t="shared" si="13"/>
        <v>--</v>
      </c>
      <c r="Z37" s="302">
        <f t="shared" si="15"/>
      </c>
      <c r="AA37" s="47">
        <f t="shared" si="14"/>
      </c>
      <c r="AB37" s="9"/>
    </row>
    <row r="38" spans="1:28" s="8" customFormat="1" ht="16.5" thickBot="1" thickTop="1">
      <c r="A38" s="6"/>
      <c r="B38" s="36"/>
      <c r="C38" s="42"/>
      <c r="D38" s="42"/>
      <c r="E38" s="42"/>
      <c r="F38" s="43"/>
      <c r="G38" s="43"/>
      <c r="H38" s="314"/>
      <c r="I38" s="312">
        <f t="shared" si="0"/>
        <v>28.1805</v>
      </c>
      <c r="J38" s="44"/>
      <c r="K38" s="44"/>
      <c r="L38" s="10">
        <f t="shared" si="1"/>
      </c>
      <c r="M38" s="11">
        <f t="shared" si="2"/>
      </c>
      <c r="N38" s="45"/>
      <c r="O38" s="46">
        <f t="shared" si="3"/>
      </c>
      <c r="P38" s="319" t="str">
        <f t="shared" si="4"/>
        <v>--</v>
      </c>
      <c r="Q38" s="325" t="str">
        <f t="shared" si="5"/>
        <v>--</v>
      </c>
      <c r="R38" s="334" t="str">
        <f t="shared" si="6"/>
        <v>--</v>
      </c>
      <c r="S38" s="335" t="str">
        <f t="shared" si="7"/>
        <v>--</v>
      </c>
      <c r="T38" s="336" t="str">
        <f t="shared" si="8"/>
        <v>--</v>
      </c>
      <c r="U38" s="350" t="str">
        <f t="shared" si="9"/>
        <v>--</v>
      </c>
      <c r="V38" s="351" t="str">
        <f t="shared" si="10"/>
        <v>--</v>
      </c>
      <c r="W38" s="352" t="str">
        <f t="shared" si="11"/>
        <v>--</v>
      </c>
      <c r="X38" s="360" t="str">
        <f t="shared" si="12"/>
        <v>--</v>
      </c>
      <c r="Y38" s="366" t="str">
        <f t="shared" si="13"/>
        <v>--</v>
      </c>
      <c r="Z38" s="302">
        <f t="shared" si="15"/>
      </c>
      <c r="AA38" s="47">
        <f t="shared" si="14"/>
      </c>
      <c r="AB38" s="9"/>
    </row>
    <row r="39" spans="1:28" s="8" customFormat="1" ht="16.5" thickBot="1" thickTop="1">
      <c r="A39" s="6"/>
      <c r="B39" s="36"/>
      <c r="C39" s="42"/>
      <c r="D39" s="42"/>
      <c r="E39" s="42"/>
      <c r="F39" s="43"/>
      <c r="G39" s="43"/>
      <c r="H39" s="314"/>
      <c r="I39" s="312">
        <f t="shared" si="0"/>
        <v>28.1805</v>
      </c>
      <c r="J39" s="44"/>
      <c r="K39" s="44"/>
      <c r="L39" s="10">
        <f t="shared" si="1"/>
      </c>
      <c r="M39" s="11">
        <f t="shared" si="2"/>
      </c>
      <c r="N39" s="45"/>
      <c r="O39" s="46">
        <f t="shared" si="3"/>
      </c>
      <c r="P39" s="319" t="str">
        <f t="shared" si="4"/>
        <v>--</v>
      </c>
      <c r="Q39" s="325" t="str">
        <f t="shared" si="5"/>
        <v>--</v>
      </c>
      <c r="R39" s="334" t="str">
        <f t="shared" si="6"/>
        <v>--</v>
      </c>
      <c r="S39" s="335" t="str">
        <f t="shared" si="7"/>
        <v>--</v>
      </c>
      <c r="T39" s="336" t="str">
        <f t="shared" si="8"/>
        <v>--</v>
      </c>
      <c r="U39" s="350" t="str">
        <f t="shared" si="9"/>
        <v>--</v>
      </c>
      <c r="V39" s="351" t="str">
        <f t="shared" si="10"/>
        <v>--</v>
      </c>
      <c r="W39" s="352" t="str">
        <f t="shared" si="11"/>
        <v>--</v>
      </c>
      <c r="X39" s="360" t="str">
        <f t="shared" si="12"/>
        <v>--</v>
      </c>
      <c r="Y39" s="366" t="str">
        <f t="shared" si="13"/>
        <v>--</v>
      </c>
      <c r="Z39" s="302">
        <f t="shared" si="15"/>
      </c>
      <c r="AA39" s="47">
        <f t="shared" si="14"/>
      </c>
      <c r="AB39" s="9"/>
    </row>
    <row r="40" spans="2:28" s="8" customFormat="1" ht="16.5" thickBot="1" thickTop="1">
      <c r="B40" s="169"/>
      <c r="C40" s="42"/>
      <c r="D40" s="42"/>
      <c r="E40" s="42"/>
      <c r="F40" s="43"/>
      <c r="G40" s="43"/>
      <c r="H40" s="314"/>
      <c r="I40" s="312">
        <f t="shared" si="0"/>
        <v>28.1805</v>
      </c>
      <c r="J40" s="44"/>
      <c r="K40" s="44"/>
      <c r="L40" s="10">
        <f t="shared" si="1"/>
      </c>
      <c r="M40" s="11">
        <f t="shared" si="2"/>
      </c>
      <c r="N40" s="45"/>
      <c r="O40" s="46">
        <f t="shared" si="3"/>
      </c>
      <c r="P40" s="319" t="str">
        <f t="shared" si="4"/>
        <v>--</v>
      </c>
      <c r="Q40" s="325" t="str">
        <f t="shared" si="5"/>
        <v>--</v>
      </c>
      <c r="R40" s="334" t="str">
        <f t="shared" si="6"/>
        <v>--</v>
      </c>
      <c r="S40" s="335" t="str">
        <f t="shared" si="7"/>
        <v>--</v>
      </c>
      <c r="T40" s="336" t="str">
        <f t="shared" si="8"/>
        <v>--</v>
      </c>
      <c r="U40" s="350" t="str">
        <f t="shared" si="9"/>
        <v>--</v>
      </c>
      <c r="V40" s="351" t="str">
        <f t="shared" si="10"/>
        <v>--</v>
      </c>
      <c r="W40" s="352" t="str">
        <f t="shared" si="11"/>
        <v>--</v>
      </c>
      <c r="X40" s="360" t="str">
        <f t="shared" si="12"/>
        <v>--</v>
      </c>
      <c r="Y40" s="366" t="str">
        <f t="shared" si="13"/>
        <v>--</v>
      </c>
      <c r="Z40" s="302">
        <f t="shared" si="15"/>
      </c>
      <c r="AA40" s="47">
        <f t="shared" si="14"/>
      </c>
      <c r="AB40" s="9"/>
    </row>
    <row r="41" spans="2:28" s="8" customFormat="1" ht="16.5" thickBot="1" thickTop="1">
      <c r="B41" s="169"/>
      <c r="C41" s="42"/>
      <c r="D41" s="42"/>
      <c r="E41" s="42"/>
      <c r="F41" s="43"/>
      <c r="G41" s="43"/>
      <c r="H41" s="314"/>
      <c r="I41" s="312">
        <f t="shared" si="0"/>
        <v>28.1805</v>
      </c>
      <c r="J41" s="44"/>
      <c r="K41" s="44"/>
      <c r="L41" s="10">
        <f t="shared" si="1"/>
      </c>
      <c r="M41" s="11">
        <f t="shared" si="2"/>
      </c>
      <c r="N41" s="45"/>
      <c r="O41" s="46">
        <f t="shared" si="3"/>
      </c>
      <c r="P41" s="319" t="str">
        <f t="shared" si="4"/>
        <v>--</v>
      </c>
      <c r="Q41" s="325" t="str">
        <f t="shared" si="5"/>
        <v>--</v>
      </c>
      <c r="R41" s="334" t="str">
        <f t="shared" si="6"/>
        <v>--</v>
      </c>
      <c r="S41" s="335" t="str">
        <f t="shared" si="7"/>
        <v>--</v>
      </c>
      <c r="T41" s="336" t="str">
        <f t="shared" si="8"/>
        <v>--</v>
      </c>
      <c r="U41" s="350" t="str">
        <f t="shared" si="9"/>
        <v>--</v>
      </c>
      <c r="V41" s="351" t="str">
        <f t="shared" si="10"/>
        <v>--</v>
      </c>
      <c r="W41" s="352" t="str">
        <f t="shared" si="11"/>
        <v>--</v>
      </c>
      <c r="X41" s="360" t="str">
        <f t="shared" si="12"/>
        <v>--</v>
      </c>
      <c r="Y41" s="366" t="str">
        <f t="shared" si="13"/>
        <v>--</v>
      </c>
      <c r="Z41" s="302">
        <f t="shared" si="15"/>
      </c>
      <c r="AA41" s="47">
        <f t="shared" si="14"/>
      </c>
      <c r="AB41" s="9"/>
    </row>
    <row r="42" spans="2:28" s="8" customFormat="1" ht="16.5" thickBot="1" thickTop="1">
      <c r="B42" s="169"/>
      <c r="C42" s="42"/>
      <c r="D42" s="42"/>
      <c r="E42" s="42"/>
      <c r="F42" s="43"/>
      <c r="G42" s="43"/>
      <c r="H42" s="314"/>
      <c r="I42" s="312">
        <f t="shared" si="0"/>
        <v>28.1805</v>
      </c>
      <c r="J42" s="44"/>
      <c r="K42" s="44"/>
      <c r="L42" s="10">
        <f t="shared" si="1"/>
      </c>
      <c r="M42" s="11">
        <f t="shared" si="2"/>
      </c>
      <c r="N42" s="45"/>
      <c r="O42" s="46">
        <f t="shared" si="3"/>
      </c>
      <c r="P42" s="319" t="str">
        <f t="shared" si="4"/>
        <v>--</v>
      </c>
      <c r="Q42" s="325" t="str">
        <f t="shared" si="5"/>
        <v>--</v>
      </c>
      <c r="R42" s="334" t="str">
        <f t="shared" si="6"/>
        <v>--</v>
      </c>
      <c r="S42" s="335" t="str">
        <f t="shared" si="7"/>
        <v>--</v>
      </c>
      <c r="T42" s="336" t="str">
        <f t="shared" si="8"/>
        <v>--</v>
      </c>
      <c r="U42" s="350" t="str">
        <f t="shared" si="9"/>
        <v>--</v>
      </c>
      <c r="V42" s="351" t="str">
        <f t="shared" si="10"/>
        <v>--</v>
      </c>
      <c r="W42" s="352" t="str">
        <f t="shared" si="11"/>
        <v>--</v>
      </c>
      <c r="X42" s="360" t="str">
        <f t="shared" si="12"/>
        <v>--</v>
      </c>
      <c r="Y42" s="366" t="str">
        <f t="shared" si="13"/>
        <v>--</v>
      </c>
      <c r="Z42" s="302">
        <f t="shared" si="15"/>
      </c>
      <c r="AA42" s="47">
        <f t="shared" si="14"/>
      </c>
      <c r="AB42" s="9"/>
    </row>
    <row r="43" spans="1:28" s="8" customFormat="1" ht="16.5" thickBot="1" thickTop="1">
      <c r="A43" s="6"/>
      <c r="B43" s="36"/>
      <c r="C43" s="315"/>
      <c r="D43" s="315"/>
      <c r="E43" s="315"/>
      <c r="F43" s="481"/>
      <c r="G43" s="482"/>
      <c r="H43" s="483"/>
      <c r="I43" s="313"/>
      <c r="J43" s="483"/>
      <c r="K43" s="483"/>
      <c r="L43" s="12"/>
      <c r="M43" s="12"/>
      <c r="N43" s="483"/>
      <c r="O43" s="484"/>
      <c r="P43" s="320"/>
      <c r="Q43" s="327"/>
      <c r="R43" s="337"/>
      <c r="S43" s="338"/>
      <c r="T43" s="339"/>
      <c r="U43" s="353"/>
      <c r="V43" s="354"/>
      <c r="W43" s="355"/>
      <c r="X43" s="361"/>
      <c r="Y43" s="367"/>
      <c r="Z43" s="48"/>
      <c r="AA43" s="186"/>
      <c r="AB43" s="9"/>
    </row>
    <row r="44" spans="1:28" s="8" customFormat="1" ht="17.25" thickBot="1" thickTop="1">
      <c r="A44" s="6"/>
      <c r="B44" s="36"/>
      <c r="C44" s="271" t="s">
        <v>45</v>
      </c>
      <c r="D44" s="273"/>
      <c r="E44" s="273"/>
      <c r="F44" s="272"/>
      <c r="G44" s="13"/>
      <c r="H44" s="14"/>
      <c r="I44" s="49"/>
      <c r="J44" s="49"/>
      <c r="K44" s="49"/>
      <c r="L44" s="49"/>
      <c r="M44" s="49"/>
      <c r="N44" s="49"/>
      <c r="O44" s="50"/>
      <c r="P44" s="320">
        <f aca="true" t="shared" si="16" ref="P44:Y44">SUM(P21:P43)</f>
        <v>242.19449332800295</v>
      </c>
      <c r="Q44" s="323">
        <f t="shared" si="16"/>
        <v>0</v>
      </c>
      <c r="R44" s="340">
        <f t="shared" si="16"/>
        <v>0</v>
      </c>
      <c r="S44" s="340">
        <f t="shared" si="16"/>
        <v>0</v>
      </c>
      <c r="T44" s="340">
        <f t="shared" si="16"/>
        <v>0</v>
      </c>
      <c r="U44" s="356">
        <f t="shared" si="16"/>
        <v>0</v>
      </c>
      <c r="V44" s="356">
        <f t="shared" si="16"/>
        <v>0</v>
      </c>
      <c r="W44" s="356">
        <f t="shared" si="16"/>
        <v>0</v>
      </c>
      <c r="X44" s="362">
        <f t="shared" si="16"/>
        <v>0</v>
      </c>
      <c r="Y44" s="368">
        <f t="shared" si="16"/>
        <v>0</v>
      </c>
      <c r="Z44" s="51"/>
      <c r="AA44" s="306">
        <f>ROUND(SUM(AA21:AA43),2)</f>
        <v>123326.21</v>
      </c>
      <c r="AB44" s="170"/>
    </row>
    <row r="45" spans="1:28" s="286" customFormat="1" ht="9.75" thickTop="1">
      <c r="A45" s="275"/>
      <c r="B45" s="276"/>
      <c r="C45" s="273"/>
      <c r="D45" s="273"/>
      <c r="E45" s="273"/>
      <c r="F45" s="274"/>
      <c r="G45" s="277"/>
      <c r="H45" s="278"/>
      <c r="I45" s="279"/>
      <c r="J45" s="279"/>
      <c r="K45" s="279"/>
      <c r="L45" s="279"/>
      <c r="M45" s="279"/>
      <c r="N45" s="279"/>
      <c r="O45" s="280"/>
      <c r="P45" s="281"/>
      <c r="Q45" s="281"/>
      <c r="R45" s="282"/>
      <c r="S45" s="282"/>
      <c r="T45" s="283"/>
      <c r="U45" s="283"/>
      <c r="V45" s="283"/>
      <c r="W45" s="283"/>
      <c r="X45" s="283"/>
      <c r="Y45" s="283"/>
      <c r="Z45" s="283"/>
      <c r="AA45" s="284"/>
      <c r="AB45" s="285"/>
    </row>
    <row r="46" spans="1:28" s="8" customFormat="1" ht="13.5" thickBot="1">
      <c r="A46" s="6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</row>
    <row r="47" spans="1:28" ht="13.5" thickTop="1">
      <c r="A47" s="1"/>
      <c r="B47" s="1"/>
      <c r="AB47" s="1"/>
    </row>
    <row r="92" spans="1:2" ht="12.75">
      <c r="A92" s="1"/>
      <c r="B92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D46"/>
  <sheetViews>
    <sheetView zoomScale="75" zoomScaleNormal="75" workbookViewId="0" topLeftCell="A13">
      <selection activeCell="G16" sqref="G16:G18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7" width="25.7109375" style="0" customWidth="1"/>
    <col min="8" max="8" width="8.7109375" style="0" customWidth="1"/>
    <col min="9" max="9" width="12.7109375" style="0" customWidth="1"/>
    <col min="10" max="10" width="14.28125" style="0" hidden="1" customWidth="1"/>
    <col min="11" max="12" width="15.7109375" style="0" customWidth="1"/>
    <col min="13" max="15" width="9.7109375" style="0" customWidth="1"/>
    <col min="16" max="18" width="7.7109375" style="0" customWidth="1"/>
    <col min="19" max="19" width="12.57421875" style="0" hidden="1" customWidth="1"/>
    <col min="20" max="21" width="14.421875" style="0" hidden="1" customWidth="1"/>
    <col min="22" max="22" width="16.8515625" style="0" hidden="1" customWidth="1"/>
    <col min="23" max="27" width="16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6:30" s="114" customFormat="1" ht="30" customHeight="1"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474"/>
    </row>
    <row r="2" spans="2:30" s="114" customFormat="1" ht="26.25">
      <c r="B2" s="486" t="str">
        <f>+'TOT-0210'!B2</f>
        <v>ANEXO II al Memoradnum D.T.E.E. N°  480 /2011</v>
      </c>
      <c r="C2" s="115"/>
      <c r="D2" s="115"/>
      <c r="E2" s="115"/>
      <c r="F2" s="197"/>
      <c r="G2" s="12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6:30" s="8" customFormat="1" ht="12.75"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</row>
    <row r="4" spans="1:30" s="112" customFormat="1" ht="11.25">
      <c r="A4" s="513" t="s">
        <v>100</v>
      </c>
      <c r="B4" s="180"/>
      <c r="C4" s="513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</row>
    <row r="5" spans="1:30" s="112" customFormat="1" ht="11.25">
      <c r="A5" s="513" t="s">
        <v>101</v>
      </c>
      <c r="B5" s="180"/>
      <c r="C5" s="180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</row>
    <row r="6" spans="1:30" s="8" customFormat="1" ht="16.5" customHeight="1" thickBo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</row>
    <row r="7" spans="1:30" s="8" customFormat="1" ht="16.5" customHeight="1" thickTop="1">
      <c r="A7" s="195"/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200"/>
    </row>
    <row r="8" spans="1:30" s="116" customFormat="1" ht="21.75" customHeight="1">
      <c r="A8" s="215"/>
      <c r="B8" s="216"/>
      <c r="C8" s="203"/>
      <c r="D8" s="203"/>
      <c r="E8" s="203"/>
      <c r="F8" s="18" t="s">
        <v>20</v>
      </c>
      <c r="H8" s="203"/>
      <c r="I8" s="215"/>
      <c r="J8" s="215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17"/>
      <c r="AD8" s="218"/>
    </row>
    <row r="9" spans="1:30" s="8" customFormat="1" ht="16.5" customHeight="1">
      <c r="A9" s="195"/>
      <c r="B9" s="201"/>
      <c r="C9" s="24"/>
      <c r="D9" s="24"/>
      <c r="E9" s="24"/>
      <c r="F9" s="24"/>
      <c r="G9" s="24"/>
      <c r="H9" s="24"/>
      <c r="I9" s="19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65"/>
      <c r="AD9" s="202"/>
    </row>
    <row r="10" spans="1:30" s="116" customFormat="1" ht="24" customHeight="1">
      <c r="A10" s="215"/>
      <c r="B10" s="216"/>
      <c r="C10" s="203"/>
      <c r="D10" s="203"/>
      <c r="E10" s="203"/>
      <c r="F10" s="18" t="s">
        <v>46</v>
      </c>
      <c r="G10" s="203"/>
      <c r="H10" s="203"/>
      <c r="I10" s="215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17"/>
      <c r="AD10" s="218"/>
    </row>
    <row r="11" spans="1:30" s="8" customFormat="1" ht="16.5" customHeight="1">
      <c r="A11" s="195"/>
      <c r="B11" s="201"/>
      <c r="C11" s="24"/>
      <c r="D11" s="24"/>
      <c r="E11" s="24"/>
      <c r="F11" s="64"/>
      <c r="G11" s="24"/>
      <c r="H11" s="24"/>
      <c r="I11" s="19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65"/>
      <c r="AD11" s="202"/>
    </row>
    <row r="12" spans="1:30" s="116" customFormat="1" ht="24" customHeight="1">
      <c r="A12" s="215"/>
      <c r="B12" s="216"/>
      <c r="C12" s="203"/>
      <c r="D12" s="203"/>
      <c r="E12" s="203"/>
      <c r="F12" s="226" t="s">
        <v>47</v>
      </c>
      <c r="G12" s="18"/>
      <c r="H12" s="215"/>
      <c r="I12" s="215"/>
      <c r="J12" s="219"/>
      <c r="K12" s="203"/>
      <c r="L12" s="215"/>
      <c r="M12" s="215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17"/>
      <c r="AD12" s="218"/>
    </row>
    <row r="13" spans="1:30" s="8" customFormat="1" ht="16.5" customHeight="1">
      <c r="A13" s="195"/>
      <c r="B13" s="201"/>
      <c r="C13" s="24"/>
      <c r="D13" s="24"/>
      <c r="E13" s="24"/>
      <c r="F13" s="205"/>
      <c r="G13" s="205"/>
      <c r="H13" s="205"/>
      <c r="I13" s="206"/>
      <c r="J13" s="20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65"/>
      <c r="AD13" s="202"/>
    </row>
    <row r="14" spans="1:30" s="120" customFormat="1" ht="16.5" customHeight="1">
      <c r="A14" s="220"/>
      <c r="B14" s="222" t="str">
        <f>+'TOT-0210'!B14</f>
        <v>Desde el 01 al 28 de febrero de 2010</v>
      </c>
      <c r="C14" s="193"/>
      <c r="D14" s="193"/>
      <c r="E14" s="193"/>
      <c r="F14" s="193"/>
      <c r="G14" s="193"/>
      <c r="H14" s="193"/>
      <c r="I14" s="193"/>
      <c r="J14" s="193"/>
      <c r="K14" s="221"/>
      <c r="L14" s="22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224"/>
      <c r="AD14" s="225"/>
    </row>
    <row r="15" spans="1:30" s="8" customFormat="1" ht="16.5" customHeight="1" thickBot="1">
      <c r="A15" s="195"/>
      <c r="B15" s="201"/>
      <c r="C15" s="24"/>
      <c r="D15" s="24"/>
      <c r="E15" s="24"/>
      <c r="F15" s="24"/>
      <c r="G15" s="24"/>
      <c r="H15" s="24"/>
      <c r="I15" s="207"/>
      <c r="J15" s="24"/>
      <c r="K15" s="19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65"/>
      <c r="AD15" s="202"/>
    </row>
    <row r="16" spans="1:30" s="8" customFormat="1" ht="16.5" customHeight="1" thickBot="1" thickTop="1">
      <c r="A16" s="195"/>
      <c r="B16" s="201"/>
      <c r="C16" s="24"/>
      <c r="D16" s="24"/>
      <c r="E16" s="24"/>
      <c r="F16" s="227" t="s">
        <v>90</v>
      </c>
      <c r="G16" s="228"/>
      <c r="H16" s="229"/>
      <c r="I16" s="475">
        <v>0.401</v>
      </c>
      <c r="J16" s="195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65"/>
      <c r="AD16" s="202"/>
    </row>
    <row r="17" spans="1:30" s="8" customFormat="1" ht="16.5" customHeight="1" thickBot="1" thickTop="1">
      <c r="A17" s="195"/>
      <c r="B17" s="201"/>
      <c r="C17" s="24"/>
      <c r="D17" s="24"/>
      <c r="E17" s="24"/>
      <c r="F17" s="230" t="s">
        <v>48</v>
      </c>
      <c r="G17" s="231"/>
      <c r="H17" s="231"/>
      <c r="I17" s="232">
        <f>30*'TOT-0210'!B13</f>
        <v>60</v>
      </c>
      <c r="J17" s="24"/>
      <c r="K17" s="258" t="str">
        <f>IF(I17=30," ",IF(I17=60,"  Coeficiente duplicado por tasa de falla &gt;4 Sal. x año/100 km.","  REVISAR COEFICIENTE"))</f>
        <v>  Coeficiente duplicado por tasa de falla &gt;4 Sal. x año/100 km.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08"/>
      <c r="X17" s="208"/>
      <c r="Y17" s="208"/>
      <c r="Z17" s="208"/>
      <c r="AA17" s="208"/>
      <c r="AB17" s="208"/>
      <c r="AC17" s="65"/>
      <c r="AD17" s="202"/>
    </row>
    <row r="18" spans="1:30" s="8" customFormat="1" ht="16.5" customHeight="1" thickBot="1" thickTop="1">
      <c r="A18" s="195"/>
      <c r="B18" s="201"/>
      <c r="C18" s="24"/>
      <c r="D18" s="24"/>
      <c r="E18" s="24"/>
      <c r="F18" s="24"/>
      <c r="G18" s="24"/>
      <c r="H18" s="24"/>
      <c r="I18" s="28"/>
      <c r="J18" s="24"/>
      <c r="K18" s="20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65"/>
      <c r="AD18" s="202"/>
    </row>
    <row r="19" spans="1:30" s="391" customFormat="1" ht="33.75" customHeight="1" thickBot="1" thickTop="1">
      <c r="A19" s="388"/>
      <c r="B19" s="389"/>
      <c r="C19" s="187" t="s">
        <v>27</v>
      </c>
      <c r="D19" s="187" t="s">
        <v>98</v>
      </c>
      <c r="E19" s="187" t="s">
        <v>99</v>
      </c>
      <c r="F19" s="237" t="s">
        <v>49</v>
      </c>
      <c r="G19" s="233" t="s">
        <v>50</v>
      </c>
      <c r="H19" s="235" t="s">
        <v>51</v>
      </c>
      <c r="I19" s="236" t="s">
        <v>28</v>
      </c>
      <c r="J19" s="301" t="s">
        <v>30</v>
      </c>
      <c r="K19" s="233" t="s">
        <v>31</v>
      </c>
      <c r="L19" s="233" t="s">
        <v>32</v>
      </c>
      <c r="M19" s="237" t="s">
        <v>52</v>
      </c>
      <c r="N19" s="237" t="s">
        <v>53</v>
      </c>
      <c r="O19" s="190" t="s">
        <v>54</v>
      </c>
      <c r="P19" s="234" t="s">
        <v>55</v>
      </c>
      <c r="Q19" s="237" t="s">
        <v>36</v>
      </c>
      <c r="R19" s="233" t="s">
        <v>56</v>
      </c>
      <c r="S19" s="371" t="s">
        <v>57</v>
      </c>
      <c r="T19" s="376" t="s">
        <v>58</v>
      </c>
      <c r="U19" s="382" t="s">
        <v>38</v>
      </c>
      <c r="V19" s="392" t="s">
        <v>59</v>
      </c>
      <c r="W19" s="393"/>
      <c r="X19" s="401" t="s">
        <v>60</v>
      </c>
      <c r="Y19" s="421"/>
      <c r="Z19" s="411" t="s">
        <v>41</v>
      </c>
      <c r="AA19" s="412" t="s">
        <v>42</v>
      </c>
      <c r="AB19" s="295" t="s">
        <v>43</v>
      </c>
      <c r="AC19" s="238" t="s">
        <v>44</v>
      </c>
      <c r="AD19" s="390"/>
    </row>
    <row r="20" spans="1:30" s="8" customFormat="1" ht="16.5" customHeight="1" thickTop="1">
      <c r="A20" s="195"/>
      <c r="B20" s="201"/>
      <c r="C20" s="52"/>
      <c r="D20" s="52"/>
      <c r="E20" s="52"/>
      <c r="F20" s="487"/>
      <c r="G20" s="488"/>
      <c r="H20" s="488"/>
      <c r="I20" s="488"/>
      <c r="J20" s="310"/>
      <c r="K20" s="487"/>
      <c r="L20" s="488"/>
      <c r="M20" s="20"/>
      <c r="N20" s="20"/>
      <c r="O20" s="488"/>
      <c r="P20" s="19"/>
      <c r="Q20" s="488"/>
      <c r="R20" s="488"/>
      <c r="S20" s="372"/>
      <c r="T20" s="377"/>
      <c r="U20" s="383"/>
      <c r="V20" s="394"/>
      <c r="W20" s="395"/>
      <c r="X20" s="402"/>
      <c r="Y20" s="403"/>
      <c r="Z20" s="417"/>
      <c r="AA20" s="413"/>
      <c r="AB20" s="19"/>
      <c r="AC20" s="469"/>
      <c r="AD20" s="202"/>
    </row>
    <row r="21" spans="1:30" s="8" customFormat="1" ht="16.5" customHeight="1">
      <c r="A21" s="195"/>
      <c r="B21" s="201"/>
      <c r="C21" s="52"/>
      <c r="D21" s="52"/>
      <c r="E21" s="52"/>
      <c r="F21" s="489"/>
      <c r="G21" s="489"/>
      <c r="H21" s="489"/>
      <c r="I21" s="489"/>
      <c r="J21" s="311"/>
      <c r="K21" s="491"/>
      <c r="L21" s="489"/>
      <c r="M21" s="16"/>
      <c r="N21" s="16"/>
      <c r="O21" s="489"/>
      <c r="P21" s="15"/>
      <c r="Q21" s="489"/>
      <c r="R21" s="489"/>
      <c r="S21" s="373"/>
      <c r="T21" s="378"/>
      <c r="U21" s="384"/>
      <c r="V21" s="396"/>
      <c r="W21" s="397"/>
      <c r="X21" s="404"/>
      <c r="Y21" s="405"/>
      <c r="Z21" s="418"/>
      <c r="AA21" s="414"/>
      <c r="AB21" s="15"/>
      <c r="AC21" s="239"/>
      <c r="AD21" s="202"/>
    </row>
    <row r="22" spans="1:30" s="8" customFormat="1" ht="16.5" customHeight="1">
      <c r="A22" s="195"/>
      <c r="B22" s="210"/>
      <c r="C22" s="52">
        <v>22</v>
      </c>
      <c r="D22" s="52">
        <v>218070</v>
      </c>
      <c r="E22" s="52">
        <v>4730</v>
      </c>
      <c r="F22" s="43" t="s">
        <v>114</v>
      </c>
      <c r="G22" s="42" t="s">
        <v>115</v>
      </c>
      <c r="H22" s="56">
        <v>15</v>
      </c>
      <c r="I22" s="53" t="s">
        <v>95</v>
      </c>
      <c r="J22" s="312">
        <f aca="true" t="shared" si="0" ref="J22:J41">H22*$I$16</f>
        <v>6.015000000000001</v>
      </c>
      <c r="K22" s="54">
        <v>40211.86319444444</v>
      </c>
      <c r="L22" s="54">
        <v>40211.86944444444</v>
      </c>
      <c r="M22" s="21">
        <f aca="true" t="shared" si="1" ref="M22:M41">IF(F22="","",(L22-K22)*24)</f>
        <v>0.1499999999650754</v>
      </c>
      <c r="N22" s="22">
        <f aca="true" t="shared" si="2" ref="N22:N41">IF(F22="","",ROUND((L22-K22)*24*60,0))</f>
        <v>9</v>
      </c>
      <c r="O22" s="55" t="s">
        <v>116</v>
      </c>
      <c r="P22" s="55" t="str">
        <f aca="true" t="shared" si="3" ref="P22:P41">IF(F22="","",IF(OR(O22="P",O22="RP"),"--","NO"))</f>
        <v>NO</v>
      </c>
      <c r="Q22" s="370">
        <v>50</v>
      </c>
      <c r="R22" s="55" t="s">
        <v>105</v>
      </c>
      <c r="S22" s="374">
        <f aca="true" t="shared" si="4" ref="S22:S41">$I$17*IF(OR(O22="P",O22="RP"),0.1,1)*IF(R22="SI",1,0.1)</f>
        <v>60</v>
      </c>
      <c r="T22" s="379" t="str">
        <f aca="true" t="shared" si="5" ref="T22:T41">IF(O22="P",J22*S22*ROUND(N22/60,2),"--")</f>
        <v>--</v>
      </c>
      <c r="U22" s="385" t="str">
        <f aca="true" t="shared" si="6" ref="U22:U41">IF(O22="RP",J22*S22*ROUND(N22/60,2)*Q22/100,"--")</f>
        <v>--</v>
      </c>
      <c r="V22" s="398" t="str">
        <f aca="true" t="shared" si="7" ref="V22:V41">IF(AND(O22="F",P22="NO"),J22*S22,"--")</f>
        <v>--</v>
      </c>
      <c r="W22" s="399" t="str">
        <f aca="true" t="shared" si="8" ref="W22:W41">IF(O22="F",J22*S22*ROUND(N22/60,2),"--")</f>
        <v>--</v>
      </c>
      <c r="X22" s="406">
        <f aca="true" t="shared" si="9" ref="X22:X41">IF(AND(O22="R",P22="NO"),J22*S22*Q22/100,"--")</f>
        <v>180.45</v>
      </c>
      <c r="Y22" s="407">
        <f aca="true" t="shared" si="10" ref="Y22:Y41">IF(O22="R",J22*S22*ROUND(N22/60,2)*Q22/100,"--")</f>
        <v>27.067500000000006</v>
      </c>
      <c r="Z22" s="419" t="str">
        <f aca="true" t="shared" si="11" ref="Z22:Z41">IF(O22="RF",J22*S22*ROUND(N22/60,2),"--")</f>
        <v>--</v>
      </c>
      <c r="AA22" s="415" t="str">
        <f aca="true" t="shared" si="12" ref="AA22:AA41">IF(O22="RR",J22*S22*ROUND(N22/60,2)*Q22/100,"--")</f>
        <v>--</v>
      </c>
      <c r="AB22" s="55" t="s">
        <v>105</v>
      </c>
      <c r="AC22" s="26">
        <f aca="true" t="shared" si="13" ref="AC22:AC41">IF(F22="","",SUM(T22:AA22)*IF(AB22="SI",1,2))</f>
        <v>207.51749999999998</v>
      </c>
      <c r="AD22" s="466"/>
    </row>
    <row r="23" spans="1:30" s="8" customFormat="1" ht="16.5" customHeight="1">
      <c r="A23" s="195"/>
      <c r="B23" s="210"/>
      <c r="C23" s="52">
        <v>23</v>
      </c>
      <c r="D23" s="52">
        <v>218069</v>
      </c>
      <c r="E23" s="52">
        <v>4263</v>
      </c>
      <c r="F23" s="43" t="s">
        <v>114</v>
      </c>
      <c r="G23" s="42" t="s">
        <v>117</v>
      </c>
      <c r="H23" s="56">
        <v>15</v>
      </c>
      <c r="I23" s="53" t="s">
        <v>118</v>
      </c>
      <c r="J23" s="312">
        <f t="shared" si="0"/>
        <v>6.015000000000001</v>
      </c>
      <c r="K23" s="54">
        <v>40211.86319444444</v>
      </c>
      <c r="L23" s="54">
        <v>40211.86944444444</v>
      </c>
      <c r="M23" s="21">
        <f t="shared" si="1"/>
        <v>0.1499999999650754</v>
      </c>
      <c r="N23" s="22">
        <f t="shared" si="2"/>
        <v>9</v>
      </c>
      <c r="O23" s="55" t="s">
        <v>116</v>
      </c>
      <c r="P23" s="55" t="str">
        <f t="shared" si="3"/>
        <v>NO</v>
      </c>
      <c r="Q23" s="370">
        <v>40</v>
      </c>
      <c r="R23" s="55" t="s">
        <v>105</v>
      </c>
      <c r="S23" s="374">
        <f t="shared" si="4"/>
        <v>60</v>
      </c>
      <c r="T23" s="379" t="str">
        <f t="shared" si="5"/>
        <v>--</v>
      </c>
      <c r="U23" s="385" t="str">
        <f t="shared" si="6"/>
        <v>--</v>
      </c>
      <c r="V23" s="398" t="str">
        <f t="shared" si="7"/>
        <v>--</v>
      </c>
      <c r="W23" s="399" t="str">
        <f t="shared" si="8"/>
        <v>--</v>
      </c>
      <c r="X23" s="406">
        <f t="shared" si="9"/>
        <v>144.36</v>
      </c>
      <c r="Y23" s="407">
        <f t="shared" si="10"/>
        <v>21.654</v>
      </c>
      <c r="Z23" s="419" t="str">
        <f t="shared" si="11"/>
        <v>--</v>
      </c>
      <c r="AA23" s="415" t="str">
        <f t="shared" si="12"/>
        <v>--</v>
      </c>
      <c r="AB23" s="55" t="s">
        <v>105</v>
      </c>
      <c r="AC23" s="26">
        <f t="shared" si="13"/>
        <v>166.014</v>
      </c>
      <c r="AD23" s="466"/>
    </row>
    <row r="24" spans="1:30" s="8" customFormat="1" ht="16.5" customHeight="1">
      <c r="A24" s="195"/>
      <c r="B24" s="210"/>
      <c r="C24" s="52">
        <v>24</v>
      </c>
      <c r="D24" s="52">
        <v>218075</v>
      </c>
      <c r="E24" s="52">
        <v>2640</v>
      </c>
      <c r="F24" s="43" t="s">
        <v>119</v>
      </c>
      <c r="G24" s="42" t="s">
        <v>120</v>
      </c>
      <c r="H24" s="56">
        <v>15</v>
      </c>
      <c r="I24" s="53" t="s">
        <v>95</v>
      </c>
      <c r="J24" s="312">
        <f t="shared" si="0"/>
        <v>6.015000000000001</v>
      </c>
      <c r="K24" s="54">
        <v>40211.959027777775</v>
      </c>
      <c r="L24" s="54">
        <v>40211.96388888889</v>
      </c>
      <c r="M24" s="21">
        <f t="shared" si="1"/>
        <v>0.11666666669771075</v>
      </c>
      <c r="N24" s="22">
        <f t="shared" si="2"/>
        <v>7</v>
      </c>
      <c r="O24" s="55" t="s">
        <v>116</v>
      </c>
      <c r="P24" s="55" t="str">
        <f t="shared" si="3"/>
        <v>NO</v>
      </c>
      <c r="Q24" s="370">
        <v>40</v>
      </c>
      <c r="R24" s="55" t="s">
        <v>105</v>
      </c>
      <c r="S24" s="374">
        <f t="shared" si="4"/>
        <v>60</v>
      </c>
      <c r="T24" s="379" t="str">
        <f t="shared" si="5"/>
        <v>--</v>
      </c>
      <c r="U24" s="385" t="str">
        <f t="shared" si="6"/>
        <v>--</v>
      </c>
      <c r="V24" s="398" t="str">
        <f t="shared" si="7"/>
        <v>--</v>
      </c>
      <c r="W24" s="399" t="str">
        <f t="shared" si="8"/>
        <v>--</v>
      </c>
      <c r="X24" s="406">
        <f t="shared" si="9"/>
        <v>144.36</v>
      </c>
      <c r="Y24" s="407">
        <f t="shared" si="10"/>
        <v>17.3232</v>
      </c>
      <c r="Z24" s="419" t="str">
        <f t="shared" si="11"/>
        <v>--</v>
      </c>
      <c r="AA24" s="415" t="str">
        <f t="shared" si="12"/>
        <v>--</v>
      </c>
      <c r="AB24" s="55" t="s">
        <v>105</v>
      </c>
      <c r="AC24" s="26">
        <f t="shared" si="13"/>
        <v>161.6832</v>
      </c>
      <c r="AD24" s="466"/>
    </row>
    <row r="25" spans="1:30" s="8" customFormat="1" ht="16.5" customHeight="1">
      <c r="A25" s="195"/>
      <c r="B25" s="201"/>
      <c r="C25" s="52">
        <v>25</v>
      </c>
      <c r="D25" s="52">
        <v>218202</v>
      </c>
      <c r="E25" s="52">
        <v>2640</v>
      </c>
      <c r="F25" s="43" t="s">
        <v>119</v>
      </c>
      <c r="G25" s="42" t="s">
        <v>120</v>
      </c>
      <c r="H25" s="56">
        <v>15</v>
      </c>
      <c r="I25" s="53" t="s">
        <v>95</v>
      </c>
      <c r="J25" s="312">
        <f t="shared" si="0"/>
        <v>6.015000000000001</v>
      </c>
      <c r="K25" s="54">
        <v>40215.597916666666</v>
      </c>
      <c r="L25" s="54">
        <v>40215.60486111111</v>
      </c>
      <c r="M25" s="21">
        <f t="shared" si="1"/>
        <v>0.16666666668606922</v>
      </c>
      <c r="N25" s="22">
        <f t="shared" si="2"/>
        <v>10</v>
      </c>
      <c r="O25" s="55" t="s">
        <v>116</v>
      </c>
      <c r="P25" s="55" t="str">
        <f t="shared" si="3"/>
        <v>NO</v>
      </c>
      <c r="Q25" s="370">
        <v>40</v>
      </c>
      <c r="R25" s="55" t="s">
        <v>105</v>
      </c>
      <c r="S25" s="374">
        <f t="shared" si="4"/>
        <v>60</v>
      </c>
      <c r="T25" s="379" t="str">
        <f t="shared" si="5"/>
        <v>--</v>
      </c>
      <c r="U25" s="385" t="str">
        <f t="shared" si="6"/>
        <v>--</v>
      </c>
      <c r="V25" s="398" t="str">
        <f t="shared" si="7"/>
        <v>--</v>
      </c>
      <c r="W25" s="399" t="str">
        <f t="shared" si="8"/>
        <v>--</v>
      </c>
      <c r="X25" s="406">
        <f t="shared" si="9"/>
        <v>144.36</v>
      </c>
      <c r="Y25" s="407">
        <f t="shared" si="10"/>
        <v>24.541200000000003</v>
      </c>
      <c r="Z25" s="419" t="str">
        <f t="shared" si="11"/>
        <v>--</v>
      </c>
      <c r="AA25" s="415" t="str">
        <f t="shared" si="12"/>
        <v>--</v>
      </c>
      <c r="AB25" s="55" t="s">
        <v>105</v>
      </c>
      <c r="AC25" s="26">
        <f t="shared" si="13"/>
        <v>168.90120000000002</v>
      </c>
      <c r="AD25" s="466"/>
    </row>
    <row r="26" spans="1:30" s="8" customFormat="1" ht="16.5" customHeight="1">
      <c r="A26" s="195"/>
      <c r="B26" s="201"/>
      <c r="C26" s="52">
        <v>26</v>
      </c>
      <c r="D26" s="52">
        <v>218208</v>
      </c>
      <c r="E26" s="52">
        <v>2640</v>
      </c>
      <c r="F26" s="43" t="s">
        <v>119</v>
      </c>
      <c r="G26" s="42" t="s">
        <v>120</v>
      </c>
      <c r="H26" s="56">
        <v>15</v>
      </c>
      <c r="I26" s="53" t="s">
        <v>95</v>
      </c>
      <c r="J26" s="312">
        <f t="shared" si="0"/>
        <v>6.015000000000001</v>
      </c>
      <c r="K26" s="54">
        <v>40216.12222222222</v>
      </c>
      <c r="L26" s="54">
        <v>40216.131944444445</v>
      </c>
      <c r="M26" s="21">
        <f t="shared" si="1"/>
        <v>0.2333333333954215</v>
      </c>
      <c r="N26" s="22">
        <f t="shared" si="2"/>
        <v>14</v>
      </c>
      <c r="O26" s="55" t="s">
        <v>116</v>
      </c>
      <c r="P26" s="55" t="str">
        <f t="shared" si="3"/>
        <v>NO</v>
      </c>
      <c r="Q26" s="370">
        <v>40</v>
      </c>
      <c r="R26" s="55" t="s">
        <v>105</v>
      </c>
      <c r="S26" s="374">
        <f t="shared" si="4"/>
        <v>60</v>
      </c>
      <c r="T26" s="379" t="str">
        <f t="shared" si="5"/>
        <v>--</v>
      </c>
      <c r="U26" s="385" t="str">
        <f t="shared" si="6"/>
        <v>--</v>
      </c>
      <c r="V26" s="398" t="str">
        <f t="shared" si="7"/>
        <v>--</v>
      </c>
      <c r="W26" s="399" t="str">
        <f t="shared" si="8"/>
        <v>--</v>
      </c>
      <c r="X26" s="406">
        <f t="shared" si="9"/>
        <v>144.36</v>
      </c>
      <c r="Y26" s="407">
        <f t="shared" si="10"/>
        <v>33.2028</v>
      </c>
      <c r="Z26" s="419" t="str">
        <f t="shared" si="11"/>
        <v>--</v>
      </c>
      <c r="AA26" s="415" t="str">
        <f t="shared" si="12"/>
        <v>--</v>
      </c>
      <c r="AB26" s="55" t="s">
        <v>105</v>
      </c>
      <c r="AC26" s="26">
        <f t="shared" si="13"/>
        <v>177.5628</v>
      </c>
      <c r="AD26" s="466"/>
    </row>
    <row r="27" spans="1:30" s="8" customFormat="1" ht="16.5" customHeight="1">
      <c r="A27" s="195"/>
      <c r="B27" s="201"/>
      <c r="C27" s="52">
        <v>27</v>
      </c>
      <c r="D27" s="52">
        <v>218378</v>
      </c>
      <c r="E27" s="52">
        <v>2640</v>
      </c>
      <c r="F27" s="43" t="s">
        <v>119</v>
      </c>
      <c r="G27" s="42" t="s">
        <v>120</v>
      </c>
      <c r="H27" s="56">
        <v>15</v>
      </c>
      <c r="I27" s="53" t="s">
        <v>95</v>
      </c>
      <c r="J27" s="312">
        <f t="shared" si="0"/>
        <v>6.015000000000001</v>
      </c>
      <c r="K27" s="54">
        <v>40217.540972222225</v>
      </c>
      <c r="L27" s="54">
        <v>40217.54583333333</v>
      </c>
      <c r="M27" s="21">
        <f t="shared" si="1"/>
        <v>0.11666666652308777</v>
      </c>
      <c r="N27" s="22">
        <f t="shared" si="2"/>
        <v>7</v>
      </c>
      <c r="O27" s="55" t="s">
        <v>116</v>
      </c>
      <c r="P27" s="55" t="str">
        <f t="shared" si="3"/>
        <v>NO</v>
      </c>
      <c r="Q27" s="370">
        <v>40</v>
      </c>
      <c r="R27" s="55" t="s">
        <v>105</v>
      </c>
      <c r="S27" s="374">
        <f t="shared" si="4"/>
        <v>60</v>
      </c>
      <c r="T27" s="379" t="str">
        <f t="shared" si="5"/>
        <v>--</v>
      </c>
      <c r="U27" s="385" t="str">
        <f t="shared" si="6"/>
        <v>--</v>
      </c>
      <c r="V27" s="398" t="str">
        <f t="shared" si="7"/>
        <v>--</v>
      </c>
      <c r="W27" s="399" t="str">
        <f t="shared" si="8"/>
        <v>--</v>
      </c>
      <c r="X27" s="406">
        <f t="shared" si="9"/>
        <v>144.36</v>
      </c>
      <c r="Y27" s="407">
        <f t="shared" si="10"/>
        <v>17.3232</v>
      </c>
      <c r="Z27" s="419" t="str">
        <f t="shared" si="11"/>
        <v>--</v>
      </c>
      <c r="AA27" s="415" t="str">
        <f t="shared" si="12"/>
        <v>--</v>
      </c>
      <c r="AB27" s="55" t="s">
        <v>105</v>
      </c>
      <c r="AC27" s="26">
        <f t="shared" si="13"/>
        <v>161.6832</v>
      </c>
      <c r="AD27" s="466"/>
    </row>
    <row r="28" spans="1:30" s="8" customFormat="1" ht="16.5" customHeight="1">
      <c r="A28" s="195"/>
      <c r="B28" s="201"/>
      <c r="C28" s="52">
        <v>28</v>
      </c>
      <c r="D28" s="52">
        <v>218384</v>
      </c>
      <c r="E28" s="52">
        <v>2640</v>
      </c>
      <c r="F28" s="43" t="s">
        <v>119</v>
      </c>
      <c r="G28" s="42" t="s">
        <v>120</v>
      </c>
      <c r="H28" s="56">
        <v>15</v>
      </c>
      <c r="I28" s="53" t="s">
        <v>95</v>
      </c>
      <c r="J28" s="312">
        <f t="shared" si="0"/>
        <v>6.015000000000001</v>
      </c>
      <c r="K28" s="54">
        <v>40218.220138888886</v>
      </c>
      <c r="L28" s="54">
        <v>40218.2375</v>
      </c>
      <c r="M28" s="21">
        <f t="shared" si="1"/>
        <v>0.41666666680248454</v>
      </c>
      <c r="N28" s="22">
        <f t="shared" si="2"/>
        <v>25</v>
      </c>
      <c r="O28" s="55" t="s">
        <v>116</v>
      </c>
      <c r="P28" s="55" t="str">
        <f t="shared" si="3"/>
        <v>NO</v>
      </c>
      <c r="Q28" s="370">
        <v>40</v>
      </c>
      <c r="R28" s="55" t="s">
        <v>105</v>
      </c>
      <c r="S28" s="374">
        <f t="shared" si="4"/>
        <v>60</v>
      </c>
      <c r="T28" s="379" t="str">
        <f t="shared" si="5"/>
        <v>--</v>
      </c>
      <c r="U28" s="385" t="str">
        <f t="shared" si="6"/>
        <v>--</v>
      </c>
      <c r="V28" s="398" t="str">
        <f t="shared" si="7"/>
        <v>--</v>
      </c>
      <c r="W28" s="399" t="str">
        <f t="shared" si="8"/>
        <v>--</v>
      </c>
      <c r="X28" s="406">
        <f t="shared" si="9"/>
        <v>144.36</v>
      </c>
      <c r="Y28" s="407">
        <f t="shared" si="10"/>
        <v>60.6312</v>
      </c>
      <c r="Z28" s="419" t="str">
        <f t="shared" si="11"/>
        <v>--</v>
      </c>
      <c r="AA28" s="415" t="str">
        <f t="shared" si="12"/>
        <v>--</v>
      </c>
      <c r="AB28" s="55" t="s">
        <v>105</v>
      </c>
      <c r="AC28" s="26">
        <f t="shared" si="13"/>
        <v>204.99120000000002</v>
      </c>
      <c r="AD28" s="466"/>
    </row>
    <row r="29" spans="1:30" s="8" customFormat="1" ht="16.5" customHeight="1">
      <c r="A29" s="195"/>
      <c r="B29" s="201"/>
      <c r="C29" s="52">
        <v>29</v>
      </c>
      <c r="D29" s="52">
        <v>218390</v>
      </c>
      <c r="E29" s="52">
        <v>4730</v>
      </c>
      <c r="F29" s="43" t="s">
        <v>114</v>
      </c>
      <c r="G29" s="42" t="s">
        <v>115</v>
      </c>
      <c r="H29" s="56">
        <v>15</v>
      </c>
      <c r="I29" s="53" t="s">
        <v>95</v>
      </c>
      <c r="J29" s="312">
        <f t="shared" si="0"/>
        <v>6.015000000000001</v>
      </c>
      <c r="K29" s="54">
        <v>40219.65694444445</v>
      </c>
      <c r="L29" s="54">
        <v>40219.67083333333</v>
      </c>
      <c r="M29" s="21">
        <f t="shared" si="1"/>
        <v>0.33333333319751546</v>
      </c>
      <c r="N29" s="22">
        <f t="shared" si="2"/>
        <v>20</v>
      </c>
      <c r="O29" s="55" t="s">
        <v>116</v>
      </c>
      <c r="P29" s="55" t="str">
        <f t="shared" si="3"/>
        <v>NO</v>
      </c>
      <c r="Q29" s="370">
        <v>50</v>
      </c>
      <c r="R29" s="55" t="s">
        <v>105</v>
      </c>
      <c r="S29" s="374">
        <f t="shared" si="4"/>
        <v>60</v>
      </c>
      <c r="T29" s="379" t="str">
        <f t="shared" si="5"/>
        <v>--</v>
      </c>
      <c r="U29" s="385" t="str">
        <f t="shared" si="6"/>
        <v>--</v>
      </c>
      <c r="V29" s="398" t="str">
        <f t="shared" si="7"/>
        <v>--</v>
      </c>
      <c r="W29" s="399" t="str">
        <f t="shared" si="8"/>
        <v>--</v>
      </c>
      <c r="X29" s="406">
        <f t="shared" si="9"/>
        <v>180.45</v>
      </c>
      <c r="Y29" s="407">
        <f t="shared" si="10"/>
        <v>59.54850000000001</v>
      </c>
      <c r="Z29" s="419" t="str">
        <f t="shared" si="11"/>
        <v>--</v>
      </c>
      <c r="AA29" s="415" t="str">
        <f t="shared" si="12"/>
        <v>--</v>
      </c>
      <c r="AB29" s="55" t="s">
        <v>105</v>
      </c>
      <c r="AC29" s="26">
        <f t="shared" si="13"/>
        <v>239.9985</v>
      </c>
      <c r="AD29" s="466"/>
    </row>
    <row r="30" spans="1:30" s="8" customFormat="1" ht="16.5" customHeight="1">
      <c r="A30" s="195"/>
      <c r="B30" s="201"/>
      <c r="C30" s="52">
        <v>30</v>
      </c>
      <c r="D30" s="52">
        <v>218394</v>
      </c>
      <c r="E30" s="52">
        <v>770</v>
      </c>
      <c r="F30" s="43" t="s">
        <v>121</v>
      </c>
      <c r="G30" s="42" t="s">
        <v>122</v>
      </c>
      <c r="H30" s="56">
        <v>30</v>
      </c>
      <c r="I30" s="53" t="s">
        <v>95</v>
      </c>
      <c r="J30" s="312">
        <f t="shared" si="0"/>
        <v>12.030000000000001</v>
      </c>
      <c r="K30" s="54">
        <v>40220.98402777778</v>
      </c>
      <c r="L30" s="54">
        <v>40221.02569444444</v>
      </c>
      <c r="M30" s="21">
        <f t="shared" si="1"/>
        <v>0.9999999999417923</v>
      </c>
      <c r="N30" s="22">
        <f t="shared" si="2"/>
        <v>60</v>
      </c>
      <c r="O30" s="55" t="s">
        <v>107</v>
      </c>
      <c r="P30" s="55" t="str">
        <f t="shared" si="3"/>
        <v>NO</v>
      </c>
      <c r="Q30" s="370"/>
      <c r="R30" s="55" t="s">
        <v>105</v>
      </c>
      <c r="S30" s="374">
        <f t="shared" si="4"/>
        <v>60</v>
      </c>
      <c r="T30" s="379" t="str">
        <f t="shared" si="5"/>
        <v>--</v>
      </c>
      <c r="U30" s="385" t="str">
        <f t="shared" si="6"/>
        <v>--</v>
      </c>
      <c r="V30" s="398">
        <f t="shared" si="7"/>
        <v>721.8000000000001</v>
      </c>
      <c r="W30" s="399">
        <f t="shared" si="8"/>
        <v>721.8000000000001</v>
      </c>
      <c r="X30" s="406" t="str">
        <f t="shared" si="9"/>
        <v>--</v>
      </c>
      <c r="Y30" s="407" t="str">
        <f t="shared" si="10"/>
        <v>--</v>
      </c>
      <c r="Z30" s="419" t="str">
        <f t="shared" si="11"/>
        <v>--</v>
      </c>
      <c r="AA30" s="415" t="str">
        <f t="shared" si="12"/>
        <v>--</v>
      </c>
      <c r="AB30" s="55" t="s">
        <v>105</v>
      </c>
      <c r="AC30" s="26">
        <f t="shared" si="13"/>
        <v>1443.6000000000001</v>
      </c>
      <c r="AD30" s="466"/>
    </row>
    <row r="31" spans="1:30" s="8" customFormat="1" ht="16.5" customHeight="1">
      <c r="A31" s="195"/>
      <c r="B31" s="201"/>
      <c r="C31" s="52">
        <v>31</v>
      </c>
      <c r="D31" s="52">
        <v>218403</v>
      </c>
      <c r="E31" s="52">
        <v>4730</v>
      </c>
      <c r="F31" s="43" t="s">
        <v>114</v>
      </c>
      <c r="G31" s="42" t="s">
        <v>115</v>
      </c>
      <c r="H31" s="56">
        <v>15</v>
      </c>
      <c r="I31" s="53" t="s">
        <v>95</v>
      </c>
      <c r="J31" s="312">
        <f t="shared" si="0"/>
        <v>6.015000000000001</v>
      </c>
      <c r="K31" s="54">
        <v>40221.464583333334</v>
      </c>
      <c r="L31" s="54">
        <v>40221.46944444445</v>
      </c>
      <c r="M31" s="21">
        <f t="shared" si="1"/>
        <v>0.11666666669771075</v>
      </c>
      <c r="N31" s="22">
        <f t="shared" si="2"/>
        <v>7</v>
      </c>
      <c r="O31" s="55" t="s">
        <v>116</v>
      </c>
      <c r="P31" s="55" t="str">
        <f t="shared" si="3"/>
        <v>NO</v>
      </c>
      <c r="Q31" s="370">
        <v>50</v>
      </c>
      <c r="R31" s="55" t="s">
        <v>105</v>
      </c>
      <c r="S31" s="374">
        <f t="shared" si="4"/>
        <v>60</v>
      </c>
      <c r="T31" s="379" t="str">
        <f t="shared" si="5"/>
        <v>--</v>
      </c>
      <c r="U31" s="385" t="str">
        <f t="shared" si="6"/>
        <v>--</v>
      </c>
      <c r="V31" s="398" t="str">
        <f t="shared" si="7"/>
        <v>--</v>
      </c>
      <c r="W31" s="399" t="str">
        <f t="shared" si="8"/>
        <v>--</v>
      </c>
      <c r="X31" s="406">
        <f t="shared" si="9"/>
        <v>180.45</v>
      </c>
      <c r="Y31" s="407">
        <f t="shared" si="10"/>
        <v>21.654</v>
      </c>
      <c r="Z31" s="419" t="str">
        <f t="shared" si="11"/>
        <v>--</v>
      </c>
      <c r="AA31" s="415" t="str">
        <f t="shared" si="12"/>
        <v>--</v>
      </c>
      <c r="AB31" s="55" t="s">
        <v>105</v>
      </c>
      <c r="AC31" s="26">
        <f t="shared" si="13"/>
        <v>202.10399999999998</v>
      </c>
      <c r="AD31" s="466"/>
    </row>
    <row r="32" spans="1:30" s="8" customFormat="1" ht="16.5" customHeight="1">
      <c r="A32" s="195"/>
      <c r="B32" s="201"/>
      <c r="C32" s="52">
        <v>32</v>
      </c>
      <c r="D32" s="52">
        <v>218432</v>
      </c>
      <c r="E32" s="52">
        <v>4730</v>
      </c>
      <c r="F32" s="43" t="s">
        <v>114</v>
      </c>
      <c r="G32" s="42" t="s">
        <v>115</v>
      </c>
      <c r="H32" s="56">
        <v>15</v>
      </c>
      <c r="I32" s="53" t="s">
        <v>95</v>
      </c>
      <c r="J32" s="312">
        <f t="shared" si="0"/>
        <v>6.015000000000001</v>
      </c>
      <c r="K32" s="54">
        <v>40222.174305555556</v>
      </c>
      <c r="L32" s="54">
        <v>40222.34652777778</v>
      </c>
      <c r="M32" s="21">
        <f t="shared" si="1"/>
        <v>4.133333333360497</v>
      </c>
      <c r="N32" s="22">
        <f t="shared" si="2"/>
        <v>248</v>
      </c>
      <c r="O32" s="55" t="s">
        <v>107</v>
      </c>
      <c r="P32" s="55" t="str">
        <f t="shared" si="3"/>
        <v>NO</v>
      </c>
      <c r="Q32" s="370"/>
      <c r="R32" s="55" t="s">
        <v>105</v>
      </c>
      <c r="S32" s="374">
        <f t="shared" si="4"/>
        <v>60</v>
      </c>
      <c r="T32" s="379" t="str">
        <f t="shared" si="5"/>
        <v>--</v>
      </c>
      <c r="U32" s="385" t="str">
        <f t="shared" si="6"/>
        <v>--</v>
      </c>
      <c r="V32" s="398">
        <f t="shared" si="7"/>
        <v>360.90000000000003</v>
      </c>
      <c r="W32" s="399">
        <f t="shared" si="8"/>
        <v>1490.517</v>
      </c>
      <c r="X32" s="406" t="str">
        <f t="shared" si="9"/>
        <v>--</v>
      </c>
      <c r="Y32" s="407" t="str">
        <f t="shared" si="10"/>
        <v>--</v>
      </c>
      <c r="Z32" s="419" t="str">
        <f t="shared" si="11"/>
        <v>--</v>
      </c>
      <c r="AA32" s="415" t="str">
        <f t="shared" si="12"/>
        <v>--</v>
      </c>
      <c r="AB32" s="55" t="s">
        <v>105</v>
      </c>
      <c r="AC32" s="26">
        <f t="shared" si="13"/>
        <v>1851.4170000000001</v>
      </c>
      <c r="AD32" s="466"/>
    </row>
    <row r="33" spans="1:30" s="8" customFormat="1" ht="16.5" customHeight="1">
      <c r="A33" s="195"/>
      <c r="B33" s="201"/>
      <c r="C33" s="52">
        <v>33</v>
      </c>
      <c r="D33" s="52">
        <v>218438</v>
      </c>
      <c r="E33" s="52">
        <v>4708</v>
      </c>
      <c r="F33" s="43" t="s">
        <v>123</v>
      </c>
      <c r="G33" s="42" t="s">
        <v>122</v>
      </c>
      <c r="H33" s="56">
        <v>30</v>
      </c>
      <c r="I33" s="53" t="s">
        <v>95</v>
      </c>
      <c r="J33" s="312">
        <f t="shared" si="0"/>
        <v>12.030000000000001</v>
      </c>
      <c r="K33" s="54">
        <v>40222.42847222222</v>
      </c>
      <c r="L33" s="54">
        <v>40222.447222222225</v>
      </c>
      <c r="M33" s="21">
        <f t="shared" si="1"/>
        <v>0.4500000000698492</v>
      </c>
      <c r="N33" s="22">
        <f t="shared" si="2"/>
        <v>27</v>
      </c>
      <c r="O33" s="55" t="s">
        <v>107</v>
      </c>
      <c r="P33" s="55" t="str">
        <f t="shared" si="3"/>
        <v>NO</v>
      </c>
      <c r="Q33" s="370"/>
      <c r="R33" s="55" t="s">
        <v>105</v>
      </c>
      <c r="S33" s="374">
        <f t="shared" si="4"/>
        <v>60</v>
      </c>
      <c r="T33" s="379" t="str">
        <f t="shared" si="5"/>
        <v>--</v>
      </c>
      <c r="U33" s="385" t="str">
        <f t="shared" si="6"/>
        <v>--</v>
      </c>
      <c r="V33" s="398">
        <f t="shared" si="7"/>
        <v>721.8000000000001</v>
      </c>
      <c r="W33" s="399">
        <f t="shared" si="8"/>
        <v>324.81000000000006</v>
      </c>
      <c r="X33" s="406" t="str">
        <f t="shared" si="9"/>
        <v>--</v>
      </c>
      <c r="Y33" s="407" t="str">
        <f t="shared" si="10"/>
        <v>--</v>
      </c>
      <c r="Z33" s="419" t="str">
        <f t="shared" si="11"/>
        <v>--</v>
      </c>
      <c r="AA33" s="415" t="str">
        <f t="shared" si="12"/>
        <v>--</v>
      </c>
      <c r="AB33" s="55" t="s">
        <v>105</v>
      </c>
      <c r="AC33" s="26">
        <f t="shared" si="13"/>
        <v>1046.6100000000001</v>
      </c>
      <c r="AD33" s="466"/>
    </row>
    <row r="34" spans="1:30" s="8" customFormat="1" ht="16.5" customHeight="1">
      <c r="A34" s="195"/>
      <c r="B34" s="201"/>
      <c r="C34" s="52">
        <v>34</v>
      </c>
      <c r="D34" s="52">
        <v>218439</v>
      </c>
      <c r="E34" s="52">
        <v>768</v>
      </c>
      <c r="F34" s="43" t="s">
        <v>123</v>
      </c>
      <c r="G34" s="42" t="s">
        <v>120</v>
      </c>
      <c r="H34" s="56">
        <v>15</v>
      </c>
      <c r="I34" s="53" t="s">
        <v>95</v>
      </c>
      <c r="J34" s="312">
        <f t="shared" si="0"/>
        <v>6.015000000000001</v>
      </c>
      <c r="K34" s="54">
        <v>40222.42847222222</v>
      </c>
      <c r="L34" s="54">
        <v>40222.475</v>
      </c>
      <c r="M34" s="21">
        <f t="shared" si="1"/>
        <v>1.116666666639503</v>
      </c>
      <c r="N34" s="22">
        <f t="shared" si="2"/>
        <v>67</v>
      </c>
      <c r="O34" s="55" t="s">
        <v>107</v>
      </c>
      <c r="P34" s="55" t="str">
        <f t="shared" si="3"/>
        <v>NO</v>
      </c>
      <c r="Q34" s="370"/>
      <c r="R34" s="55" t="s">
        <v>105</v>
      </c>
      <c r="S34" s="374">
        <f t="shared" si="4"/>
        <v>60</v>
      </c>
      <c r="T34" s="379" t="str">
        <f t="shared" si="5"/>
        <v>--</v>
      </c>
      <c r="U34" s="385" t="str">
        <f t="shared" si="6"/>
        <v>--</v>
      </c>
      <c r="V34" s="398">
        <f t="shared" si="7"/>
        <v>360.90000000000003</v>
      </c>
      <c r="W34" s="399">
        <f t="shared" si="8"/>
        <v>404.2080000000001</v>
      </c>
      <c r="X34" s="406" t="str">
        <f t="shared" si="9"/>
        <v>--</v>
      </c>
      <c r="Y34" s="407" t="str">
        <f t="shared" si="10"/>
        <v>--</v>
      </c>
      <c r="Z34" s="419" t="str">
        <f t="shared" si="11"/>
        <v>--</v>
      </c>
      <c r="AA34" s="415" t="str">
        <f t="shared" si="12"/>
        <v>--</v>
      </c>
      <c r="AB34" s="55" t="s">
        <v>105</v>
      </c>
      <c r="AC34" s="26">
        <f t="shared" si="13"/>
        <v>765.1080000000002</v>
      </c>
      <c r="AD34" s="466"/>
    </row>
    <row r="35" spans="1:30" s="8" customFormat="1" ht="16.5" customHeight="1">
      <c r="A35" s="195"/>
      <c r="B35" s="201"/>
      <c r="C35" s="52">
        <v>35</v>
      </c>
      <c r="D35" s="52">
        <v>218450</v>
      </c>
      <c r="E35" s="52">
        <v>750</v>
      </c>
      <c r="F35" s="43" t="s">
        <v>124</v>
      </c>
      <c r="G35" s="42" t="s">
        <v>115</v>
      </c>
      <c r="H35" s="56">
        <v>15</v>
      </c>
      <c r="I35" s="53" t="s">
        <v>95</v>
      </c>
      <c r="J35" s="312">
        <f t="shared" si="0"/>
        <v>6.015000000000001</v>
      </c>
      <c r="K35" s="54">
        <v>40223.154861111114</v>
      </c>
      <c r="L35" s="54">
        <v>40223.17986111111</v>
      </c>
      <c r="M35" s="21">
        <f t="shared" si="1"/>
        <v>0.5999999998603016</v>
      </c>
      <c r="N35" s="22">
        <f t="shared" si="2"/>
        <v>36</v>
      </c>
      <c r="O35" s="55" t="s">
        <v>107</v>
      </c>
      <c r="P35" s="55" t="str">
        <f t="shared" si="3"/>
        <v>NO</v>
      </c>
      <c r="Q35" s="370"/>
      <c r="R35" s="55" t="s">
        <v>105</v>
      </c>
      <c r="S35" s="374">
        <f t="shared" si="4"/>
        <v>60</v>
      </c>
      <c r="T35" s="379" t="str">
        <f t="shared" si="5"/>
        <v>--</v>
      </c>
      <c r="U35" s="385" t="str">
        <f t="shared" si="6"/>
        <v>--</v>
      </c>
      <c r="V35" s="398">
        <f t="shared" si="7"/>
        <v>360.90000000000003</v>
      </c>
      <c r="W35" s="399">
        <f t="shared" si="8"/>
        <v>216.54000000000002</v>
      </c>
      <c r="X35" s="406" t="str">
        <f t="shared" si="9"/>
        <v>--</v>
      </c>
      <c r="Y35" s="407" t="str">
        <f t="shared" si="10"/>
        <v>--</v>
      </c>
      <c r="Z35" s="419" t="str">
        <f t="shared" si="11"/>
        <v>--</v>
      </c>
      <c r="AA35" s="415" t="str">
        <f t="shared" si="12"/>
        <v>--</v>
      </c>
      <c r="AB35" s="55" t="s">
        <v>105</v>
      </c>
      <c r="AC35" s="26">
        <f t="shared" si="13"/>
        <v>577.44</v>
      </c>
      <c r="AD35" s="466"/>
    </row>
    <row r="36" spans="1:30" s="8" customFormat="1" ht="16.5" customHeight="1">
      <c r="A36" s="195"/>
      <c r="B36" s="201"/>
      <c r="C36" s="52">
        <v>36</v>
      </c>
      <c r="D36" s="52">
        <v>218451</v>
      </c>
      <c r="E36" s="52">
        <v>753</v>
      </c>
      <c r="F36" s="43" t="s">
        <v>124</v>
      </c>
      <c r="G36" s="42" t="s">
        <v>125</v>
      </c>
      <c r="H36" s="56">
        <v>30</v>
      </c>
      <c r="I36" s="53" t="s">
        <v>95</v>
      </c>
      <c r="J36" s="312">
        <f t="shared" si="0"/>
        <v>12.030000000000001</v>
      </c>
      <c r="K36" s="54">
        <v>40223.154861111114</v>
      </c>
      <c r="L36" s="54">
        <v>40223.17986111111</v>
      </c>
      <c r="M36" s="21">
        <f t="shared" si="1"/>
        <v>0.5999999998603016</v>
      </c>
      <c r="N36" s="22">
        <f t="shared" si="2"/>
        <v>36</v>
      </c>
      <c r="O36" s="55" t="s">
        <v>107</v>
      </c>
      <c r="P36" s="55" t="str">
        <f t="shared" si="3"/>
        <v>NO</v>
      </c>
      <c r="Q36" s="370"/>
      <c r="R36" s="55" t="s">
        <v>105</v>
      </c>
      <c r="S36" s="374">
        <f t="shared" si="4"/>
        <v>60</v>
      </c>
      <c r="T36" s="379" t="str">
        <f t="shared" si="5"/>
        <v>--</v>
      </c>
      <c r="U36" s="385" t="str">
        <f t="shared" si="6"/>
        <v>--</v>
      </c>
      <c r="V36" s="398">
        <f t="shared" si="7"/>
        <v>721.8000000000001</v>
      </c>
      <c r="W36" s="399">
        <f t="shared" si="8"/>
        <v>433.08000000000004</v>
      </c>
      <c r="X36" s="406" t="str">
        <f t="shared" si="9"/>
        <v>--</v>
      </c>
      <c r="Y36" s="407" t="str">
        <f t="shared" si="10"/>
        <v>--</v>
      </c>
      <c r="Z36" s="419" t="str">
        <f t="shared" si="11"/>
        <v>--</v>
      </c>
      <c r="AA36" s="415" t="str">
        <f t="shared" si="12"/>
        <v>--</v>
      </c>
      <c r="AB36" s="55" t="s">
        <v>105</v>
      </c>
      <c r="AC36" s="26">
        <f t="shared" si="13"/>
        <v>1154.88</v>
      </c>
      <c r="AD36" s="466"/>
    </row>
    <row r="37" spans="1:30" s="8" customFormat="1" ht="16.5" customHeight="1">
      <c r="A37" s="195"/>
      <c r="B37" s="201"/>
      <c r="C37" s="52">
        <v>37</v>
      </c>
      <c r="D37" s="52">
        <v>218461</v>
      </c>
      <c r="E37" s="52">
        <v>2640</v>
      </c>
      <c r="F37" s="43" t="s">
        <v>119</v>
      </c>
      <c r="G37" s="42" t="s">
        <v>120</v>
      </c>
      <c r="H37" s="56">
        <v>15</v>
      </c>
      <c r="I37" s="53" t="s">
        <v>95</v>
      </c>
      <c r="J37" s="312">
        <f t="shared" si="0"/>
        <v>6.015000000000001</v>
      </c>
      <c r="K37" s="54">
        <v>40223.25277777778</v>
      </c>
      <c r="L37" s="54">
        <v>40223.399305555555</v>
      </c>
      <c r="M37" s="21">
        <f t="shared" si="1"/>
        <v>3.5166666666045785</v>
      </c>
      <c r="N37" s="22">
        <f t="shared" si="2"/>
        <v>211</v>
      </c>
      <c r="O37" s="55" t="s">
        <v>126</v>
      </c>
      <c r="P37" s="55" t="str">
        <f t="shared" si="3"/>
        <v>--</v>
      </c>
      <c r="Q37" s="370">
        <v>40</v>
      </c>
      <c r="R37" s="55" t="str">
        <f>IF(F37="","","NO")</f>
        <v>NO</v>
      </c>
      <c r="S37" s="374">
        <f t="shared" si="4"/>
        <v>0.6000000000000001</v>
      </c>
      <c r="T37" s="379" t="str">
        <f t="shared" si="5"/>
        <v>--</v>
      </c>
      <c r="U37" s="385">
        <f t="shared" si="6"/>
        <v>5.0814720000000015</v>
      </c>
      <c r="V37" s="398" t="str">
        <f t="shared" si="7"/>
        <v>--</v>
      </c>
      <c r="W37" s="399" t="str">
        <f t="shared" si="8"/>
        <v>--</v>
      </c>
      <c r="X37" s="406" t="str">
        <f t="shared" si="9"/>
        <v>--</v>
      </c>
      <c r="Y37" s="407" t="str">
        <f t="shared" si="10"/>
        <v>--</v>
      </c>
      <c r="Z37" s="419" t="str">
        <f t="shared" si="11"/>
        <v>--</v>
      </c>
      <c r="AA37" s="415" t="str">
        <f t="shared" si="12"/>
        <v>--</v>
      </c>
      <c r="AB37" s="55" t="s">
        <v>105</v>
      </c>
      <c r="AC37" s="26">
        <f t="shared" si="13"/>
        <v>5.0814720000000015</v>
      </c>
      <c r="AD37" s="202"/>
    </row>
    <row r="38" spans="1:30" s="8" customFormat="1" ht="16.5" customHeight="1">
      <c r="A38" s="195"/>
      <c r="B38" s="201"/>
      <c r="C38" s="52">
        <v>38</v>
      </c>
      <c r="D38" s="52">
        <v>218699</v>
      </c>
      <c r="E38" s="52">
        <v>4719</v>
      </c>
      <c r="F38" s="43" t="s">
        <v>127</v>
      </c>
      <c r="G38" s="42" t="s">
        <v>128</v>
      </c>
      <c r="H38" s="56">
        <v>30</v>
      </c>
      <c r="I38" s="53" t="s">
        <v>95</v>
      </c>
      <c r="J38" s="312">
        <f t="shared" si="0"/>
        <v>12.030000000000001</v>
      </c>
      <c r="K38" s="54">
        <v>40227.30625</v>
      </c>
      <c r="L38" s="54">
        <v>40227.48055555556</v>
      </c>
      <c r="M38" s="21">
        <f t="shared" si="1"/>
        <v>4.183333333348855</v>
      </c>
      <c r="N38" s="22">
        <f t="shared" si="2"/>
        <v>251</v>
      </c>
      <c r="O38" s="55" t="s">
        <v>126</v>
      </c>
      <c r="P38" s="55" t="str">
        <f t="shared" si="3"/>
        <v>--</v>
      </c>
      <c r="Q38" s="370">
        <v>45</v>
      </c>
      <c r="R38" s="55" t="str">
        <f>IF(F38="","","NO")</f>
        <v>NO</v>
      </c>
      <c r="S38" s="374">
        <f t="shared" si="4"/>
        <v>0.6000000000000001</v>
      </c>
      <c r="T38" s="379" t="str">
        <f t="shared" si="5"/>
        <v>--</v>
      </c>
      <c r="U38" s="385">
        <f t="shared" si="6"/>
        <v>13.577058000000001</v>
      </c>
      <c r="V38" s="398" t="str">
        <f t="shared" si="7"/>
        <v>--</v>
      </c>
      <c r="W38" s="399" t="str">
        <f t="shared" si="8"/>
        <v>--</v>
      </c>
      <c r="X38" s="406" t="str">
        <f t="shared" si="9"/>
        <v>--</v>
      </c>
      <c r="Y38" s="407" t="str">
        <f t="shared" si="10"/>
        <v>--</v>
      </c>
      <c r="Z38" s="419" t="str">
        <f t="shared" si="11"/>
        <v>--</v>
      </c>
      <c r="AA38" s="415" t="str">
        <f t="shared" si="12"/>
        <v>--</v>
      </c>
      <c r="AB38" s="55" t="s">
        <v>105</v>
      </c>
      <c r="AC38" s="26">
        <f t="shared" si="13"/>
        <v>13.577058000000001</v>
      </c>
      <c r="AD38" s="202"/>
    </row>
    <row r="39" spans="1:30" s="8" customFormat="1" ht="16.5" customHeight="1">
      <c r="A39" s="195"/>
      <c r="B39" s="201"/>
      <c r="C39" s="52">
        <v>39</v>
      </c>
      <c r="D39" s="52">
        <v>218698</v>
      </c>
      <c r="E39" s="52">
        <v>773</v>
      </c>
      <c r="F39" s="43" t="s">
        <v>127</v>
      </c>
      <c r="G39" s="42" t="s">
        <v>117</v>
      </c>
      <c r="H39" s="56">
        <v>30</v>
      </c>
      <c r="I39" s="53" t="s">
        <v>95</v>
      </c>
      <c r="J39" s="312">
        <f t="shared" si="0"/>
        <v>12.030000000000001</v>
      </c>
      <c r="K39" s="54">
        <v>40227.30625</v>
      </c>
      <c r="L39" s="54">
        <v>40227.48055555556</v>
      </c>
      <c r="M39" s="21">
        <f t="shared" si="1"/>
        <v>4.183333333348855</v>
      </c>
      <c r="N39" s="22">
        <f t="shared" si="2"/>
        <v>251</v>
      </c>
      <c r="O39" s="55" t="s">
        <v>126</v>
      </c>
      <c r="P39" s="55" t="str">
        <f t="shared" si="3"/>
        <v>--</v>
      </c>
      <c r="Q39" s="370">
        <v>45</v>
      </c>
      <c r="R39" s="55" t="str">
        <f>IF(F39="","","NO")</f>
        <v>NO</v>
      </c>
      <c r="S39" s="374">
        <f t="shared" si="4"/>
        <v>0.6000000000000001</v>
      </c>
      <c r="T39" s="379" t="str">
        <f t="shared" si="5"/>
        <v>--</v>
      </c>
      <c r="U39" s="385">
        <f t="shared" si="6"/>
        <v>13.577058000000001</v>
      </c>
      <c r="V39" s="398" t="str">
        <f t="shared" si="7"/>
        <v>--</v>
      </c>
      <c r="W39" s="399" t="str">
        <f t="shared" si="8"/>
        <v>--</v>
      </c>
      <c r="X39" s="406" t="str">
        <f t="shared" si="9"/>
        <v>--</v>
      </c>
      <c r="Y39" s="407" t="str">
        <f t="shared" si="10"/>
        <v>--</v>
      </c>
      <c r="Z39" s="419" t="str">
        <f t="shared" si="11"/>
        <v>--</v>
      </c>
      <c r="AA39" s="415" t="str">
        <f t="shared" si="12"/>
        <v>--</v>
      </c>
      <c r="AB39" s="55" t="s">
        <v>105</v>
      </c>
      <c r="AC39" s="26">
        <f t="shared" si="13"/>
        <v>13.577058000000001</v>
      </c>
      <c r="AD39" s="202"/>
    </row>
    <row r="40" spans="1:30" s="8" customFormat="1" ht="16.5" customHeight="1">
      <c r="A40" s="195"/>
      <c r="B40" s="201"/>
      <c r="C40" s="52">
        <v>40</v>
      </c>
      <c r="D40" s="52">
        <v>218725</v>
      </c>
      <c r="E40" s="52">
        <v>757</v>
      </c>
      <c r="F40" s="43" t="s">
        <v>119</v>
      </c>
      <c r="G40" s="42" t="s">
        <v>122</v>
      </c>
      <c r="H40" s="56">
        <v>15</v>
      </c>
      <c r="I40" s="53" t="s">
        <v>95</v>
      </c>
      <c r="J40" s="312">
        <f t="shared" si="0"/>
        <v>6.015000000000001</v>
      </c>
      <c r="K40" s="54">
        <v>40229.302083333336</v>
      </c>
      <c r="L40" s="54">
        <v>40229.330555555556</v>
      </c>
      <c r="M40" s="21">
        <f t="shared" si="1"/>
        <v>0.6833333332906477</v>
      </c>
      <c r="N40" s="22">
        <f t="shared" si="2"/>
        <v>41</v>
      </c>
      <c r="O40" s="55" t="s">
        <v>126</v>
      </c>
      <c r="P40" s="55" t="str">
        <f t="shared" si="3"/>
        <v>--</v>
      </c>
      <c r="Q40" s="370">
        <v>40</v>
      </c>
      <c r="R40" s="55" t="str">
        <f>IF(F40="","","NO")</f>
        <v>NO</v>
      </c>
      <c r="S40" s="374">
        <f t="shared" si="4"/>
        <v>0.6000000000000001</v>
      </c>
      <c r="T40" s="379" t="str">
        <f t="shared" si="5"/>
        <v>--</v>
      </c>
      <c r="U40" s="385">
        <f t="shared" si="6"/>
        <v>0.9816480000000004</v>
      </c>
      <c r="V40" s="398" t="str">
        <f t="shared" si="7"/>
        <v>--</v>
      </c>
      <c r="W40" s="399" t="str">
        <f t="shared" si="8"/>
        <v>--</v>
      </c>
      <c r="X40" s="406" t="str">
        <f t="shared" si="9"/>
        <v>--</v>
      </c>
      <c r="Y40" s="407" t="str">
        <f t="shared" si="10"/>
        <v>--</v>
      </c>
      <c r="Z40" s="419" t="str">
        <f t="shared" si="11"/>
        <v>--</v>
      </c>
      <c r="AA40" s="415" t="str">
        <f t="shared" si="12"/>
        <v>--</v>
      </c>
      <c r="AB40" s="55" t="s">
        <v>105</v>
      </c>
      <c r="AC40" s="26">
        <f t="shared" si="13"/>
        <v>0.9816480000000004</v>
      </c>
      <c r="AD40" s="202"/>
    </row>
    <row r="41" spans="1:30" s="8" customFormat="1" ht="16.5" customHeight="1">
      <c r="A41" s="195"/>
      <c r="B41" s="201"/>
      <c r="C41" s="52"/>
      <c r="D41" s="52"/>
      <c r="E41" s="52"/>
      <c r="F41" s="43"/>
      <c r="G41" s="42"/>
      <c r="H41" s="56"/>
      <c r="I41" s="53"/>
      <c r="J41" s="312">
        <f t="shared" si="0"/>
        <v>0</v>
      </c>
      <c r="K41" s="54"/>
      <c r="L41" s="54"/>
      <c r="M41" s="21">
        <f t="shared" si="1"/>
      </c>
      <c r="N41" s="22">
        <f t="shared" si="2"/>
      </c>
      <c r="O41" s="55"/>
      <c r="P41" s="55">
        <f t="shared" si="3"/>
      </c>
      <c r="Q41" s="370">
        <f>IF(F41="","","--")</f>
      </c>
      <c r="R41" s="55">
        <f>IF(F41="","","NO")</f>
      </c>
      <c r="S41" s="374">
        <f t="shared" si="4"/>
        <v>6</v>
      </c>
      <c r="T41" s="379" t="str">
        <f t="shared" si="5"/>
        <v>--</v>
      </c>
      <c r="U41" s="385" t="str">
        <f t="shared" si="6"/>
        <v>--</v>
      </c>
      <c r="V41" s="398" t="str">
        <f t="shared" si="7"/>
        <v>--</v>
      </c>
      <c r="W41" s="399" t="str">
        <f t="shared" si="8"/>
        <v>--</v>
      </c>
      <c r="X41" s="406" t="str">
        <f t="shared" si="9"/>
        <v>--</v>
      </c>
      <c r="Y41" s="407" t="str">
        <f t="shared" si="10"/>
        <v>--</v>
      </c>
      <c r="Z41" s="419" t="str">
        <f t="shared" si="11"/>
        <v>--</v>
      </c>
      <c r="AA41" s="415" t="str">
        <f t="shared" si="12"/>
        <v>--</v>
      </c>
      <c r="AB41" s="55">
        <f>IF(F41="","","SI")</f>
      </c>
      <c r="AC41" s="26">
        <f t="shared" si="13"/>
      </c>
      <c r="AD41" s="202"/>
    </row>
    <row r="42" spans="1:30" s="8" customFormat="1" ht="16.5" customHeight="1" thickBot="1">
      <c r="A42" s="195"/>
      <c r="B42" s="201"/>
      <c r="C42" s="490"/>
      <c r="D42" s="490"/>
      <c r="E42" s="490"/>
      <c r="F42" s="490"/>
      <c r="G42" s="490"/>
      <c r="H42" s="490"/>
      <c r="I42" s="490"/>
      <c r="J42" s="369"/>
      <c r="K42" s="490"/>
      <c r="L42" s="490"/>
      <c r="M42" s="23"/>
      <c r="N42" s="23"/>
      <c r="O42" s="490"/>
      <c r="P42" s="23"/>
      <c r="Q42" s="490"/>
      <c r="R42" s="490"/>
      <c r="S42" s="375"/>
      <c r="T42" s="380"/>
      <c r="U42" s="386"/>
      <c r="V42" s="425"/>
      <c r="W42" s="424"/>
      <c r="X42" s="408"/>
      <c r="Y42" s="409"/>
      <c r="Z42" s="420"/>
      <c r="AA42" s="416"/>
      <c r="AB42" s="23"/>
      <c r="AC42" s="240"/>
      <c r="AD42" s="202"/>
    </row>
    <row r="43" spans="1:30" s="8" customFormat="1" ht="16.5" customHeight="1" thickBot="1" thickTop="1">
      <c r="A43" s="195"/>
      <c r="B43" s="201"/>
      <c r="C43" s="271" t="s">
        <v>45</v>
      </c>
      <c r="D43" s="273"/>
      <c r="E43" s="273"/>
      <c r="F43" s="272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381">
        <f aca="true" t="shared" si="14" ref="T43:AA43">SUM(T20:T42)</f>
        <v>0</v>
      </c>
      <c r="U43" s="387">
        <f t="shared" si="14"/>
        <v>33.21723600000001</v>
      </c>
      <c r="V43" s="400">
        <f t="shared" si="14"/>
        <v>3248.1000000000004</v>
      </c>
      <c r="W43" s="400">
        <f t="shared" si="14"/>
        <v>3590.955</v>
      </c>
      <c r="X43" s="410">
        <f t="shared" si="14"/>
        <v>1407.5100000000002</v>
      </c>
      <c r="Y43" s="410">
        <f t="shared" si="14"/>
        <v>282.9456</v>
      </c>
      <c r="Z43" s="422">
        <f t="shared" si="14"/>
        <v>0</v>
      </c>
      <c r="AA43" s="423">
        <f t="shared" si="14"/>
        <v>0</v>
      </c>
      <c r="AB43" s="25"/>
      <c r="AC43" s="307">
        <f>ROUND(SUM(AC20:AC42),2)</f>
        <v>8562.73</v>
      </c>
      <c r="AD43" s="202"/>
    </row>
    <row r="44" spans="1:30" s="286" customFormat="1" ht="9.75" thickTop="1">
      <c r="A44" s="289"/>
      <c r="B44" s="290"/>
      <c r="C44" s="273"/>
      <c r="D44" s="273"/>
      <c r="E44" s="273"/>
      <c r="F44" s="274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2"/>
      <c r="U44" s="292"/>
      <c r="V44" s="292"/>
      <c r="W44" s="292"/>
      <c r="X44" s="292"/>
      <c r="Y44" s="292"/>
      <c r="Z44" s="292"/>
      <c r="AA44" s="292"/>
      <c r="AB44" s="291"/>
      <c r="AC44" s="293"/>
      <c r="AD44" s="294"/>
    </row>
    <row r="45" spans="1:30" s="8" customFormat="1" ht="16.5" customHeight="1" thickBot="1">
      <c r="A45" s="195"/>
      <c r="B45" s="211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3"/>
    </row>
    <row r="46" spans="2:30" ht="16.5" customHeight="1" thickTop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2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D46"/>
  <sheetViews>
    <sheetView zoomScale="75" zoomScaleNormal="75" workbookViewId="0" topLeftCell="A10">
      <selection activeCell="G16" sqref="G16:G18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7" width="25.7109375" style="0" customWidth="1"/>
    <col min="8" max="8" width="8.7109375" style="0" customWidth="1"/>
    <col min="9" max="9" width="12.7109375" style="0" customWidth="1"/>
    <col min="10" max="10" width="14.28125" style="0" hidden="1" customWidth="1"/>
    <col min="11" max="12" width="15.7109375" style="0" customWidth="1"/>
    <col min="13" max="15" width="9.7109375" style="0" customWidth="1"/>
    <col min="16" max="18" width="7.7109375" style="0" customWidth="1"/>
    <col min="19" max="19" width="12.57421875" style="0" hidden="1" customWidth="1"/>
    <col min="20" max="21" width="14.421875" style="0" hidden="1" customWidth="1"/>
    <col min="22" max="22" width="16.8515625" style="0" hidden="1" customWidth="1"/>
    <col min="23" max="27" width="16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6:30" s="114" customFormat="1" ht="30" customHeight="1"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474"/>
    </row>
    <row r="2" spans="2:30" s="114" customFormat="1" ht="26.25">
      <c r="B2" s="486" t="str">
        <f>+'TOT-0210'!B2</f>
        <v>ANEXO II al Memoradnum D.T.E.E. N°  480 /2011</v>
      </c>
      <c r="C2" s="115"/>
      <c r="D2" s="115"/>
      <c r="E2" s="115"/>
      <c r="F2" s="197"/>
      <c r="G2" s="12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6:30" s="8" customFormat="1" ht="12.75"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</row>
    <row r="4" spans="1:30" s="112" customFormat="1" ht="11.25">
      <c r="A4" s="513" t="s">
        <v>100</v>
      </c>
      <c r="B4" s="180"/>
      <c r="C4" s="513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</row>
    <row r="5" spans="1:30" s="112" customFormat="1" ht="11.25">
      <c r="A5" s="513" t="s">
        <v>101</v>
      </c>
      <c r="B5" s="180"/>
      <c r="C5" s="180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</row>
    <row r="6" spans="1:30" s="8" customFormat="1" ht="16.5" customHeight="1" thickBo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</row>
    <row r="7" spans="1:30" s="8" customFormat="1" ht="16.5" customHeight="1" thickTop="1">
      <c r="A7" s="195"/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200"/>
    </row>
    <row r="8" spans="1:30" s="116" customFormat="1" ht="21.75" customHeight="1">
      <c r="A8" s="215"/>
      <c r="B8" s="216"/>
      <c r="C8" s="203"/>
      <c r="D8" s="203"/>
      <c r="E8" s="203"/>
      <c r="F8" s="18" t="s">
        <v>20</v>
      </c>
      <c r="H8" s="203"/>
      <c r="I8" s="215"/>
      <c r="J8" s="215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17"/>
      <c r="AD8" s="218"/>
    </row>
    <row r="9" spans="1:30" s="8" customFormat="1" ht="16.5" customHeight="1">
      <c r="A9" s="195"/>
      <c r="B9" s="201"/>
      <c r="C9" s="24"/>
      <c r="D9" s="24"/>
      <c r="E9" s="24"/>
      <c r="F9" s="24"/>
      <c r="G9" s="24"/>
      <c r="H9" s="24"/>
      <c r="I9" s="19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65"/>
      <c r="AD9" s="202"/>
    </row>
    <row r="10" spans="1:30" s="116" customFormat="1" ht="24" customHeight="1">
      <c r="A10" s="215"/>
      <c r="B10" s="216"/>
      <c r="C10" s="203"/>
      <c r="D10" s="203"/>
      <c r="E10" s="203"/>
      <c r="F10" s="18" t="s">
        <v>46</v>
      </c>
      <c r="G10" s="203"/>
      <c r="H10" s="203"/>
      <c r="I10" s="215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17"/>
      <c r="AD10" s="218"/>
    </row>
    <row r="11" spans="1:30" s="8" customFormat="1" ht="16.5" customHeight="1">
      <c r="A11" s="195"/>
      <c r="B11" s="201"/>
      <c r="C11" s="24"/>
      <c r="D11" s="24"/>
      <c r="E11" s="24"/>
      <c r="F11" s="64"/>
      <c r="G11" s="24"/>
      <c r="H11" s="24"/>
      <c r="I11" s="19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65"/>
      <c r="AD11" s="202"/>
    </row>
    <row r="12" spans="1:30" s="116" customFormat="1" ht="24" customHeight="1">
      <c r="A12" s="215"/>
      <c r="B12" s="216"/>
      <c r="C12" s="203"/>
      <c r="D12" s="203"/>
      <c r="E12" s="203"/>
      <c r="F12" s="226" t="s">
        <v>47</v>
      </c>
      <c r="G12" s="18"/>
      <c r="H12" s="215"/>
      <c r="I12" s="215"/>
      <c r="J12" s="219"/>
      <c r="K12" s="203"/>
      <c r="L12" s="215"/>
      <c r="M12" s="215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17"/>
      <c r="AD12" s="218"/>
    </row>
    <row r="13" spans="1:30" s="8" customFormat="1" ht="16.5" customHeight="1">
      <c r="A13" s="195"/>
      <c r="B13" s="201"/>
      <c r="C13" s="24"/>
      <c r="D13" s="24"/>
      <c r="E13" s="24"/>
      <c r="F13" s="205"/>
      <c r="G13" s="205"/>
      <c r="H13" s="205"/>
      <c r="I13" s="206"/>
      <c r="J13" s="20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65"/>
      <c r="AD13" s="202"/>
    </row>
    <row r="14" spans="1:30" s="120" customFormat="1" ht="16.5" customHeight="1">
      <c r="A14" s="220"/>
      <c r="B14" s="222" t="str">
        <f>+'TOT-0210'!B14</f>
        <v>Desde el 01 al 28 de febrero de 2010</v>
      </c>
      <c r="C14" s="193"/>
      <c r="D14" s="193"/>
      <c r="E14" s="193"/>
      <c r="F14" s="193"/>
      <c r="G14" s="193"/>
      <c r="H14" s="193"/>
      <c r="I14" s="193"/>
      <c r="J14" s="193"/>
      <c r="K14" s="221"/>
      <c r="L14" s="22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224"/>
      <c r="AD14" s="225"/>
    </row>
    <row r="15" spans="1:30" s="8" customFormat="1" ht="16.5" customHeight="1" thickBot="1">
      <c r="A15" s="195"/>
      <c r="B15" s="201"/>
      <c r="C15" s="24"/>
      <c r="D15" s="24"/>
      <c r="E15" s="24"/>
      <c r="F15" s="24"/>
      <c r="G15" s="24"/>
      <c r="H15" s="24"/>
      <c r="I15" s="207"/>
      <c r="J15" s="24"/>
      <c r="K15" s="19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65"/>
      <c r="AD15" s="202"/>
    </row>
    <row r="16" spans="1:30" s="8" customFormat="1" ht="16.5" customHeight="1" thickBot="1" thickTop="1">
      <c r="A16" s="195"/>
      <c r="B16" s="201"/>
      <c r="C16" s="24"/>
      <c r="D16" s="24"/>
      <c r="E16" s="24"/>
      <c r="F16" s="227" t="s">
        <v>90</v>
      </c>
      <c r="G16" s="228"/>
      <c r="H16" s="229"/>
      <c r="I16" s="475">
        <v>0.401</v>
      </c>
      <c r="J16" s="195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65"/>
      <c r="AD16" s="202"/>
    </row>
    <row r="17" spans="1:30" s="8" customFormat="1" ht="16.5" customHeight="1" thickBot="1" thickTop="1">
      <c r="A17" s="195"/>
      <c r="B17" s="201"/>
      <c r="C17" s="24"/>
      <c r="D17" s="24"/>
      <c r="E17" s="24"/>
      <c r="F17" s="230" t="s">
        <v>48</v>
      </c>
      <c r="G17" s="231"/>
      <c r="H17" s="231"/>
      <c r="I17" s="232">
        <f>30*'TOT-0210'!B13</f>
        <v>60</v>
      </c>
      <c r="J17" s="24"/>
      <c r="K17" s="258" t="str">
        <f>IF(I17=30," ",IF(I17=60,"  Coeficiente duplicado por tasa de falla &gt;4 Sal. x año/100 km.","  REVISAR COEFICIENTE"))</f>
        <v>  Coeficiente duplicado por tasa de falla &gt;4 Sal. x año/100 km.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08"/>
      <c r="X17" s="208"/>
      <c r="Y17" s="208"/>
      <c r="Z17" s="208"/>
      <c r="AA17" s="208"/>
      <c r="AB17" s="208"/>
      <c r="AC17" s="65"/>
      <c r="AD17" s="202"/>
    </row>
    <row r="18" spans="1:30" s="8" customFormat="1" ht="16.5" customHeight="1" thickBot="1" thickTop="1">
      <c r="A18" s="195"/>
      <c r="B18" s="201"/>
      <c r="C18" s="24"/>
      <c r="D18" s="24"/>
      <c r="E18" s="24"/>
      <c r="F18" s="24"/>
      <c r="G18" s="24"/>
      <c r="H18" s="24"/>
      <c r="I18" s="28"/>
      <c r="J18" s="24"/>
      <c r="K18" s="20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65"/>
      <c r="AD18" s="202"/>
    </row>
    <row r="19" spans="1:30" s="391" customFormat="1" ht="33.75" customHeight="1" thickBot="1" thickTop="1">
      <c r="A19" s="388"/>
      <c r="B19" s="389"/>
      <c r="C19" s="187" t="s">
        <v>27</v>
      </c>
      <c r="D19" s="187" t="s">
        <v>98</v>
      </c>
      <c r="E19" s="187" t="s">
        <v>99</v>
      </c>
      <c r="F19" s="237" t="s">
        <v>49</v>
      </c>
      <c r="G19" s="233" t="s">
        <v>50</v>
      </c>
      <c r="H19" s="235" t="s">
        <v>51</v>
      </c>
      <c r="I19" s="236" t="s">
        <v>28</v>
      </c>
      <c r="J19" s="301" t="s">
        <v>30</v>
      </c>
      <c r="K19" s="233" t="s">
        <v>31</v>
      </c>
      <c r="L19" s="233" t="s">
        <v>32</v>
      </c>
      <c r="M19" s="237" t="s">
        <v>52</v>
      </c>
      <c r="N19" s="237" t="s">
        <v>53</v>
      </c>
      <c r="O19" s="190" t="s">
        <v>54</v>
      </c>
      <c r="P19" s="234" t="s">
        <v>55</v>
      </c>
      <c r="Q19" s="237" t="s">
        <v>36</v>
      </c>
      <c r="R19" s="233" t="s">
        <v>56</v>
      </c>
      <c r="S19" s="371" t="s">
        <v>57</v>
      </c>
      <c r="T19" s="376" t="s">
        <v>58</v>
      </c>
      <c r="U19" s="382" t="s">
        <v>38</v>
      </c>
      <c r="V19" s="392" t="s">
        <v>59</v>
      </c>
      <c r="W19" s="393"/>
      <c r="X19" s="401" t="s">
        <v>60</v>
      </c>
      <c r="Y19" s="421"/>
      <c r="Z19" s="411" t="s">
        <v>41</v>
      </c>
      <c r="AA19" s="412" t="s">
        <v>42</v>
      </c>
      <c r="AB19" s="295" t="s">
        <v>43</v>
      </c>
      <c r="AC19" s="238" t="s">
        <v>44</v>
      </c>
      <c r="AD19" s="390"/>
    </row>
    <row r="20" spans="1:30" s="8" customFormat="1" ht="16.5" customHeight="1" thickTop="1">
      <c r="A20" s="195"/>
      <c r="B20" s="201"/>
      <c r="C20" s="52"/>
      <c r="D20" s="52"/>
      <c r="E20" s="52"/>
      <c r="F20" s="487"/>
      <c r="G20" s="488"/>
      <c r="H20" s="488"/>
      <c r="I20" s="488"/>
      <c r="J20" s="310"/>
      <c r="K20" s="487"/>
      <c r="L20" s="488"/>
      <c r="M20" s="20"/>
      <c r="N20" s="20"/>
      <c r="O20" s="488"/>
      <c r="P20" s="19"/>
      <c r="Q20" s="488"/>
      <c r="R20" s="488"/>
      <c r="S20" s="372"/>
      <c r="T20" s="377"/>
      <c r="U20" s="383"/>
      <c r="V20" s="394"/>
      <c r="W20" s="395"/>
      <c r="X20" s="402"/>
      <c r="Y20" s="403"/>
      <c r="Z20" s="417"/>
      <c r="AA20" s="514">
        <f>'T-02 (1)'!AA43</f>
        <v>0</v>
      </c>
      <c r="AB20" s="19"/>
      <c r="AC20" s="469">
        <f>'T-02 (1)'!AC43</f>
        <v>8562.73</v>
      </c>
      <c r="AD20" s="202"/>
    </row>
    <row r="21" spans="1:30" s="8" customFormat="1" ht="16.5" customHeight="1">
      <c r="A21" s="195"/>
      <c r="B21" s="201"/>
      <c r="C21" s="52"/>
      <c r="D21" s="52"/>
      <c r="E21" s="52"/>
      <c r="F21" s="489"/>
      <c r="G21" s="489"/>
      <c r="H21" s="489"/>
      <c r="I21" s="489"/>
      <c r="J21" s="311"/>
      <c r="K21" s="491"/>
      <c r="L21" s="489"/>
      <c r="M21" s="16"/>
      <c r="N21" s="16"/>
      <c r="O21" s="489"/>
      <c r="P21" s="15"/>
      <c r="Q21" s="489"/>
      <c r="R21" s="489"/>
      <c r="S21" s="373"/>
      <c r="T21" s="378"/>
      <c r="U21" s="384"/>
      <c r="V21" s="396"/>
      <c r="W21" s="397"/>
      <c r="X21" s="404"/>
      <c r="Y21" s="405"/>
      <c r="Z21" s="418"/>
      <c r="AA21" s="414"/>
      <c r="AB21" s="15"/>
      <c r="AC21" s="239"/>
      <c r="AD21" s="202"/>
    </row>
    <row r="22" spans="1:30" s="8" customFormat="1" ht="16.5" customHeight="1">
      <c r="A22" s="195"/>
      <c r="B22" s="210"/>
      <c r="C22" s="52">
        <v>41</v>
      </c>
      <c r="D22" s="52">
        <v>218728</v>
      </c>
      <c r="E22" s="52">
        <v>769</v>
      </c>
      <c r="F22" s="43" t="s">
        <v>129</v>
      </c>
      <c r="G22" s="42" t="s">
        <v>130</v>
      </c>
      <c r="H22" s="56">
        <v>15</v>
      </c>
      <c r="I22" s="53" t="s">
        <v>95</v>
      </c>
      <c r="J22" s="312">
        <f aca="true" t="shared" si="0" ref="J22:J41">H22*$I$16</f>
        <v>6.015000000000001</v>
      </c>
      <c r="K22" s="54">
        <v>40229.44513888889</v>
      </c>
      <c r="L22" s="54">
        <v>40229.45</v>
      </c>
      <c r="M22" s="21">
        <f aca="true" t="shared" si="1" ref="M22:M41">IF(F22="","",(L22-K22)*24)</f>
        <v>0.11666666652308777</v>
      </c>
      <c r="N22" s="22">
        <f aca="true" t="shared" si="2" ref="N22:N41">IF(F22="","",ROUND((L22-K22)*24*60,0))</f>
        <v>7</v>
      </c>
      <c r="O22" s="55" t="s">
        <v>107</v>
      </c>
      <c r="P22" s="55" t="str">
        <f aca="true" t="shared" si="3" ref="P22:P41">IF(F22="","",IF(OR(O22="P",O22="RP"),"--","NO"))</f>
        <v>NO</v>
      </c>
      <c r="Q22" s="370"/>
      <c r="R22" s="55" t="s">
        <v>105</v>
      </c>
      <c r="S22" s="374">
        <f aca="true" t="shared" si="4" ref="S22:S41">$I$17*IF(OR(O22="P",O22="RP"),0.1,1)*IF(R22="SI",1,0.1)</f>
        <v>60</v>
      </c>
      <c r="T22" s="379" t="str">
        <f aca="true" t="shared" si="5" ref="T22:T41">IF(O22="P",J22*S22*ROUND(N22/60,2),"--")</f>
        <v>--</v>
      </c>
      <c r="U22" s="385" t="str">
        <f aca="true" t="shared" si="6" ref="U22:U41">IF(O22="RP",J22*S22*ROUND(N22/60,2)*Q22/100,"--")</f>
        <v>--</v>
      </c>
      <c r="V22" s="398">
        <f aca="true" t="shared" si="7" ref="V22:V41">IF(AND(O22="F",P22="NO"),J22*S22,"--")</f>
        <v>360.90000000000003</v>
      </c>
      <c r="W22" s="399">
        <f aca="true" t="shared" si="8" ref="W22:W41">IF(O22="F",J22*S22*ROUND(N22/60,2),"--")</f>
        <v>43.308</v>
      </c>
      <c r="X22" s="406" t="str">
        <f aca="true" t="shared" si="9" ref="X22:X41">IF(AND(O22="R",P22="NO"),J22*S22*Q22/100,"--")</f>
        <v>--</v>
      </c>
      <c r="Y22" s="407" t="str">
        <f aca="true" t="shared" si="10" ref="Y22:Y41">IF(O22="R",J22*S22*ROUND(N22/60,2)*Q22/100,"--")</f>
        <v>--</v>
      </c>
      <c r="Z22" s="419" t="str">
        <f aca="true" t="shared" si="11" ref="Z22:Z41">IF(O22="RF",J22*S22*ROUND(N22/60,2),"--")</f>
        <v>--</v>
      </c>
      <c r="AA22" s="415" t="str">
        <f aca="true" t="shared" si="12" ref="AA22:AA41">IF(O22="RR",J22*S22*ROUND(N22/60,2)*Q22/100,"--")</f>
        <v>--</v>
      </c>
      <c r="AB22" s="55" t="s">
        <v>105</v>
      </c>
      <c r="AC22" s="26">
        <f aca="true" t="shared" si="13" ref="AC22:AC41">IF(F22="","",SUM(T22:AA22)*IF(AB22="SI",1,2))</f>
        <v>404.208</v>
      </c>
      <c r="AD22" s="466"/>
    </row>
    <row r="23" spans="1:30" s="8" customFormat="1" ht="16.5" customHeight="1">
      <c r="A23" s="195"/>
      <c r="B23" s="210"/>
      <c r="C23" s="52">
        <v>42</v>
      </c>
      <c r="D23" s="52">
        <v>218912</v>
      </c>
      <c r="E23" s="52">
        <v>769</v>
      </c>
      <c r="F23" s="43" t="s">
        <v>129</v>
      </c>
      <c r="G23" s="42" t="s">
        <v>130</v>
      </c>
      <c r="H23" s="56">
        <v>15</v>
      </c>
      <c r="I23" s="53" t="s">
        <v>95</v>
      </c>
      <c r="J23" s="312">
        <f t="shared" si="0"/>
        <v>6.015000000000001</v>
      </c>
      <c r="K23" s="54">
        <v>40231.96875</v>
      </c>
      <c r="L23" s="54">
        <v>40231.97361111111</v>
      </c>
      <c r="M23" s="21">
        <f t="shared" si="1"/>
        <v>0.11666666669771075</v>
      </c>
      <c r="N23" s="22">
        <f t="shared" si="2"/>
        <v>7</v>
      </c>
      <c r="O23" s="55" t="s">
        <v>107</v>
      </c>
      <c r="P23" s="55" t="str">
        <f t="shared" si="3"/>
        <v>NO</v>
      </c>
      <c r="Q23" s="370"/>
      <c r="R23" s="55" t="s">
        <v>105</v>
      </c>
      <c r="S23" s="374">
        <f t="shared" si="4"/>
        <v>60</v>
      </c>
      <c r="T23" s="379" t="str">
        <f t="shared" si="5"/>
        <v>--</v>
      </c>
      <c r="U23" s="385" t="str">
        <f t="shared" si="6"/>
        <v>--</v>
      </c>
      <c r="V23" s="398">
        <f t="shared" si="7"/>
        <v>360.90000000000003</v>
      </c>
      <c r="W23" s="399">
        <f t="shared" si="8"/>
        <v>43.308</v>
      </c>
      <c r="X23" s="406" t="str">
        <f t="shared" si="9"/>
        <v>--</v>
      </c>
      <c r="Y23" s="407" t="str">
        <f t="shared" si="10"/>
        <v>--</v>
      </c>
      <c r="Z23" s="419" t="str">
        <f t="shared" si="11"/>
        <v>--</v>
      </c>
      <c r="AA23" s="415" t="str">
        <f t="shared" si="12"/>
        <v>--</v>
      </c>
      <c r="AB23" s="55" t="s">
        <v>105</v>
      </c>
      <c r="AC23" s="26">
        <f t="shared" si="13"/>
        <v>404.208</v>
      </c>
      <c r="AD23" s="466"/>
    </row>
    <row r="24" spans="1:30" s="8" customFormat="1" ht="16.5" customHeight="1">
      <c r="A24" s="195"/>
      <c r="B24" s="210"/>
      <c r="C24" s="52">
        <v>43</v>
      </c>
      <c r="D24" s="52">
        <v>218920</v>
      </c>
      <c r="E24" s="52">
        <v>771</v>
      </c>
      <c r="F24" s="43" t="s">
        <v>127</v>
      </c>
      <c r="G24" s="42" t="s">
        <v>122</v>
      </c>
      <c r="H24" s="56">
        <v>30</v>
      </c>
      <c r="I24" s="53" t="s">
        <v>95</v>
      </c>
      <c r="J24" s="312">
        <f t="shared" si="0"/>
        <v>12.030000000000001</v>
      </c>
      <c r="K24" s="54">
        <v>40232.14236111111</v>
      </c>
      <c r="L24" s="54">
        <v>40232.1625</v>
      </c>
      <c r="M24" s="21">
        <f t="shared" si="1"/>
        <v>0.48333333333721384</v>
      </c>
      <c r="N24" s="22">
        <f t="shared" si="2"/>
        <v>29</v>
      </c>
      <c r="O24" s="55" t="s">
        <v>116</v>
      </c>
      <c r="P24" s="55" t="str">
        <f t="shared" si="3"/>
        <v>NO</v>
      </c>
      <c r="Q24" s="370">
        <v>60</v>
      </c>
      <c r="R24" s="55" t="s">
        <v>105</v>
      </c>
      <c r="S24" s="374">
        <f t="shared" si="4"/>
        <v>60</v>
      </c>
      <c r="T24" s="379" t="str">
        <f t="shared" si="5"/>
        <v>--</v>
      </c>
      <c r="U24" s="385" t="str">
        <f t="shared" si="6"/>
        <v>--</v>
      </c>
      <c r="V24" s="398" t="str">
        <f t="shared" si="7"/>
        <v>--</v>
      </c>
      <c r="W24" s="399" t="str">
        <f t="shared" si="8"/>
        <v>--</v>
      </c>
      <c r="X24" s="406">
        <f t="shared" si="9"/>
        <v>433.0800000000001</v>
      </c>
      <c r="Y24" s="407">
        <f t="shared" si="10"/>
        <v>207.8784</v>
      </c>
      <c r="Z24" s="419" t="str">
        <f t="shared" si="11"/>
        <v>--</v>
      </c>
      <c r="AA24" s="415" t="str">
        <f t="shared" si="12"/>
        <v>--</v>
      </c>
      <c r="AB24" s="55" t="s">
        <v>105</v>
      </c>
      <c r="AC24" s="26">
        <f t="shared" si="13"/>
        <v>640.9584000000001</v>
      </c>
      <c r="AD24" s="466"/>
    </row>
    <row r="25" spans="1:30" s="8" customFormat="1" ht="16.5" customHeight="1">
      <c r="A25" s="195"/>
      <c r="B25" s="201"/>
      <c r="C25" s="52">
        <v>44</v>
      </c>
      <c r="D25" s="52">
        <v>218921</v>
      </c>
      <c r="E25" s="52">
        <v>772</v>
      </c>
      <c r="F25" s="43" t="s">
        <v>127</v>
      </c>
      <c r="G25" s="42" t="s">
        <v>120</v>
      </c>
      <c r="H25" s="56">
        <v>30</v>
      </c>
      <c r="I25" s="53" t="s">
        <v>131</v>
      </c>
      <c r="J25" s="312">
        <f t="shared" si="0"/>
        <v>12.030000000000001</v>
      </c>
      <c r="K25" s="54">
        <v>40232.14236111111</v>
      </c>
      <c r="L25" s="54">
        <v>40232.1625</v>
      </c>
      <c r="M25" s="21">
        <f t="shared" si="1"/>
        <v>0.48333333333721384</v>
      </c>
      <c r="N25" s="22">
        <f t="shared" si="2"/>
        <v>29</v>
      </c>
      <c r="O25" s="55" t="s">
        <v>116</v>
      </c>
      <c r="P25" s="55" t="str">
        <f t="shared" si="3"/>
        <v>NO</v>
      </c>
      <c r="Q25" s="370">
        <v>40</v>
      </c>
      <c r="R25" s="55" t="s">
        <v>105</v>
      </c>
      <c r="S25" s="374">
        <f t="shared" si="4"/>
        <v>60</v>
      </c>
      <c r="T25" s="379" t="str">
        <f t="shared" si="5"/>
        <v>--</v>
      </c>
      <c r="U25" s="385" t="str">
        <f t="shared" si="6"/>
        <v>--</v>
      </c>
      <c r="V25" s="398" t="str">
        <f t="shared" si="7"/>
        <v>--</v>
      </c>
      <c r="W25" s="399" t="str">
        <f t="shared" si="8"/>
        <v>--</v>
      </c>
      <c r="X25" s="406">
        <f t="shared" si="9"/>
        <v>288.72</v>
      </c>
      <c r="Y25" s="407">
        <f t="shared" si="10"/>
        <v>138.5856</v>
      </c>
      <c r="Z25" s="419" t="str">
        <f t="shared" si="11"/>
        <v>--</v>
      </c>
      <c r="AA25" s="415" t="str">
        <f t="shared" si="12"/>
        <v>--</v>
      </c>
      <c r="AB25" s="55" t="s">
        <v>105</v>
      </c>
      <c r="AC25" s="26">
        <f t="shared" si="13"/>
        <v>427.3056</v>
      </c>
      <c r="AD25" s="466"/>
    </row>
    <row r="26" spans="1:30" s="8" customFormat="1" ht="16.5" customHeight="1">
      <c r="A26" s="195"/>
      <c r="B26" s="201"/>
      <c r="C26" s="52">
        <v>45</v>
      </c>
      <c r="D26" s="52">
        <v>218918</v>
      </c>
      <c r="E26" s="52">
        <v>773</v>
      </c>
      <c r="F26" s="43" t="s">
        <v>127</v>
      </c>
      <c r="G26" s="42" t="s">
        <v>117</v>
      </c>
      <c r="H26" s="56">
        <v>30</v>
      </c>
      <c r="I26" s="53" t="s">
        <v>95</v>
      </c>
      <c r="J26" s="312">
        <f t="shared" si="0"/>
        <v>12.030000000000001</v>
      </c>
      <c r="K26" s="54">
        <v>40232.14236111111</v>
      </c>
      <c r="L26" s="54">
        <v>40232.20347222222</v>
      </c>
      <c r="M26" s="21">
        <f t="shared" si="1"/>
        <v>1.4666666667326353</v>
      </c>
      <c r="N26" s="22">
        <f t="shared" si="2"/>
        <v>88</v>
      </c>
      <c r="O26" s="55" t="s">
        <v>107</v>
      </c>
      <c r="P26" s="55" t="str">
        <f t="shared" si="3"/>
        <v>NO</v>
      </c>
      <c r="Q26" s="370"/>
      <c r="R26" s="55" t="s">
        <v>105</v>
      </c>
      <c r="S26" s="374">
        <f t="shared" si="4"/>
        <v>60</v>
      </c>
      <c r="T26" s="379" t="str">
        <f t="shared" si="5"/>
        <v>--</v>
      </c>
      <c r="U26" s="385" t="str">
        <f t="shared" si="6"/>
        <v>--</v>
      </c>
      <c r="V26" s="398">
        <f t="shared" si="7"/>
        <v>721.8000000000001</v>
      </c>
      <c r="W26" s="399">
        <f t="shared" si="8"/>
        <v>1061.046</v>
      </c>
      <c r="X26" s="406" t="str">
        <f t="shared" si="9"/>
        <v>--</v>
      </c>
      <c r="Y26" s="407" t="str">
        <f t="shared" si="10"/>
        <v>--</v>
      </c>
      <c r="Z26" s="419" t="str">
        <f t="shared" si="11"/>
        <v>--</v>
      </c>
      <c r="AA26" s="415" t="str">
        <f t="shared" si="12"/>
        <v>--</v>
      </c>
      <c r="AB26" s="55" t="s">
        <v>105</v>
      </c>
      <c r="AC26" s="26">
        <f t="shared" si="13"/>
        <v>1782.846</v>
      </c>
      <c r="AD26" s="466"/>
    </row>
    <row r="27" spans="1:30" s="8" customFormat="1" ht="16.5" customHeight="1">
      <c r="A27" s="195"/>
      <c r="B27" s="201"/>
      <c r="C27" s="52">
        <v>46</v>
      </c>
      <c r="D27" s="52">
        <v>218919</v>
      </c>
      <c r="E27" s="52">
        <v>4719</v>
      </c>
      <c r="F27" s="43" t="s">
        <v>127</v>
      </c>
      <c r="G27" s="42" t="s">
        <v>128</v>
      </c>
      <c r="H27" s="56">
        <v>30</v>
      </c>
      <c r="I27" s="53" t="s">
        <v>95</v>
      </c>
      <c r="J27" s="312">
        <f t="shared" si="0"/>
        <v>12.030000000000001</v>
      </c>
      <c r="K27" s="54">
        <v>40232.14236111111</v>
      </c>
      <c r="L27" s="54">
        <v>40232.20347222222</v>
      </c>
      <c r="M27" s="21">
        <f t="shared" si="1"/>
        <v>1.4666666667326353</v>
      </c>
      <c r="N27" s="22">
        <f t="shared" si="2"/>
        <v>88</v>
      </c>
      <c r="O27" s="55" t="s">
        <v>107</v>
      </c>
      <c r="P27" s="55" t="str">
        <f t="shared" si="3"/>
        <v>NO</v>
      </c>
      <c r="Q27" s="370"/>
      <c r="R27" s="55" t="s">
        <v>105</v>
      </c>
      <c r="S27" s="374">
        <f t="shared" si="4"/>
        <v>60</v>
      </c>
      <c r="T27" s="379" t="str">
        <f t="shared" si="5"/>
        <v>--</v>
      </c>
      <c r="U27" s="385" t="str">
        <f t="shared" si="6"/>
        <v>--</v>
      </c>
      <c r="V27" s="398">
        <f t="shared" si="7"/>
        <v>721.8000000000001</v>
      </c>
      <c r="W27" s="399">
        <f t="shared" si="8"/>
        <v>1061.046</v>
      </c>
      <c r="X27" s="406" t="str">
        <f t="shared" si="9"/>
        <v>--</v>
      </c>
      <c r="Y27" s="407" t="str">
        <f t="shared" si="10"/>
        <v>--</v>
      </c>
      <c r="Z27" s="419" t="str">
        <f t="shared" si="11"/>
        <v>--</v>
      </c>
      <c r="AA27" s="415" t="str">
        <f t="shared" si="12"/>
        <v>--</v>
      </c>
      <c r="AB27" s="55" t="s">
        <v>105</v>
      </c>
      <c r="AC27" s="26">
        <f t="shared" si="13"/>
        <v>1782.846</v>
      </c>
      <c r="AD27" s="466"/>
    </row>
    <row r="28" spans="1:30" s="8" customFormat="1" ht="16.5" customHeight="1">
      <c r="A28" s="195"/>
      <c r="B28" s="201"/>
      <c r="C28" s="52">
        <v>47</v>
      </c>
      <c r="D28" s="52">
        <v>218933</v>
      </c>
      <c r="E28" s="52">
        <v>4719</v>
      </c>
      <c r="F28" s="43" t="s">
        <v>127</v>
      </c>
      <c r="G28" s="42" t="s">
        <v>128</v>
      </c>
      <c r="H28" s="56">
        <v>30</v>
      </c>
      <c r="I28" s="53" t="s">
        <v>95</v>
      </c>
      <c r="J28" s="312">
        <f t="shared" si="0"/>
        <v>12.030000000000001</v>
      </c>
      <c r="K28" s="54">
        <v>40232.217361111114</v>
      </c>
      <c r="L28" s="54">
        <v>40232.26458333333</v>
      </c>
      <c r="M28" s="21">
        <f t="shared" si="1"/>
        <v>1.133333333185874</v>
      </c>
      <c r="N28" s="22">
        <f t="shared" si="2"/>
        <v>68</v>
      </c>
      <c r="O28" s="55" t="s">
        <v>107</v>
      </c>
      <c r="P28" s="55" t="str">
        <f t="shared" si="3"/>
        <v>NO</v>
      </c>
      <c r="Q28" s="370"/>
      <c r="R28" s="55" t="s">
        <v>105</v>
      </c>
      <c r="S28" s="374">
        <f t="shared" si="4"/>
        <v>60</v>
      </c>
      <c r="T28" s="379" t="str">
        <f t="shared" si="5"/>
        <v>--</v>
      </c>
      <c r="U28" s="385" t="str">
        <f t="shared" si="6"/>
        <v>--</v>
      </c>
      <c r="V28" s="398">
        <f t="shared" si="7"/>
        <v>721.8000000000001</v>
      </c>
      <c r="W28" s="399">
        <f t="shared" si="8"/>
        <v>815.634</v>
      </c>
      <c r="X28" s="406" t="str">
        <f t="shared" si="9"/>
        <v>--</v>
      </c>
      <c r="Y28" s="407" t="str">
        <f t="shared" si="10"/>
        <v>--</v>
      </c>
      <c r="Z28" s="419" t="str">
        <f t="shared" si="11"/>
        <v>--</v>
      </c>
      <c r="AA28" s="415" t="str">
        <f t="shared" si="12"/>
        <v>--</v>
      </c>
      <c r="AB28" s="55" t="s">
        <v>105</v>
      </c>
      <c r="AC28" s="26">
        <f t="shared" si="13"/>
        <v>1537.4340000000002</v>
      </c>
      <c r="AD28" s="466"/>
    </row>
    <row r="29" spans="1:30" s="8" customFormat="1" ht="16.5" customHeight="1">
      <c r="A29" s="195"/>
      <c r="B29" s="201"/>
      <c r="C29" s="52">
        <v>48</v>
      </c>
      <c r="D29" s="52">
        <v>218932</v>
      </c>
      <c r="E29" s="52">
        <v>773</v>
      </c>
      <c r="F29" s="43" t="s">
        <v>127</v>
      </c>
      <c r="G29" s="42" t="s">
        <v>117</v>
      </c>
      <c r="H29" s="56">
        <v>30</v>
      </c>
      <c r="I29" s="53" t="s">
        <v>95</v>
      </c>
      <c r="J29" s="312">
        <f t="shared" si="0"/>
        <v>12.030000000000001</v>
      </c>
      <c r="K29" s="54">
        <v>40232.217361111114</v>
      </c>
      <c r="L29" s="54">
        <v>40232.26458333333</v>
      </c>
      <c r="M29" s="21">
        <f t="shared" si="1"/>
        <v>1.133333333185874</v>
      </c>
      <c r="N29" s="22">
        <f t="shared" si="2"/>
        <v>68</v>
      </c>
      <c r="O29" s="55" t="s">
        <v>107</v>
      </c>
      <c r="P29" s="55" t="str">
        <f t="shared" si="3"/>
        <v>NO</v>
      </c>
      <c r="Q29" s="370"/>
      <c r="R29" s="55" t="s">
        <v>105</v>
      </c>
      <c r="S29" s="374">
        <f t="shared" si="4"/>
        <v>60</v>
      </c>
      <c r="T29" s="379" t="str">
        <f t="shared" si="5"/>
        <v>--</v>
      </c>
      <c r="U29" s="385" t="str">
        <f t="shared" si="6"/>
        <v>--</v>
      </c>
      <c r="V29" s="398">
        <f t="shared" si="7"/>
        <v>721.8000000000001</v>
      </c>
      <c r="W29" s="399">
        <f t="shared" si="8"/>
        <v>815.634</v>
      </c>
      <c r="X29" s="406" t="str">
        <f t="shared" si="9"/>
        <v>--</v>
      </c>
      <c r="Y29" s="407" t="str">
        <f t="shared" si="10"/>
        <v>--</v>
      </c>
      <c r="Z29" s="419" t="str">
        <f t="shared" si="11"/>
        <v>--</v>
      </c>
      <c r="AA29" s="415" t="str">
        <f t="shared" si="12"/>
        <v>--</v>
      </c>
      <c r="AB29" s="55" t="s">
        <v>105</v>
      </c>
      <c r="AC29" s="26">
        <f t="shared" si="13"/>
        <v>1537.4340000000002</v>
      </c>
      <c r="AD29" s="466"/>
    </row>
    <row r="30" spans="1:30" s="8" customFormat="1" ht="16.5" customHeight="1">
      <c r="A30" s="195"/>
      <c r="B30" s="201"/>
      <c r="C30" s="52">
        <v>49</v>
      </c>
      <c r="D30" s="52">
        <v>218955</v>
      </c>
      <c r="E30" s="52">
        <v>773</v>
      </c>
      <c r="F30" s="43" t="s">
        <v>127</v>
      </c>
      <c r="G30" s="42" t="s">
        <v>117</v>
      </c>
      <c r="H30" s="56">
        <v>30</v>
      </c>
      <c r="I30" s="53" t="s">
        <v>95</v>
      </c>
      <c r="J30" s="312">
        <f t="shared" si="0"/>
        <v>12.030000000000001</v>
      </c>
      <c r="K30" s="54">
        <v>40233.85763888889</v>
      </c>
      <c r="L30" s="54">
        <v>40233.907638888886</v>
      </c>
      <c r="M30" s="21">
        <f t="shared" si="1"/>
        <v>1.1999999998952262</v>
      </c>
      <c r="N30" s="22">
        <f t="shared" si="2"/>
        <v>72</v>
      </c>
      <c r="O30" s="55" t="s">
        <v>107</v>
      </c>
      <c r="P30" s="55" t="str">
        <f t="shared" si="3"/>
        <v>NO</v>
      </c>
      <c r="Q30" s="370"/>
      <c r="R30" s="55" t="str">
        <f>IF(F30="","","NO")</f>
        <v>NO</v>
      </c>
      <c r="S30" s="374">
        <f t="shared" si="4"/>
        <v>6</v>
      </c>
      <c r="T30" s="379" t="str">
        <f t="shared" si="5"/>
        <v>--</v>
      </c>
      <c r="U30" s="385" t="str">
        <f t="shared" si="6"/>
        <v>--</v>
      </c>
      <c r="V30" s="398">
        <f t="shared" si="7"/>
        <v>72.18</v>
      </c>
      <c r="W30" s="399">
        <f t="shared" si="8"/>
        <v>86.616</v>
      </c>
      <c r="X30" s="406" t="str">
        <f t="shared" si="9"/>
        <v>--</v>
      </c>
      <c r="Y30" s="407" t="str">
        <f t="shared" si="10"/>
        <v>--</v>
      </c>
      <c r="Z30" s="419" t="str">
        <f t="shared" si="11"/>
        <v>--</v>
      </c>
      <c r="AA30" s="415" t="str">
        <f t="shared" si="12"/>
        <v>--</v>
      </c>
      <c r="AB30" s="55" t="s">
        <v>105</v>
      </c>
      <c r="AC30" s="26">
        <f t="shared" si="13"/>
        <v>158.796</v>
      </c>
      <c r="AD30" s="466"/>
    </row>
    <row r="31" spans="1:30" s="8" customFormat="1" ht="16.5" customHeight="1">
      <c r="A31" s="195"/>
      <c r="B31" s="201"/>
      <c r="C31" s="52">
        <v>50</v>
      </c>
      <c r="D31" s="52">
        <v>218956</v>
      </c>
      <c r="E31" s="52">
        <v>4719</v>
      </c>
      <c r="F31" s="43" t="s">
        <v>127</v>
      </c>
      <c r="G31" s="42" t="s">
        <v>128</v>
      </c>
      <c r="H31" s="56">
        <v>30</v>
      </c>
      <c r="I31" s="53" t="s">
        <v>95</v>
      </c>
      <c r="J31" s="312">
        <f t="shared" si="0"/>
        <v>12.030000000000001</v>
      </c>
      <c r="K31" s="54">
        <v>40233.85763888889</v>
      </c>
      <c r="L31" s="54">
        <v>40233.907638888886</v>
      </c>
      <c r="M31" s="21">
        <f t="shared" si="1"/>
        <v>1.1999999998952262</v>
      </c>
      <c r="N31" s="22">
        <f t="shared" si="2"/>
        <v>72</v>
      </c>
      <c r="O31" s="55" t="s">
        <v>107</v>
      </c>
      <c r="P31" s="55" t="str">
        <f t="shared" si="3"/>
        <v>NO</v>
      </c>
      <c r="Q31" s="370"/>
      <c r="R31" s="55" t="str">
        <f>IF(F31="","","NO")</f>
        <v>NO</v>
      </c>
      <c r="S31" s="374">
        <f t="shared" si="4"/>
        <v>6</v>
      </c>
      <c r="T31" s="379" t="str">
        <f t="shared" si="5"/>
        <v>--</v>
      </c>
      <c r="U31" s="385" t="str">
        <f t="shared" si="6"/>
        <v>--</v>
      </c>
      <c r="V31" s="398">
        <f t="shared" si="7"/>
        <v>72.18</v>
      </c>
      <c r="W31" s="399">
        <f t="shared" si="8"/>
        <v>86.616</v>
      </c>
      <c r="X31" s="406" t="str">
        <f t="shared" si="9"/>
        <v>--</v>
      </c>
      <c r="Y31" s="407" t="str">
        <f t="shared" si="10"/>
        <v>--</v>
      </c>
      <c r="Z31" s="419" t="str">
        <f t="shared" si="11"/>
        <v>--</v>
      </c>
      <c r="AA31" s="415" t="str">
        <f t="shared" si="12"/>
        <v>--</v>
      </c>
      <c r="AB31" s="55" t="s">
        <v>105</v>
      </c>
      <c r="AC31" s="26">
        <f t="shared" si="13"/>
        <v>158.796</v>
      </c>
      <c r="AD31" s="466"/>
    </row>
    <row r="32" spans="1:30" s="8" customFormat="1" ht="16.5" customHeight="1">
      <c r="A32" s="195"/>
      <c r="B32" s="201"/>
      <c r="C32" s="52">
        <v>51</v>
      </c>
      <c r="D32" s="52">
        <v>218958</v>
      </c>
      <c r="E32" s="52">
        <v>4708</v>
      </c>
      <c r="F32" s="43" t="s">
        <v>123</v>
      </c>
      <c r="G32" s="42" t="s">
        <v>122</v>
      </c>
      <c r="H32" s="56">
        <v>30</v>
      </c>
      <c r="I32" s="53" t="s">
        <v>95</v>
      </c>
      <c r="J32" s="312">
        <f t="shared" si="0"/>
        <v>12.030000000000001</v>
      </c>
      <c r="K32" s="54">
        <v>40236.0375</v>
      </c>
      <c r="L32" s="54">
        <v>40236.12013888889</v>
      </c>
      <c r="M32" s="21">
        <f t="shared" si="1"/>
        <v>1.9833333333372138</v>
      </c>
      <c r="N32" s="22">
        <f t="shared" si="2"/>
        <v>119</v>
      </c>
      <c r="O32" s="55" t="s">
        <v>107</v>
      </c>
      <c r="P32" s="55" t="str">
        <f t="shared" si="3"/>
        <v>NO</v>
      </c>
      <c r="Q32" s="370"/>
      <c r="R32" s="55" t="s">
        <v>105</v>
      </c>
      <c r="S32" s="374">
        <f t="shared" si="4"/>
        <v>60</v>
      </c>
      <c r="T32" s="379" t="str">
        <f t="shared" si="5"/>
        <v>--</v>
      </c>
      <c r="U32" s="385" t="str">
        <f t="shared" si="6"/>
        <v>--</v>
      </c>
      <c r="V32" s="398">
        <f t="shared" si="7"/>
        <v>721.8000000000001</v>
      </c>
      <c r="W32" s="399">
        <f t="shared" si="8"/>
        <v>1429.1640000000002</v>
      </c>
      <c r="X32" s="406" t="str">
        <f t="shared" si="9"/>
        <v>--</v>
      </c>
      <c r="Y32" s="407" t="str">
        <f t="shared" si="10"/>
        <v>--</v>
      </c>
      <c r="Z32" s="419" t="str">
        <f t="shared" si="11"/>
        <v>--</v>
      </c>
      <c r="AA32" s="415" t="str">
        <f t="shared" si="12"/>
        <v>--</v>
      </c>
      <c r="AB32" s="55" t="s">
        <v>105</v>
      </c>
      <c r="AC32" s="26">
        <f t="shared" si="13"/>
        <v>2150.9640000000004</v>
      </c>
      <c r="AD32" s="466"/>
    </row>
    <row r="33" spans="1:30" s="8" customFormat="1" ht="16.5" customHeight="1">
      <c r="A33" s="195"/>
      <c r="B33" s="201"/>
      <c r="C33" s="52">
        <v>52</v>
      </c>
      <c r="D33" s="52">
        <v>218968</v>
      </c>
      <c r="E33" s="52">
        <v>4323</v>
      </c>
      <c r="F33" s="43" t="s">
        <v>132</v>
      </c>
      <c r="G33" s="42" t="s">
        <v>122</v>
      </c>
      <c r="H33" s="56">
        <v>15</v>
      </c>
      <c r="I33" s="53" t="s">
        <v>118</v>
      </c>
      <c r="J33" s="312">
        <f t="shared" si="0"/>
        <v>6.015000000000001</v>
      </c>
      <c r="K33" s="54">
        <v>40236.53888888889</v>
      </c>
      <c r="L33" s="54">
        <v>40236.62222222222</v>
      </c>
      <c r="M33" s="21">
        <f t="shared" si="1"/>
        <v>1.9999999998835847</v>
      </c>
      <c r="N33" s="22">
        <f t="shared" si="2"/>
        <v>120</v>
      </c>
      <c r="O33" s="55" t="s">
        <v>104</v>
      </c>
      <c r="P33" s="55" t="str">
        <f t="shared" si="3"/>
        <v>--</v>
      </c>
      <c r="Q33" s="370"/>
      <c r="R33" s="55" t="s">
        <v>105</v>
      </c>
      <c r="S33" s="374">
        <f t="shared" si="4"/>
        <v>6</v>
      </c>
      <c r="T33" s="379">
        <f t="shared" si="5"/>
        <v>72.18</v>
      </c>
      <c r="U33" s="385" t="str">
        <f t="shared" si="6"/>
        <v>--</v>
      </c>
      <c r="V33" s="398" t="str">
        <f t="shared" si="7"/>
        <v>--</v>
      </c>
      <c r="W33" s="399" t="str">
        <f t="shared" si="8"/>
        <v>--</v>
      </c>
      <c r="X33" s="406" t="str">
        <f t="shared" si="9"/>
        <v>--</v>
      </c>
      <c r="Y33" s="407" t="str">
        <f t="shared" si="10"/>
        <v>--</v>
      </c>
      <c r="Z33" s="419" t="str">
        <f t="shared" si="11"/>
        <v>--</v>
      </c>
      <c r="AA33" s="415" t="str">
        <f t="shared" si="12"/>
        <v>--</v>
      </c>
      <c r="AB33" s="55" t="s">
        <v>105</v>
      </c>
      <c r="AC33" s="26">
        <f t="shared" si="13"/>
        <v>72.18</v>
      </c>
      <c r="AD33" s="466"/>
    </row>
    <row r="34" spans="1:30" s="8" customFormat="1" ht="16.5" customHeight="1">
      <c r="A34" s="195"/>
      <c r="B34" s="201"/>
      <c r="C34" s="52">
        <v>53</v>
      </c>
      <c r="D34" s="52">
        <v>218969</v>
      </c>
      <c r="E34" s="52">
        <v>4739</v>
      </c>
      <c r="F34" s="43" t="s">
        <v>132</v>
      </c>
      <c r="G34" s="42" t="s">
        <v>120</v>
      </c>
      <c r="H34" s="56">
        <v>15</v>
      </c>
      <c r="I34" s="314" t="s">
        <v>95</v>
      </c>
      <c r="J34" s="312">
        <f t="shared" si="0"/>
        <v>6.015000000000001</v>
      </c>
      <c r="K34" s="54">
        <v>40236.53888888889</v>
      </c>
      <c r="L34" s="54">
        <v>40236.62222222222</v>
      </c>
      <c r="M34" s="21">
        <f t="shared" si="1"/>
        <v>1.9999999998835847</v>
      </c>
      <c r="N34" s="22">
        <f t="shared" si="2"/>
        <v>120</v>
      </c>
      <c r="O34" s="55" t="s">
        <v>104</v>
      </c>
      <c r="P34" s="55" t="str">
        <f t="shared" si="3"/>
        <v>--</v>
      </c>
      <c r="Q34" s="370"/>
      <c r="R34" s="55" t="s">
        <v>105</v>
      </c>
      <c r="S34" s="374">
        <f t="shared" si="4"/>
        <v>6</v>
      </c>
      <c r="T34" s="379">
        <f t="shared" si="5"/>
        <v>72.18</v>
      </c>
      <c r="U34" s="385" t="str">
        <f t="shared" si="6"/>
        <v>--</v>
      </c>
      <c r="V34" s="398" t="str">
        <f t="shared" si="7"/>
        <v>--</v>
      </c>
      <c r="W34" s="399" t="str">
        <f t="shared" si="8"/>
        <v>--</v>
      </c>
      <c r="X34" s="406" t="str">
        <f t="shared" si="9"/>
        <v>--</v>
      </c>
      <c r="Y34" s="407" t="str">
        <f t="shared" si="10"/>
        <v>--</v>
      </c>
      <c r="Z34" s="419" t="str">
        <f t="shared" si="11"/>
        <v>--</v>
      </c>
      <c r="AA34" s="415" t="str">
        <f t="shared" si="12"/>
        <v>--</v>
      </c>
      <c r="AB34" s="55" t="s">
        <v>105</v>
      </c>
      <c r="AC34" s="26">
        <f t="shared" si="13"/>
        <v>72.18</v>
      </c>
      <c r="AD34" s="466"/>
    </row>
    <row r="35" spans="1:30" s="8" customFormat="1" ht="16.5" customHeight="1">
      <c r="A35" s="195"/>
      <c r="B35" s="201"/>
      <c r="C35" s="52"/>
      <c r="D35" s="52"/>
      <c r="E35" s="52"/>
      <c r="F35" s="43"/>
      <c r="G35" s="42"/>
      <c r="H35" s="56"/>
      <c r="I35" s="53"/>
      <c r="J35" s="312">
        <f t="shared" si="0"/>
        <v>0</v>
      </c>
      <c r="K35" s="54"/>
      <c r="L35" s="54"/>
      <c r="M35" s="21">
        <f t="shared" si="1"/>
      </c>
      <c r="N35" s="22">
        <f t="shared" si="2"/>
      </c>
      <c r="O35" s="55"/>
      <c r="P35" s="55">
        <f t="shared" si="3"/>
      </c>
      <c r="Q35" s="370">
        <f aca="true" t="shared" si="14" ref="Q35:Q41">IF(F35="","","--")</f>
      </c>
      <c r="R35" s="55">
        <f aca="true" t="shared" si="15" ref="R35:R41">IF(F35="","","NO")</f>
      </c>
      <c r="S35" s="374">
        <f t="shared" si="4"/>
        <v>6</v>
      </c>
      <c r="T35" s="379" t="str">
        <f t="shared" si="5"/>
        <v>--</v>
      </c>
      <c r="U35" s="385" t="str">
        <f t="shared" si="6"/>
        <v>--</v>
      </c>
      <c r="V35" s="398" t="str">
        <f t="shared" si="7"/>
        <v>--</v>
      </c>
      <c r="W35" s="399" t="str">
        <f t="shared" si="8"/>
        <v>--</v>
      </c>
      <c r="X35" s="406" t="str">
        <f t="shared" si="9"/>
        <v>--</v>
      </c>
      <c r="Y35" s="407" t="str">
        <f t="shared" si="10"/>
        <v>--</v>
      </c>
      <c r="Z35" s="419" t="str">
        <f t="shared" si="11"/>
        <v>--</v>
      </c>
      <c r="AA35" s="415" t="str">
        <f t="shared" si="12"/>
        <v>--</v>
      </c>
      <c r="AB35" s="55">
        <f aca="true" t="shared" si="16" ref="AB35:AB41">IF(F35="","","SI")</f>
      </c>
      <c r="AC35" s="26">
        <f t="shared" si="13"/>
      </c>
      <c r="AD35" s="466"/>
    </row>
    <row r="36" spans="1:30" s="8" customFormat="1" ht="16.5" customHeight="1">
      <c r="A36" s="195"/>
      <c r="B36" s="201"/>
      <c r="C36" s="52"/>
      <c r="D36" s="52"/>
      <c r="E36" s="52"/>
      <c r="F36" s="43"/>
      <c r="G36" s="42"/>
      <c r="H36" s="56"/>
      <c r="I36" s="53"/>
      <c r="J36" s="312">
        <f t="shared" si="0"/>
        <v>0</v>
      </c>
      <c r="K36" s="54"/>
      <c r="L36" s="54"/>
      <c r="M36" s="21">
        <f t="shared" si="1"/>
      </c>
      <c r="N36" s="22">
        <f t="shared" si="2"/>
      </c>
      <c r="O36" s="55"/>
      <c r="P36" s="55">
        <f t="shared" si="3"/>
      </c>
      <c r="Q36" s="370">
        <f t="shared" si="14"/>
      </c>
      <c r="R36" s="55">
        <f t="shared" si="15"/>
      </c>
      <c r="S36" s="374">
        <f t="shared" si="4"/>
        <v>6</v>
      </c>
      <c r="T36" s="379" t="str">
        <f t="shared" si="5"/>
        <v>--</v>
      </c>
      <c r="U36" s="385" t="str">
        <f t="shared" si="6"/>
        <v>--</v>
      </c>
      <c r="V36" s="398" t="str">
        <f t="shared" si="7"/>
        <v>--</v>
      </c>
      <c r="W36" s="399" t="str">
        <f t="shared" si="8"/>
        <v>--</v>
      </c>
      <c r="X36" s="406" t="str">
        <f t="shared" si="9"/>
        <v>--</v>
      </c>
      <c r="Y36" s="407" t="str">
        <f t="shared" si="10"/>
        <v>--</v>
      </c>
      <c r="Z36" s="419" t="str">
        <f t="shared" si="11"/>
        <v>--</v>
      </c>
      <c r="AA36" s="415" t="str">
        <f t="shared" si="12"/>
        <v>--</v>
      </c>
      <c r="AB36" s="55">
        <f t="shared" si="16"/>
      </c>
      <c r="AC36" s="26">
        <f t="shared" si="13"/>
      </c>
      <c r="AD36" s="466"/>
    </row>
    <row r="37" spans="1:30" s="8" customFormat="1" ht="16.5" customHeight="1">
      <c r="A37" s="195"/>
      <c r="B37" s="201"/>
      <c r="C37" s="52"/>
      <c r="D37" s="52"/>
      <c r="E37" s="52"/>
      <c r="F37" s="43"/>
      <c r="G37" s="42"/>
      <c r="H37" s="56"/>
      <c r="I37" s="53"/>
      <c r="J37" s="312">
        <f t="shared" si="0"/>
        <v>0</v>
      </c>
      <c r="K37" s="54"/>
      <c r="L37" s="54"/>
      <c r="M37" s="21">
        <f t="shared" si="1"/>
      </c>
      <c r="N37" s="22">
        <f t="shared" si="2"/>
      </c>
      <c r="O37" s="55"/>
      <c r="P37" s="55">
        <f t="shared" si="3"/>
      </c>
      <c r="Q37" s="370">
        <f t="shared" si="14"/>
      </c>
      <c r="R37" s="55">
        <f t="shared" si="15"/>
      </c>
      <c r="S37" s="374">
        <f t="shared" si="4"/>
        <v>6</v>
      </c>
      <c r="T37" s="379" t="str">
        <f t="shared" si="5"/>
        <v>--</v>
      </c>
      <c r="U37" s="385" t="str">
        <f t="shared" si="6"/>
        <v>--</v>
      </c>
      <c r="V37" s="398" t="str">
        <f t="shared" si="7"/>
        <v>--</v>
      </c>
      <c r="W37" s="399" t="str">
        <f t="shared" si="8"/>
        <v>--</v>
      </c>
      <c r="X37" s="406" t="str">
        <f t="shared" si="9"/>
        <v>--</v>
      </c>
      <c r="Y37" s="407" t="str">
        <f t="shared" si="10"/>
        <v>--</v>
      </c>
      <c r="Z37" s="419" t="str">
        <f t="shared" si="11"/>
        <v>--</v>
      </c>
      <c r="AA37" s="415" t="str">
        <f t="shared" si="12"/>
        <v>--</v>
      </c>
      <c r="AB37" s="55">
        <f t="shared" si="16"/>
      </c>
      <c r="AC37" s="26">
        <f t="shared" si="13"/>
      </c>
      <c r="AD37" s="202"/>
    </row>
    <row r="38" spans="1:30" s="8" customFormat="1" ht="16.5" customHeight="1">
      <c r="A38" s="195"/>
      <c r="B38" s="201"/>
      <c r="C38" s="52"/>
      <c r="D38" s="52"/>
      <c r="E38" s="52"/>
      <c r="F38" s="43"/>
      <c r="G38" s="42"/>
      <c r="H38" s="56"/>
      <c r="I38" s="53"/>
      <c r="J38" s="312">
        <f t="shared" si="0"/>
        <v>0</v>
      </c>
      <c r="K38" s="54"/>
      <c r="L38" s="54"/>
      <c r="M38" s="21">
        <f t="shared" si="1"/>
      </c>
      <c r="N38" s="22">
        <f t="shared" si="2"/>
      </c>
      <c r="O38" s="55"/>
      <c r="P38" s="55">
        <f t="shared" si="3"/>
      </c>
      <c r="Q38" s="370">
        <f t="shared" si="14"/>
      </c>
      <c r="R38" s="55">
        <f t="shared" si="15"/>
      </c>
      <c r="S38" s="374">
        <f t="shared" si="4"/>
        <v>6</v>
      </c>
      <c r="T38" s="379" t="str">
        <f t="shared" si="5"/>
        <v>--</v>
      </c>
      <c r="U38" s="385" t="str">
        <f t="shared" si="6"/>
        <v>--</v>
      </c>
      <c r="V38" s="398" t="str">
        <f t="shared" si="7"/>
        <v>--</v>
      </c>
      <c r="W38" s="399" t="str">
        <f t="shared" si="8"/>
        <v>--</v>
      </c>
      <c r="X38" s="406" t="str">
        <f t="shared" si="9"/>
        <v>--</v>
      </c>
      <c r="Y38" s="407" t="str">
        <f t="shared" si="10"/>
        <v>--</v>
      </c>
      <c r="Z38" s="419" t="str">
        <f t="shared" si="11"/>
        <v>--</v>
      </c>
      <c r="AA38" s="415" t="str">
        <f t="shared" si="12"/>
        <v>--</v>
      </c>
      <c r="AB38" s="55">
        <f t="shared" si="16"/>
      </c>
      <c r="AC38" s="26">
        <f t="shared" si="13"/>
      </c>
      <c r="AD38" s="202"/>
    </row>
    <row r="39" spans="1:30" s="8" customFormat="1" ht="16.5" customHeight="1">
      <c r="A39" s="195"/>
      <c r="B39" s="201"/>
      <c r="C39" s="52"/>
      <c r="D39" s="52"/>
      <c r="E39" s="52"/>
      <c r="F39" s="43"/>
      <c r="G39" s="42"/>
      <c r="H39" s="56"/>
      <c r="I39" s="53"/>
      <c r="J39" s="312">
        <f t="shared" si="0"/>
        <v>0</v>
      </c>
      <c r="K39" s="54"/>
      <c r="L39" s="54"/>
      <c r="M39" s="21">
        <f t="shared" si="1"/>
      </c>
      <c r="N39" s="22">
        <f t="shared" si="2"/>
      </c>
      <c r="O39" s="55"/>
      <c r="P39" s="55">
        <f t="shared" si="3"/>
      </c>
      <c r="Q39" s="370">
        <f t="shared" si="14"/>
      </c>
      <c r="R39" s="55">
        <f t="shared" si="15"/>
      </c>
      <c r="S39" s="374">
        <f t="shared" si="4"/>
        <v>6</v>
      </c>
      <c r="T39" s="379" t="str">
        <f t="shared" si="5"/>
        <v>--</v>
      </c>
      <c r="U39" s="385" t="str">
        <f t="shared" si="6"/>
        <v>--</v>
      </c>
      <c r="V39" s="398" t="str">
        <f t="shared" si="7"/>
        <v>--</v>
      </c>
      <c r="W39" s="399" t="str">
        <f t="shared" si="8"/>
        <v>--</v>
      </c>
      <c r="X39" s="406" t="str">
        <f t="shared" si="9"/>
        <v>--</v>
      </c>
      <c r="Y39" s="407" t="str">
        <f t="shared" si="10"/>
        <v>--</v>
      </c>
      <c r="Z39" s="419" t="str">
        <f t="shared" si="11"/>
        <v>--</v>
      </c>
      <c r="AA39" s="415" t="str">
        <f t="shared" si="12"/>
        <v>--</v>
      </c>
      <c r="AB39" s="55">
        <f t="shared" si="16"/>
      </c>
      <c r="AC39" s="26">
        <f t="shared" si="13"/>
      </c>
      <c r="AD39" s="202"/>
    </row>
    <row r="40" spans="1:30" s="8" customFormat="1" ht="16.5" customHeight="1">
      <c r="A40" s="195"/>
      <c r="B40" s="201"/>
      <c r="C40" s="52"/>
      <c r="D40" s="52"/>
      <c r="E40" s="52"/>
      <c r="F40" s="43"/>
      <c r="G40" s="42"/>
      <c r="H40" s="56"/>
      <c r="I40" s="53"/>
      <c r="J40" s="312">
        <f t="shared" si="0"/>
        <v>0</v>
      </c>
      <c r="K40" s="54"/>
      <c r="L40" s="54"/>
      <c r="M40" s="21">
        <f t="shared" si="1"/>
      </c>
      <c r="N40" s="22">
        <f t="shared" si="2"/>
      </c>
      <c r="O40" s="55"/>
      <c r="P40" s="55">
        <f t="shared" si="3"/>
      </c>
      <c r="Q40" s="370">
        <f t="shared" si="14"/>
      </c>
      <c r="R40" s="55">
        <f t="shared" si="15"/>
      </c>
      <c r="S40" s="374">
        <f t="shared" si="4"/>
        <v>6</v>
      </c>
      <c r="T40" s="379" t="str">
        <f t="shared" si="5"/>
        <v>--</v>
      </c>
      <c r="U40" s="385" t="str">
        <f t="shared" si="6"/>
        <v>--</v>
      </c>
      <c r="V40" s="398" t="str">
        <f t="shared" si="7"/>
        <v>--</v>
      </c>
      <c r="W40" s="399" t="str">
        <f t="shared" si="8"/>
        <v>--</v>
      </c>
      <c r="X40" s="406" t="str">
        <f t="shared" si="9"/>
        <v>--</v>
      </c>
      <c r="Y40" s="407" t="str">
        <f t="shared" si="10"/>
        <v>--</v>
      </c>
      <c r="Z40" s="419" t="str">
        <f t="shared" si="11"/>
        <v>--</v>
      </c>
      <c r="AA40" s="415" t="str">
        <f t="shared" si="12"/>
        <v>--</v>
      </c>
      <c r="AB40" s="55">
        <f t="shared" si="16"/>
      </c>
      <c r="AC40" s="26">
        <f t="shared" si="13"/>
      </c>
      <c r="AD40" s="202"/>
    </row>
    <row r="41" spans="1:30" s="8" customFormat="1" ht="16.5" customHeight="1">
      <c r="A41" s="195"/>
      <c r="B41" s="201"/>
      <c r="C41" s="52"/>
      <c r="D41" s="52"/>
      <c r="E41" s="52"/>
      <c r="F41" s="43"/>
      <c r="G41" s="42"/>
      <c r="H41" s="56"/>
      <c r="I41" s="53"/>
      <c r="J41" s="312">
        <f t="shared" si="0"/>
        <v>0</v>
      </c>
      <c r="K41" s="54"/>
      <c r="L41" s="54"/>
      <c r="M41" s="21">
        <f t="shared" si="1"/>
      </c>
      <c r="N41" s="22">
        <f t="shared" si="2"/>
      </c>
      <c r="O41" s="55"/>
      <c r="P41" s="55">
        <f t="shared" si="3"/>
      </c>
      <c r="Q41" s="370">
        <f t="shared" si="14"/>
      </c>
      <c r="R41" s="55">
        <f t="shared" si="15"/>
      </c>
      <c r="S41" s="374">
        <f t="shared" si="4"/>
        <v>6</v>
      </c>
      <c r="T41" s="379" t="str">
        <f t="shared" si="5"/>
        <v>--</v>
      </c>
      <c r="U41" s="385" t="str">
        <f t="shared" si="6"/>
        <v>--</v>
      </c>
      <c r="V41" s="398" t="str">
        <f t="shared" si="7"/>
        <v>--</v>
      </c>
      <c r="W41" s="399" t="str">
        <f t="shared" si="8"/>
        <v>--</v>
      </c>
      <c r="X41" s="406" t="str">
        <f t="shared" si="9"/>
        <v>--</v>
      </c>
      <c r="Y41" s="407" t="str">
        <f t="shared" si="10"/>
        <v>--</v>
      </c>
      <c r="Z41" s="419" t="str">
        <f t="shared" si="11"/>
        <v>--</v>
      </c>
      <c r="AA41" s="415" t="str">
        <f t="shared" si="12"/>
        <v>--</v>
      </c>
      <c r="AB41" s="55">
        <f t="shared" si="16"/>
      </c>
      <c r="AC41" s="26">
        <f t="shared" si="13"/>
      </c>
      <c r="AD41" s="202"/>
    </row>
    <row r="42" spans="1:30" s="8" customFormat="1" ht="16.5" customHeight="1" thickBot="1">
      <c r="A42" s="195"/>
      <c r="B42" s="201"/>
      <c r="C42" s="490"/>
      <c r="D42" s="490"/>
      <c r="E42" s="490"/>
      <c r="F42" s="490"/>
      <c r="G42" s="490"/>
      <c r="H42" s="490"/>
      <c r="I42" s="490"/>
      <c r="J42" s="369"/>
      <c r="K42" s="490"/>
      <c r="L42" s="490"/>
      <c r="M42" s="23"/>
      <c r="N42" s="23"/>
      <c r="O42" s="490"/>
      <c r="P42" s="23"/>
      <c r="Q42" s="490"/>
      <c r="R42" s="490"/>
      <c r="S42" s="375"/>
      <c r="T42" s="380"/>
      <c r="U42" s="386"/>
      <c r="V42" s="425"/>
      <c r="W42" s="424"/>
      <c r="X42" s="408"/>
      <c r="Y42" s="409"/>
      <c r="Z42" s="420"/>
      <c r="AA42" s="416"/>
      <c r="AB42" s="23"/>
      <c r="AC42" s="240"/>
      <c r="AD42" s="202"/>
    </row>
    <row r="43" spans="1:30" s="8" customFormat="1" ht="16.5" customHeight="1" thickBot="1" thickTop="1">
      <c r="A43" s="195"/>
      <c r="B43" s="201"/>
      <c r="C43" s="271" t="s">
        <v>45</v>
      </c>
      <c r="D43" s="273"/>
      <c r="E43" s="273"/>
      <c r="F43" s="272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381">
        <f aca="true" t="shared" si="17" ref="T43:AA43">SUM(T20:T42)</f>
        <v>144.36</v>
      </c>
      <c r="U43" s="387">
        <f t="shared" si="17"/>
        <v>0</v>
      </c>
      <c r="V43" s="400">
        <f t="shared" si="17"/>
        <v>4475.16</v>
      </c>
      <c r="W43" s="400">
        <f t="shared" si="17"/>
        <v>5442.372</v>
      </c>
      <c r="X43" s="410">
        <f t="shared" si="17"/>
        <v>721.8000000000002</v>
      </c>
      <c r="Y43" s="410">
        <f t="shared" si="17"/>
        <v>346.464</v>
      </c>
      <c r="Z43" s="422">
        <f t="shared" si="17"/>
        <v>0</v>
      </c>
      <c r="AA43" s="423">
        <f t="shared" si="17"/>
        <v>0</v>
      </c>
      <c r="AB43" s="25"/>
      <c r="AC43" s="307">
        <f>ROUND(SUM(AC20:AC42),2)</f>
        <v>19692.89</v>
      </c>
      <c r="AD43" s="202"/>
    </row>
    <row r="44" spans="1:30" s="286" customFormat="1" ht="9.75" thickTop="1">
      <c r="A44" s="289"/>
      <c r="B44" s="290"/>
      <c r="C44" s="273"/>
      <c r="D44" s="273"/>
      <c r="E44" s="273"/>
      <c r="F44" s="274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2"/>
      <c r="U44" s="292"/>
      <c r="V44" s="292"/>
      <c r="W44" s="292"/>
      <c r="X44" s="292"/>
      <c r="Y44" s="292"/>
      <c r="Z44" s="292"/>
      <c r="AA44" s="292"/>
      <c r="AB44" s="291"/>
      <c r="AC44" s="293"/>
      <c r="AD44" s="294"/>
    </row>
    <row r="45" spans="1:30" s="8" customFormat="1" ht="16.5" customHeight="1" thickBot="1">
      <c r="A45" s="195"/>
      <c r="B45" s="211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3"/>
    </row>
    <row r="46" spans="2:30" ht="16.5" customHeight="1" thickTop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2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W47"/>
  <sheetViews>
    <sheetView zoomScale="75" zoomScaleNormal="75" workbookViewId="0" topLeftCell="C4">
      <selection activeCell="G16" sqref="G16:G18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6" width="25.7109375" style="0" customWidth="1"/>
    <col min="7" max="7" width="35.7109375" style="0" customWidth="1"/>
    <col min="8" max="8" width="8.7109375" style="0" customWidth="1"/>
    <col min="9" max="9" width="14.710937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4.421875" style="0" hidden="1" customWidth="1"/>
    <col min="18" max="20" width="15.8515625" style="0" hidden="1" customWidth="1"/>
    <col min="21" max="21" width="10.7109375" style="0" customWidth="1"/>
    <col min="22" max="22" width="15.7109375" style="0" customWidth="1"/>
    <col min="23" max="23" width="4.140625" style="0" customWidth="1"/>
  </cols>
  <sheetData>
    <row r="1" s="114" customFormat="1" ht="31.5" customHeight="1">
      <c r="W1" s="473"/>
    </row>
    <row r="2" spans="2:23" s="114" customFormat="1" ht="26.25">
      <c r="B2" s="486" t="str">
        <f>+'TOT-0210'!B2</f>
        <v>ANEXO II al Memoradnum D.T.E.E. N°  480 /2011</v>
      </c>
      <c r="C2" s="115"/>
      <c r="D2" s="115"/>
      <c r="E2" s="115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="8" customFormat="1" ht="12.75"/>
    <row r="4" spans="1:3" s="112" customFormat="1" ht="11.25">
      <c r="A4" s="513" t="s">
        <v>100</v>
      </c>
      <c r="B4" s="180"/>
      <c r="C4" s="513"/>
    </row>
    <row r="5" spans="1:3" s="112" customFormat="1" ht="11.25">
      <c r="A5" s="513" t="s">
        <v>101</v>
      </c>
      <c r="B5" s="180"/>
      <c r="C5" s="180"/>
    </row>
    <row r="6" s="8" customFormat="1" ht="13.5" thickBot="1"/>
    <row r="7" spans="2:23" s="8" customFormat="1" ht="13.5" thickTop="1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5"/>
    </row>
    <row r="8" spans="2:23" s="116" customFormat="1" ht="21">
      <c r="B8" s="174"/>
      <c r="C8" s="194"/>
      <c r="D8" s="194"/>
      <c r="E8" s="194"/>
      <c r="F8" s="17" t="s">
        <v>20</v>
      </c>
      <c r="P8" s="105"/>
      <c r="Q8" s="105"/>
      <c r="R8" s="105"/>
      <c r="S8" s="105"/>
      <c r="T8" s="105"/>
      <c r="U8" s="105"/>
      <c r="V8" s="105"/>
      <c r="W8" s="119"/>
    </row>
    <row r="9" spans="2:23" s="8" customFormat="1" ht="12.75">
      <c r="B9" s="36"/>
      <c r="C9" s="6"/>
      <c r="D9" s="6"/>
      <c r="E9" s="6"/>
      <c r="F9" s="6"/>
      <c r="G9" s="6"/>
      <c r="H9" s="6"/>
      <c r="I9" s="171"/>
      <c r="J9" s="171"/>
      <c r="K9" s="171"/>
      <c r="L9" s="171"/>
      <c r="M9" s="171"/>
      <c r="P9" s="6"/>
      <c r="Q9" s="6"/>
      <c r="R9" s="6"/>
      <c r="S9" s="6"/>
      <c r="T9" s="6"/>
      <c r="U9" s="6"/>
      <c r="V9" s="6"/>
      <c r="W9" s="9"/>
    </row>
    <row r="10" spans="2:23" s="116" customFormat="1" ht="21">
      <c r="B10" s="174"/>
      <c r="C10" s="194"/>
      <c r="D10" s="194"/>
      <c r="E10" s="194"/>
      <c r="F10" s="17" t="s">
        <v>61</v>
      </c>
      <c r="G10" s="17"/>
      <c r="H10" s="105"/>
      <c r="I10" s="17"/>
      <c r="J10" s="17"/>
      <c r="K10" s="17"/>
      <c r="L10" s="17"/>
      <c r="M10" s="17"/>
      <c r="P10" s="105"/>
      <c r="Q10" s="105"/>
      <c r="R10" s="105"/>
      <c r="S10" s="105"/>
      <c r="T10" s="105"/>
      <c r="U10" s="105"/>
      <c r="V10" s="105"/>
      <c r="W10" s="119"/>
    </row>
    <row r="11" spans="2:23" s="8" customFormat="1" ht="12.75">
      <c r="B11" s="36"/>
      <c r="C11" s="6"/>
      <c r="D11" s="6"/>
      <c r="E11" s="6"/>
      <c r="F11" s="172"/>
      <c r="G11" s="171"/>
      <c r="H11" s="6"/>
      <c r="I11" s="171"/>
      <c r="J11" s="171"/>
      <c r="K11" s="171"/>
      <c r="L11" s="171"/>
      <c r="M11" s="171"/>
      <c r="P11" s="6"/>
      <c r="Q11" s="6"/>
      <c r="R11" s="6"/>
      <c r="S11" s="6"/>
      <c r="T11" s="6"/>
      <c r="U11" s="6"/>
      <c r="V11" s="6"/>
      <c r="W11" s="9"/>
    </row>
    <row r="12" spans="2:23" s="120" customFormat="1" ht="19.5">
      <c r="B12" s="139" t="str">
        <f>+'TOT-0210'!B14</f>
        <v>Desde el 01 al 28 de febrero de 2010</v>
      </c>
      <c r="C12" s="142"/>
      <c r="D12" s="142"/>
      <c r="E12" s="142"/>
      <c r="F12" s="142"/>
      <c r="G12" s="142"/>
      <c r="H12" s="142"/>
      <c r="I12" s="142"/>
      <c r="J12" s="179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243"/>
    </row>
    <row r="13" spans="2:23" s="8" customFormat="1" ht="13.5" thickBot="1">
      <c r="B13" s="36"/>
      <c r="C13" s="6"/>
      <c r="D13" s="6"/>
      <c r="E13" s="6"/>
      <c r="I13" s="161"/>
      <c r="K13" s="6"/>
      <c r="L13" s="6"/>
      <c r="M13" s="6"/>
      <c r="N13" s="161"/>
      <c r="O13" s="161"/>
      <c r="P13" s="161"/>
      <c r="Q13" s="6"/>
      <c r="R13" s="6"/>
      <c r="S13" s="6"/>
      <c r="T13" s="6"/>
      <c r="U13" s="6"/>
      <c r="V13" s="6"/>
      <c r="W13" s="9"/>
    </row>
    <row r="14" spans="2:23" s="8" customFormat="1" ht="14.25" thickBot="1" thickTop="1">
      <c r="B14" s="36"/>
      <c r="C14" s="6"/>
      <c r="D14" s="6"/>
      <c r="E14" s="6"/>
      <c r="F14" s="244" t="s">
        <v>62</v>
      </c>
      <c r="G14" s="245">
        <v>5.812</v>
      </c>
      <c r="H14" s="246">
        <f>60*'TOT-0210'!B13</f>
        <v>120</v>
      </c>
      <c r="I14" s="161"/>
      <c r="J14" s="258" t="str">
        <f>IF(H14=60," ",IF(H14=120,"  Coeficiente duplicado por tasa de falla &gt;4 Sal. x año/100 km.","  REVISAR COEFICIENTE"))</f>
        <v>  Coeficiente duplicado por tasa de falla &gt;4 Sal. x año/100 km.</v>
      </c>
      <c r="K14" s="6"/>
      <c r="L14" s="6"/>
      <c r="M14" s="6"/>
      <c r="N14" s="161"/>
      <c r="O14" s="161"/>
      <c r="P14" s="161"/>
      <c r="Q14" s="6"/>
      <c r="R14" s="6"/>
      <c r="S14" s="6"/>
      <c r="T14" s="6"/>
      <c r="U14" s="6"/>
      <c r="V14" s="6"/>
      <c r="W14" s="9"/>
    </row>
    <row r="15" spans="2:23" s="8" customFormat="1" ht="14.25" thickBot="1" thickTop="1">
      <c r="B15" s="36"/>
      <c r="C15" s="6"/>
      <c r="D15" s="6"/>
      <c r="E15" s="6"/>
      <c r="F15" s="244" t="s">
        <v>63</v>
      </c>
      <c r="G15" s="245">
        <v>5.219</v>
      </c>
      <c r="H15" s="246">
        <f>50*'TOT-0210'!B13</f>
        <v>100</v>
      </c>
      <c r="J15" s="258" t="str">
        <f>IF(H15=50," ",IF(H15=100,"  Coeficiente duplicado por tasa de falla &gt;4 Sal. x año/100 km.","  REVISAR COEFICIENTE"))</f>
        <v>  Coeficiente duplicado por tasa de falla &gt;4 Sal. x año/100 km.</v>
      </c>
      <c r="S15" s="6"/>
      <c r="T15" s="6"/>
      <c r="U15" s="6"/>
      <c r="V15" s="6"/>
      <c r="W15" s="9"/>
    </row>
    <row r="16" spans="2:23" s="8" customFormat="1" ht="14.25" thickBot="1" thickTop="1">
      <c r="B16" s="36"/>
      <c r="C16" s="6"/>
      <c r="D16" s="6"/>
      <c r="E16" s="6"/>
      <c r="F16" s="247" t="s">
        <v>64</v>
      </c>
      <c r="G16" s="248">
        <v>3.915</v>
      </c>
      <c r="H16" s="249">
        <f>25*'TOT-0210'!B13</f>
        <v>50</v>
      </c>
      <c r="J16" s="258" t="str">
        <f>IF(H16=25," ",IF(H16=50,"  Coeficiente duplicado por tasa de falla &gt;4 Sal. x año/100 km.","  REVISAR COEFICIENTE"))</f>
        <v>  Coeficiente duplicado por tasa de falla &gt;4 Sal. x año/100 km.</v>
      </c>
      <c r="K16" s="162"/>
      <c r="L16" s="162"/>
      <c r="M16" s="6"/>
      <c r="P16" s="241"/>
      <c r="Q16" s="242"/>
      <c r="R16" s="27"/>
      <c r="S16" s="6"/>
      <c r="T16" s="6"/>
      <c r="U16" s="6"/>
      <c r="V16" s="6"/>
      <c r="W16" s="9"/>
    </row>
    <row r="17" spans="2:23" s="8" customFormat="1" ht="14.25" thickBot="1" thickTop="1">
      <c r="B17" s="36"/>
      <c r="C17" s="6"/>
      <c r="D17" s="6"/>
      <c r="E17" s="6"/>
      <c r="F17" s="250" t="s">
        <v>65</v>
      </c>
      <c r="G17" s="248">
        <v>3.915</v>
      </c>
      <c r="H17" s="251">
        <f>20*'TOT-0210'!B13</f>
        <v>40</v>
      </c>
      <c r="J17" s="258" t="str">
        <f>IF(H17=20," ",IF(H17=40,"  Coeficiente duplicado por tasa de falla &gt;4 Sal. x año/100 km.","  REVISAR COEFICIENTE"))</f>
        <v>  Coeficiente duplicado por tasa de falla &gt;4 Sal. x año/100 km.</v>
      </c>
      <c r="K17" s="162"/>
      <c r="L17" s="162"/>
      <c r="M17" s="6"/>
      <c r="P17" s="241"/>
      <c r="Q17" s="242"/>
      <c r="R17" s="27"/>
      <c r="S17" s="6"/>
      <c r="T17" s="6"/>
      <c r="U17" s="6"/>
      <c r="V17" s="6"/>
      <c r="W17" s="9"/>
    </row>
    <row r="18" spans="2:23" s="8" customFormat="1" ht="14.25" thickBot="1" thickTop="1">
      <c r="B18" s="201"/>
      <c r="C18" s="24"/>
      <c r="D18" s="24"/>
      <c r="E18" s="24"/>
      <c r="F18" s="24"/>
      <c r="G18" s="24"/>
      <c r="H18" s="28"/>
      <c r="I18" s="24"/>
      <c r="J18" s="209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02"/>
    </row>
    <row r="19" spans="2:23" s="8" customFormat="1" ht="33.75" customHeight="1" thickBot="1" thickTop="1">
      <c r="B19" s="36"/>
      <c r="C19" s="187" t="s">
        <v>27</v>
      </c>
      <c r="D19" s="187" t="s">
        <v>98</v>
      </c>
      <c r="E19" s="187" t="s">
        <v>99</v>
      </c>
      <c r="F19" s="237" t="s">
        <v>49</v>
      </c>
      <c r="G19" s="233" t="s">
        <v>50</v>
      </c>
      <c r="H19" s="236" t="s">
        <v>28</v>
      </c>
      <c r="I19" s="301" t="s">
        <v>30</v>
      </c>
      <c r="J19" s="233" t="s">
        <v>31</v>
      </c>
      <c r="K19" s="233" t="s">
        <v>32</v>
      </c>
      <c r="L19" s="237" t="s">
        <v>52</v>
      </c>
      <c r="M19" s="237" t="s">
        <v>53</v>
      </c>
      <c r="N19" s="189" t="s">
        <v>35</v>
      </c>
      <c r="O19" s="233" t="s">
        <v>55</v>
      </c>
      <c r="P19" s="308" t="s">
        <v>66</v>
      </c>
      <c r="Q19" s="443" t="s">
        <v>58</v>
      </c>
      <c r="R19" s="449" t="s">
        <v>59</v>
      </c>
      <c r="S19" s="450"/>
      <c r="T19" s="376" t="s">
        <v>41</v>
      </c>
      <c r="U19" s="295" t="s">
        <v>43</v>
      </c>
      <c r="V19" s="238" t="s">
        <v>44</v>
      </c>
      <c r="W19" s="202"/>
    </row>
    <row r="20" spans="2:23" s="8" customFormat="1" ht="16.5" customHeight="1" thickTop="1">
      <c r="B20" s="36"/>
      <c r="C20" s="488"/>
      <c r="D20" s="488"/>
      <c r="E20" s="488"/>
      <c r="F20" s="487"/>
      <c r="G20" s="487"/>
      <c r="H20" s="492"/>
      <c r="I20" s="461"/>
      <c r="J20" s="496"/>
      <c r="K20" s="496"/>
      <c r="L20" s="20"/>
      <c r="M20" s="20"/>
      <c r="N20" s="487"/>
      <c r="O20" s="487"/>
      <c r="P20" s="439"/>
      <c r="Q20" s="444"/>
      <c r="R20" s="451"/>
      <c r="S20" s="452"/>
      <c r="T20" s="457"/>
      <c r="U20" s="438"/>
      <c r="V20" s="470"/>
      <c r="W20" s="202"/>
    </row>
    <row r="21" spans="2:23" s="8" customFormat="1" ht="16.5" customHeight="1">
      <c r="B21" s="36"/>
      <c r="C21" s="493"/>
      <c r="D21" s="493"/>
      <c r="E21" s="493"/>
      <c r="F21" s="429"/>
      <c r="G21" s="429"/>
      <c r="H21" s="494"/>
      <c r="I21" s="462"/>
      <c r="J21" s="497"/>
      <c r="K21" s="497"/>
      <c r="L21" s="426"/>
      <c r="M21" s="426"/>
      <c r="N21" s="429"/>
      <c r="O21" s="429"/>
      <c r="P21" s="440"/>
      <c r="Q21" s="445"/>
      <c r="R21" s="453"/>
      <c r="S21" s="454"/>
      <c r="T21" s="458"/>
      <c r="U21" s="427"/>
      <c r="V21" s="428"/>
      <c r="W21" s="202"/>
    </row>
    <row r="22" spans="2:23" s="8" customFormat="1" ht="16.5" customHeight="1">
      <c r="B22" s="36"/>
      <c r="C22" s="429">
        <v>54</v>
      </c>
      <c r="D22" s="429">
        <v>218462</v>
      </c>
      <c r="E22" s="429">
        <v>799</v>
      </c>
      <c r="F22" s="430" t="s">
        <v>119</v>
      </c>
      <c r="G22" s="430" t="s">
        <v>133</v>
      </c>
      <c r="H22" s="431">
        <v>13.199999809265137</v>
      </c>
      <c r="I22" s="463">
        <f aca="true" t="shared" si="0" ref="I22:I41">IF(H22=220,$G$14,IF(AND(H22&lt;=132,H22&gt;=66),$G$15,IF(AND(H22&lt;66,H22&gt;=33),$G$16,$G$17)))</f>
        <v>3.915</v>
      </c>
      <c r="J22" s="497">
        <v>40223.25277777778</v>
      </c>
      <c r="K22" s="497">
        <v>40223.399305555555</v>
      </c>
      <c r="L22" s="432">
        <f aca="true" t="shared" si="1" ref="L22:L41">IF(F22="","",(K22-J22)*24)</f>
        <v>3.5166666666045785</v>
      </c>
      <c r="M22" s="433">
        <f aca="true" t="shared" si="2" ref="M22:M41">IF(F22="","",ROUND((K22-J22)*24*60,0))</f>
        <v>211</v>
      </c>
      <c r="N22" s="434" t="s">
        <v>104</v>
      </c>
      <c r="O22" s="435" t="str">
        <f aca="true" t="shared" si="3" ref="O22:O41">IF(F22="","",IF(OR(N22="P",N22="RP"),"--","NO"))</f>
        <v>--</v>
      </c>
      <c r="P22" s="441">
        <f aca="true" t="shared" si="4" ref="P22:P41">IF(H22=220,$H$14,IF(AND(H22&lt;=132,H22&gt;=66),$H$15,IF(AND(H22&lt;66,H22&gt;=33),$H$16,$H$17)))</f>
        <v>40</v>
      </c>
      <c r="Q22" s="446">
        <f aca="true" t="shared" si="5" ref="Q22:Q41">IF(N22="P",I22*P22*ROUND(M22/60,2)*0.1,"--")</f>
        <v>55.1232</v>
      </c>
      <c r="R22" s="453" t="str">
        <f aca="true" t="shared" si="6" ref="R22:R41">IF(AND(N22="F",O22="NO"),I22*P22,"--")</f>
        <v>--</v>
      </c>
      <c r="S22" s="454" t="str">
        <f aca="true" t="shared" si="7" ref="S22:S41">IF(N22="F",I22*P22*ROUND(M22/60,2),"--")</f>
        <v>--</v>
      </c>
      <c r="T22" s="458" t="str">
        <f aca="true" t="shared" si="8" ref="T22:T41">IF(N22="RF",I22*P22*ROUND(M22/60,2),"--")</f>
        <v>--</v>
      </c>
      <c r="U22" s="434" t="s">
        <v>105</v>
      </c>
      <c r="V22" s="436">
        <f aca="true" t="shared" si="9" ref="V22:V41">IF(F22="","",SUM(Q22:T22)*IF(U22="SI",1,2)*IF(H22="500/220",0,1))</f>
        <v>55.1232</v>
      </c>
      <c r="W22" s="466"/>
    </row>
    <row r="23" spans="2:23" s="8" customFormat="1" ht="16.5" customHeight="1">
      <c r="B23" s="36"/>
      <c r="C23" s="429">
        <v>55</v>
      </c>
      <c r="D23" s="429">
        <v>218463</v>
      </c>
      <c r="E23" s="429">
        <v>802</v>
      </c>
      <c r="F23" s="430" t="s">
        <v>119</v>
      </c>
      <c r="G23" s="430" t="s">
        <v>134</v>
      </c>
      <c r="H23" s="431">
        <v>13.199999809265137</v>
      </c>
      <c r="I23" s="463">
        <f t="shared" si="0"/>
        <v>3.915</v>
      </c>
      <c r="J23" s="497">
        <v>40223.25277777778</v>
      </c>
      <c r="K23" s="497">
        <v>40223.399305555555</v>
      </c>
      <c r="L23" s="432">
        <f t="shared" si="1"/>
        <v>3.5166666666045785</v>
      </c>
      <c r="M23" s="433">
        <f t="shared" si="2"/>
        <v>211</v>
      </c>
      <c r="N23" s="434" t="s">
        <v>104</v>
      </c>
      <c r="O23" s="435" t="str">
        <f t="shared" si="3"/>
        <v>--</v>
      </c>
      <c r="P23" s="441">
        <f t="shared" si="4"/>
        <v>40</v>
      </c>
      <c r="Q23" s="446">
        <f t="shared" si="5"/>
        <v>55.1232</v>
      </c>
      <c r="R23" s="453" t="str">
        <f t="shared" si="6"/>
        <v>--</v>
      </c>
      <c r="S23" s="454" t="str">
        <f t="shared" si="7"/>
        <v>--</v>
      </c>
      <c r="T23" s="458" t="str">
        <f t="shared" si="8"/>
        <v>--</v>
      </c>
      <c r="U23" s="434" t="s">
        <v>105</v>
      </c>
      <c r="V23" s="436">
        <f t="shared" si="9"/>
        <v>55.1232</v>
      </c>
      <c r="W23" s="466"/>
    </row>
    <row r="24" spans="2:23" s="8" customFormat="1" ht="16.5" customHeight="1">
      <c r="B24" s="36"/>
      <c r="C24" s="429">
        <v>56</v>
      </c>
      <c r="D24" s="429">
        <v>218464</v>
      </c>
      <c r="E24" s="429">
        <v>2806</v>
      </c>
      <c r="F24" s="430" t="s">
        <v>119</v>
      </c>
      <c r="G24" s="430" t="s">
        <v>135</v>
      </c>
      <c r="H24" s="431">
        <v>13.199999809265137</v>
      </c>
      <c r="I24" s="463">
        <f t="shared" si="0"/>
        <v>3.915</v>
      </c>
      <c r="J24" s="497">
        <v>40223.25277777778</v>
      </c>
      <c r="K24" s="497">
        <v>40223.399305555555</v>
      </c>
      <c r="L24" s="432">
        <f t="shared" si="1"/>
        <v>3.5166666666045785</v>
      </c>
      <c r="M24" s="433">
        <f t="shared" si="2"/>
        <v>211</v>
      </c>
      <c r="N24" s="434" t="s">
        <v>104</v>
      </c>
      <c r="O24" s="435" t="str">
        <f t="shared" si="3"/>
        <v>--</v>
      </c>
      <c r="P24" s="441">
        <f t="shared" si="4"/>
        <v>40</v>
      </c>
      <c r="Q24" s="446">
        <f t="shared" si="5"/>
        <v>55.1232</v>
      </c>
      <c r="R24" s="453" t="str">
        <f t="shared" si="6"/>
        <v>--</v>
      </c>
      <c r="S24" s="454" t="str">
        <f t="shared" si="7"/>
        <v>--</v>
      </c>
      <c r="T24" s="458" t="str">
        <f t="shared" si="8"/>
        <v>--</v>
      </c>
      <c r="U24" s="434" t="s">
        <v>105</v>
      </c>
      <c r="V24" s="436">
        <f t="shared" si="9"/>
        <v>55.1232</v>
      </c>
      <c r="W24" s="466"/>
    </row>
    <row r="25" spans="2:23" s="8" customFormat="1" ht="16.5" customHeight="1">
      <c r="B25" s="36"/>
      <c r="C25" s="429">
        <v>57</v>
      </c>
      <c r="D25" s="429">
        <v>218727</v>
      </c>
      <c r="E25" s="429">
        <v>801</v>
      </c>
      <c r="F25" s="430" t="s">
        <v>119</v>
      </c>
      <c r="G25" s="430" t="s">
        <v>136</v>
      </c>
      <c r="H25" s="431">
        <v>13.199999809265137</v>
      </c>
      <c r="I25" s="463">
        <f t="shared" si="0"/>
        <v>3.915</v>
      </c>
      <c r="J25" s="497">
        <v>40229.302083333336</v>
      </c>
      <c r="K25" s="497">
        <v>40229.33263888889</v>
      </c>
      <c r="L25" s="432">
        <f t="shared" si="1"/>
        <v>0.7333333332790062</v>
      </c>
      <c r="M25" s="433">
        <f t="shared" si="2"/>
        <v>44</v>
      </c>
      <c r="N25" s="434" t="s">
        <v>104</v>
      </c>
      <c r="O25" s="435" t="str">
        <f t="shared" si="3"/>
        <v>--</v>
      </c>
      <c r="P25" s="441">
        <f t="shared" si="4"/>
        <v>40</v>
      </c>
      <c r="Q25" s="446">
        <f t="shared" si="5"/>
        <v>11.4318</v>
      </c>
      <c r="R25" s="453" t="str">
        <f t="shared" si="6"/>
        <v>--</v>
      </c>
      <c r="S25" s="454" t="str">
        <f t="shared" si="7"/>
        <v>--</v>
      </c>
      <c r="T25" s="458" t="str">
        <f t="shared" si="8"/>
        <v>--</v>
      </c>
      <c r="U25" s="434" t="s">
        <v>105</v>
      </c>
      <c r="V25" s="436">
        <f t="shared" si="9"/>
        <v>11.4318</v>
      </c>
      <c r="W25" s="466"/>
    </row>
    <row r="26" spans="2:23" s="8" customFormat="1" ht="16.5" customHeight="1">
      <c r="B26" s="36"/>
      <c r="C26" s="429">
        <v>58</v>
      </c>
      <c r="D26" s="429">
        <v>218726</v>
      </c>
      <c r="E26" s="429">
        <v>800</v>
      </c>
      <c r="F26" s="430" t="s">
        <v>119</v>
      </c>
      <c r="G26" s="430" t="s">
        <v>137</v>
      </c>
      <c r="H26" s="431">
        <v>13.199999809265137</v>
      </c>
      <c r="I26" s="463">
        <f t="shared" si="0"/>
        <v>3.915</v>
      </c>
      <c r="J26" s="497">
        <v>40229.302083333336</v>
      </c>
      <c r="K26" s="497">
        <v>40229.33263888889</v>
      </c>
      <c r="L26" s="432">
        <f t="shared" si="1"/>
        <v>0.7333333332790062</v>
      </c>
      <c r="M26" s="433">
        <f t="shared" si="2"/>
        <v>44</v>
      </c>
      <c r="N26" s="434" t="s">
        <v>104</v>
      </c>
      <c r="O26" s="435" t="str">
        <f t="shared" si="3"/>
        <v>--</v>
      </c>
      <c r="P26" s="441">
        <f t="shared" si="4"/>
        <v>40</v>
      </c>
      <c r="Q26" s="446">
        <f t="shared" si="5"/>
        <v>11.4318</v>
      </c>
      <c r="R26" s="453" t="str">
        <f t="shared" si="6"/>
        <v>--</v>
      </c>
      <c r="S26" s="454" t="str">
        <f t="shared" si="7"/>
        <v>--</v>
      </c>
      <c r="T26" s="458" t="str">
        <f t="shared" si="8"/>
        <v>--</v>
      </c>
      <c r="U26" s="434" t="s">
        <v>105</v>
      </c>
      <c r="V26" s="436">
        <f t="shared" si="9"/>
        <v>11.4318</v>
      </c>
      <c r="W26" s="466"/>
    </row>
    <row r="27" spans="2:23" s="8" customFormat="1" ht="16.5" customHeight="1">
      <c r="B27" s="36"/>
      <c r="C27" s="429">
        <v>59</v>
      </c>
      <c r="D27" s="429">
        <v>218752</v>
      </c>
      <c r="E27" s="429">
        <v>794</v>
      </c>
      <c r="F27" s="430" t="s">
        <v>114</v>
      </c>
      <c r="G27" s="430" t="s">
        <v>138</v>
      </c>
      <c r="H27" s="431">
        <v>33</v>
      </c>
      <c r="I27" s="463">
        <f t="shared" si="0"/>
        <v>3.915</v>
      </c>
      <c r="J27" s="497">
        <v>40230.25347222222</v>
      </c>
      <c r="K27" s="497">
        <v>40230.395833333336</v>
      </c>
      <c r="L27" s="432">
        <f t="shared" si="1"/>
        <v>3.4166666668024845</v>
      </c>
      <c r="M27" s="433">
        <f t="shared" si="2"/>
        <v>205</v>
      </c>
      <c r="N27" s="434" t="s">
        <v>104</v>
      </c>
      <c r="O27" s="435" t="str">
        <f t="shared" si="3"/>
        <v>--</v>
      </c>
      <c r="P27" s="441">
        <f t="shared" si="4"/>
        <v>50</v>
      </c>
      <c r="Q27" s="446">
        <f t="shared" si="5"/>
        <v>66.9465</v>
      </c>
      <c r="R27" s="453" t="str">
        <f t="shared" si="6"/>
        <v>--</v>
      </c>
      <c r="S27" s="454" t="str">
        <f t="shared" si="7"/>
        <v>--</v>
      </c>
      <c r="T27" s="458" t="str">
        <f t="shared" si="8"/>
        <v>--</v>
      </c>
      <c r="U27" s="434" t="s">
        <v>105</v>
      </c>
      <c r="V27" s="436">
        <f t="shared" si="9"/>
        <v>66.9465</v>
      </c>
      <c r="W27" s="466"/>
    </row>
    <row r="28" spans="2:23" s="8" customFormat="1" ht="16.5" customHeight="1">
      <c r="B28" s="36"/>
      <c r="C28" s="429">
        <v>60</v>
      </c>
      <c r="D28" s="429">
        <v>218934</v>
      </c>
      <c r="E28" s="429">
        <v>850</v>
      </c>
      <c r="F28" s="430" t="s">
        <v>127</v>
      </c>
      <c r="G28" s="430" t="s">
        <v>139</v>
      </c>
      <c r="H28" s="431">
        <v>13.199999809265137</v>
      </c>
      <c r="I28" s="463">
        <f t="shared" si="0"/>
        <v>3.915</v>
      </c>
      <c r="J28" s="497">
        <v>40232.217361111114</v>
      </c>
      <c r="K28" s="497">
        <v>40232.26736111111</v>
      </c>
      <c r="L28" s="432">
        <f t="shared" si="1"/>
        <v>1.1999999998952262</v>
      </c>
      <c r="M28" s="433">
        <f t="shared" si="2"/>
        <v>72</v>
      </c>
      <c r="N28" s="434" t="s">
        <v>107</v>
      </c>
      <c r="O28" s="435" t="str">
        <f t="shared" si="3"/>
        <v>NO</v>
      </c>
      <c r="P28" s="441">
        <f t="shared" si="4"/>
        <v>40</v>
      </c>
      <c r="Q28" s="446" t="str">
        <f t="shared" si="5"/>
        <v>--</v>
      </c>
      <c r="R28" s="453">
        <f t="shared" si="6"/>
        <v>156.6</v>
      </c>
      <c r="S28" s="454">
        <f t="shared" si="7"/>
        <v>187.92</v>
      </c>
      <c r="T28" s="458" t="str">
        <f t="shared" si="8"/>
        <v>--</v>
      </c>
      <c r="U28" s="434" t="s">
        <v>105</v>
      </c>
      <c r="V28" s="436">
        <f t="shared" si="9"/>
        <v>344.52</v>
      </c>
      <c r="W28" s="466"/>
    </row>
    <row r="29" spans="2:23" s="8" customFormat="1" ht="16.5" customHeight="1">
      <c r="B29" s="36"/>
      <c r="C29" s="429">
        <v>61</v>
      </c>
      <c r="D29" s="429">
        <v>218935</v>
      </c>
      <c r="E29" s="429">
        <v>851</v>
      </c>
      <c r="F29" s="430" t="s">
        <v>127</v>
      </c>
      <c r="G29" s="430" t="s">
        <v>140</v>
      </c>
      <c r="H29" s="431">
        <v>13.199999809265137</v>
      </c>
      <c r="I29" s="463">
        <f t="shared" si="0"/>
        <v>3.915</v>
      </c>
      <c r="J29" s="497">
        <v>40232.217361111114</v>
      </c>
      <c r="K29" s="497">
        <v>40232.26736111111</v>
      </c>
      <c r="L29" s="432">
        <f t="shared" si="1"/>
        <v>1.1999999998952262</v>
      </c>
      <c r="M29" s="433">
        <f t="shared" si="2"/>
        <v>72</v>
      </c>
      <c r="N29" s="434" t="s">
        <v>107</v>
      </c>
      <c r="O29" s="435" t="str">
        <f t="shared" si="3"/>
        <v>NO</v>
      </c>
      <c r="P29" s="441">
        <f t="shared" si="4"/>
        <v>40</v>
      </c>
      <c r="Q29" s="446" t="str">
        <f t="shared" si="5"/>
        <v>--</v>
      </c>
      <c r="R29" s="453">
        <f t="shared" si="6"/>
        <v>156.6</v>
      </c>
      <c r="S29" s="454">
        <f t="shared" si="7"/>
        <v>187.92</v>
      </c>
      <c r="T29" s="458" t="str">
        <f t="shared" si="8"/>
        <v>--</v>
      </c>
      <c r="U29" s="434" t="s">
        <v>105</v>
      </c>
      <c r="V29" s="436">
        <f t="shared" si="9"/>
        <v>344.52</v>
      </c>
      <c r="W29" s="466"/>
    </row>
    <row r="30" spans="2:23" s="8" customFormat="1" ht="16.5" customHeight="1">
      <c r="B30" s="36"/>
      <c r="C30" s="429">
        <v>62</v>
      </c>
      <c r="D30" s="429">
        <v>218936</v>
      </c>
      <c r="E30" s="429">
        <v>3440</v>
      </c>
      <c r="F30" s="430" t="s">
        <v>127</v>
      </c>
      <c r="G30" s="430" t="s">
        <v>146</v>
      </c>
      <c r="H30" s="431">
        <v>13.2</v>
      </c>
      <c r="I30" s="463">
        <f t="shared" si="0"/>
        <v>3.915</v>
      </c>
      <c r="J30" s="497">
        <v>40232.217361111114</v>
      </c>
      <c r="K30" s="497">
        <v>40232.26458333333</v>
      </c>
      <c r="L30" s="432">
        <f t="shared" si="1"/>
        <v>1.133333333185874</v>
      </c>
      <c r="M30" s="433">
        <f t="shared" si="2"/>
        <v>68</v>
      </c>
      <c r="N30" s="434" t="s">
        <v>107</v>
      </c>
      <c r="O30" s="435" t="str">
        <f t="shared" si="3"/>
        <v>NO</v>
      </c>
      <c r="P30" s="441">
        <f t="shared" si="4"/>
        <v>40</v>
      </c>
      <c r="Q30" s="446" t="str">
        <f t="shared" si="5"/>
        <v>--</v>
      </c>
      <c r="R30" s="453">
        <f t="shared" si="6"/>
        <v>156.6</v>
      </c>
      <c r="S30" s="454">
        <f t="shared" si="7"/>
        <v>176.95799999999997</v>
      </c>
      <c r="T30" s="458" t="str">
        <f t="shared" si="8"/>
        <v>--</v>
      </c>
      <c r="U30" s="434" t="s">
        <v>105</v>
      </c>
      <c r="V30" s="436">
        <f t="shared" si="9"/>
        <v>333.558</v>
      </c>
      <c r="W30" s="466"/>
    </row>
    <row r="31" spans="2:23" s="8" customFormat="1" ht="16.5" customHeight="1">
      <c r="B31" s="36"/>
      <c r="C31" s="429">
        <v>63</v>
      </c>
      <c r="D31" s="429">
        <v>218970</v>
      </c>
      <c r="E31" s="429">
        <v>4618</v>
      </c>
      <c r="F31" s="430" t="s">
        <v>132</v>
      </c>
      <c r="G31" s="430" t="s">
        <v>141</v>
      </c>
      <c r="H31" s="431">
        <v>13.199999809265137</v>
      </c>
      <c r="I31" s="463">
        <f t="shared" si="0"/>
        <v>3.915</v>
      </c>
      <c r="J31" s="497">
        <v>40236.53888888889</v>
      </c>
      <c r="K31" s="497">
        <v>40236.62222222222</v>
      </c>
      <c r="L31" s="432">
        <f t="shared" si="1"/>
        <v>1.9999999998835847</v>
      </c>
      <c r="M31" s="433">
        <f t="shared" si="2"/>
        <v>120</v>
      </c>
      <c r="N31" s="434" t="s">
        <v>104</v>
      </c>
      <c r="O31" s="435" t="str">
        <f t="shared" si="3"/>
        <v>--</v>
      </c>
      <c r="P31" s="441">
        <f t="shared" si="4"/>
        <v>40</v>
      </c>
      <c r="Q31" s="446">
        <f t="shared" si="5"/>
        <v>31.32</v>
      </c>
      <c r="R31" s="453" t="str">
        <f t="shared" si="6"/>
        <v>--</v>
      </c>
      <c r="S31" s="454" t="str">
        <f t="shared" si="7"/>
        <v>--</v>
      </c>
      <c r="T31" s="458" t="str">
        <f t="shared" si="8"/>
        <v>--</v>
      </c>
      <c r="U31" s="434" t="s">
        <v>105</v>
      </c>
      <c r="V31" s="436">
        <f t="shared" si="9"/>
        <v>31.32</v>
      </c>
      <c r="W31" s="466"/>
    </row>
    <row r="32" spans="2:23" s="8" customFormat="1" ht="16.5" customHeight="1">
      <c r="B32" s="36"/>
      <c r="C32" s="429">
        <v>64</v>
      </c>
      <c r="D32" s="429">
        <v>218973</v>
      </c>
      <c r="E32" s="429">
        <v>4326</v>
      </c>
      <c r="F32" s="430" t="s">
        <v>132</v>
      </c>
      <c r="G32" s="430" t="s">
        <v>142</v>
      </c>
      <c r="H32" s="431">
        <v>33</v>
      </c>
      <c r="I32" s="463">
        <f t="shared" si="0"/>
        <v>3.915</v>
      </c>
      <c r="J32" s="497">
        <v>40236.53888888889</v>
      </c>
      <c r="K32" s="497">
        <v>40236.62222222222</v>
      </c>
      <c r="L32" s="432">
        <f t="shared" si="1"/>
        <v>1.9999999998835847</v>
      </c>
      <c r="M32" s="433">
        <f t="shared" si="2"/>
        <v>120</v>
      </c>
      <c r="N32" s="434" t="s">
        <v>104</v>
      </c>
      <c r="O32" s="435" t="str">
        <f t="shared" si="3"/>
        <v>--</v>
      </c>
      <c r="P32" s="441">
        <f t="shared" si="4"/>
        <v>50</v>
      </c>
      <c r="Q32" s="446">
        <f t="shared" si="5"/>
        <v>39.150000000000006</v>
      </c>
      <c r="R32" s="453" t="str">
        <f t="shared" si="6"/>
        <v>--</v>
      </c>
      <c r="S32" s="454" t="str">
        <f t="shared" si="7"/>
        <v>--</v>
      </c>
      <c r="T32" s="458" t="str">
        <f t="shared" si="8"/>
        <v>--</v>
      </c>
      <c r="U32" s="434" t="s">
        <v>105</v>
      </c>
      <c r="V32" s="436">
        <f t="shared" si="9"/>
        <v>39.150000000000006</v>
      </c>
      <c r="W32" s="466"/>
    </row>
    <row r="33" spans="2:23" s="8" customFormat="1" ht="16.5" customHeight="1">
      <c r="B33" s="36"/>
      <c r="C33" s="429">
        <v>65</v>
      </c>
      <c r="D33" s="429">
        <v>218971</v>
      </c>
      <c r="E33" s="429">
        <v>4324</v>
      </c>
      <c r="F33" s="430" t="s">
        <v>132</v>
      </c>
      <c r="G33" s="430" t="s">
        <v>132</v>
      </c>
      <c r="H33" s="431">
        <v>13.199999809265137</v>
      </c>
      <c r="I33" s="463">
        <f t="shared" si="0"/>
        <v>3.915</v>
      </c>
      <c r="J33" s="497">
        <v>40236.53888888889</v>
      </c>
      <c r="K33" s="497">
        <v>40236.62222222222</v>
      </c>
      <c r="L33" s="432">
        <f t="shared" si="1"/>
        <v>1.9999999998835847</v>
      </c>
      <c r="M33" s="433">
        <f t="shared" si="2"/>
        <v>120</v>
      </c>
      <c r="N33" s="434" t="s">
        <v>104</v>
      </c>
      <c r="O33" s="435" t="str">
        <f t="shared" si="3"/>
        <v>--</v>
      </c>
      <c r="P33" s="441">
        <f t="shared" si="4"/>
        <v>40</v>
      </c>
      <c r="Q33" s="446">
        <f t="shared" si="5"/>
        <v>31.32</v>
      </c>
      <c r="R33" s="453" t="str">
        <f t="shared" si="6"/>
        <v>--</v>
      </c>
      <c r="S33" s="454" t="str">
        <f t="shared" si="7"/>
        <v>--</v>
      </c>
      <c r="T33" s="458" t="str">
        <f t="shared" si="8"/>
        <v>--</v>
      </c>
      <c r="U33" s="434" t="s">
        <v>105</v>
      </c>
      <c r="V33" s="436">
        <f t="shared" si="9"/>
        <v>31.32</v>
      </c>
      <c r="W33" s="466"/>
    </row>
    <row r="34" spans="2:23" s="8" customFormat="1" ht="16.5" customHeight="1">
      <c r="B34" s="36"/>
      <c r="C34" s="429">
        <v>66</v>
      </c>
      <c r="D34" s="429">
        <v>218972</v>
      </c>
      <c r="E34" s="429">
        <v>4325</v>
      </c>
      <c r="F34" s="430" t="s">
        <v>132</v>
      </c>
      <c r="G34" s="430" t="s">
        <v>143</v>
      </c>
      <c r="H34" s="431">
        <v>33</v>
      </c>
      <c r="I34" s="463">
        <f t="shared" si="0"/>
        <v>3.915</v>
      </c>
      <c r="J34" s="497">
        <v>40236.53888888889</v>
      </c>
      <c r="K34" s="497">
        <v>40236.62222222222</v>
      </c>
      <c r="L34" s="432">
        <f t="shared" si="1"/>
        <v>1.9999999998835847</v>
      </c>
      <c r="M34" s="433">
        <f t="shared" si="2"/>
        <v>120</v>
      </c>
      <c r="N34" s="434" t="s">
        <v>104</v>
      </c>
      <c r="O34" s="435" t="str">
        <f t="shared" si="3"/>
        <v>--</v>
      </c>
      <c r="P34" s="441">
        <f t="shared" si="4"/>
        <v>50</v>
      </c>
      <c r="Q34" s="446">
        <f t="shared" si="5"/>
        <v>39.150000000000006</v>
      </c>
      <c r="R34" s="453" t="str">
        <f t="shared" si="6"/>
        <v>--</v>
      </c>
      <c r="S34" s="454" t="str">
        <f t="shared" si="7"/>
        <v>--</v>
      </c>
      <c r="T34" s="458" t="str">
        <f t="shared" si="8"/>
        <v>--</v>
      </c>
      <c r="U34" s="434" t="s">
        <v>105</v>
      </c>
      <c r="V34" s="436">
        <f t="shared" si="9"/>
        <v>39.150000000000006</v>
      </c>
      <c r="W34" s="466"/>
    </row>
    <row r="35" spans="2:23" s="8" customFormat="1" ht="16.5" customHeight="1">
      <c r="B35" s="36"/>
      <c r="C35" s="429"/>
      <c r="D35" s="429"/>
      <c r="E35" s="429"/>
      <c r="F35" s="430"/>
      <c r="G35" s="430"/>
      <c r="H35" s="431"/>
      <c r="I35" s="463">
        <f t="shared" si="0"/>
        <v>3.915</v>
      </c>
      <c r="J35" s="497"/>
      <c r="K35" s="497"/>
      <c r="L35" s="432">
        <f t="shared" si="1"/>
      </c>
      <c r="M35" s="433">
        <f t="shared" si="2"/>
      </c>
      <c r="N35" s="434"/>
      <c r="O35" s="435">
        <f t="shared" si="3"/>
      </c>
      <c r="P35" s="441">
        <f t="shared" si="4"/>
        <v>40</v>
      </c>
      <c r="Q35" s="446" t="str">
        <f t="shared" si="5"/>
        <v>--</v>
      </c>
      <c r="R35" s="453" t="str">
        <f t="shared" si="6"/>
        <v>--</v>
      </c>
      <c r="S35" s="454" t="str">
        <f t="shared" si="7"/>
        <v>--</v>
      </c>
      <c r="T35" s="458" t="str">
        <f t="shared" si="8"/>
        <v>--</v>
      </c>
      <c r="U35" s="434">
        <f aca="true" t="shared" si="10" ref="U35:U41">IF(F35="","","SI")</f>
      </c>
      <c r="V35" s="436">
        <f t="shared" si="9"/>
      </c>
      <c r="W35" s="466"/>
    </row>
    <row r="36" spans="2:23" s="8" customFormat="1" ht="16.5" customHeight="1">
      <c r="B36" s="36"/>
      <c r="C36" s="429"/>
      <c r="D36" s="429"/>
      <c r="E36" s="429"/>
      <c r="F36" s="430"/>
      <c r="G36" s="430"/>
      <c r="H36" s="431"/>
      <c r="I36" s="463">
        <f t="shared" si="0"/>
        <v>3.915</v>
      </c>
      <c r="J36" s="497"/>
      <c r="K36" s="497"/>
      <c r="L36" s="432">
        <f t="shared" si="1"/>
      </c>
      <c r="M36" s="433">
        <f t="shared" si="2"/>
      </c>
      <c r="N36" s="434"/>
      <c r="O36" s="435">
        <f t="shared" si="3"/>
      </c>
      <c r="P36" s="441">
        <f t="shared" si="4"/>
        <v>40</v>
      </c>
      <c r="Q36" s="446" t="str">
        <f t="shared" si="5"/>
        <v>--</v>
      </c>
      <c r="R36" s="453" t="str">
        <f t="shared" si="6"/>
        <v>--</v>
      </c>
      <c r="S36" s="454" t="str">
        <f t="shared" si="7"/>
        <v>--</v>
      </c>
      <c r="T36" s="458" t="str">
        <f t="shared" si="8"/>
        <v>--</v>
      </c>
      <c r="U36" s="434">
        <f t="shared" si="10"/>
      </c>
      <c r="V36" s="436">
        <f t="shared" si="9"/>
      </c>
      <c r="W36" s="466"/>
    </row>
    <row r="37" spans="2:23" s="8" customFormat="1" ht="16.5" customHeight="1">
      <c r="B37" s="36"/>
      <c r="C37" s="429"/>
      <c r="D37" s="429"/>
      <c r="E37" s="429"/>
      <c r="F37" s="430"/>
      <c r="G37" s="430"/>
      <c r="H37" s="431"/>
      <c r="I37" s="463">
        <f t="shared" si="0"/>
        <v>3.915</v>
      </c>
      <c r="J37" s="497"/>
      <c r="K37" s="497"/>
      <c r="L37" s="432">
        <f t="shared" si="1"/>
      </c>
      <c r="M37" s="433">
        <f t="shared" si="2"/>
      </c>
      <c r="N37" s="434"/>
      <c r="O37" s="435">
        <f t="shared" si="3"/>
      </c>
      <c r="P37" s="441">
        <f t="shared" si="4"/>
        <v>40</v>
      </c>
      <c r="Q37" s="446" t="str">
        <f t="shared" si="5"/>
        <v>--</v>
      </c>
      <c r="R37" s="453" t="str">
        <f t="shared" si="6"/>
        <v>--</v>
      </c>
      <c r="S37" s="454" t="str">
        <f t="shared" si="7"/>
        <v>--</v>
      </c>
      <c r="T37" s="458" t="str">
        <f t="shared" si="8"/>
        <v>--</v>
      </c>
      <c r="U37" s="434">
        <f t="shared" si="10"/>
      </c>
      <c r="V37" s="436">
        <f t="shared" si="9"/>
      </c>
      <c r="W37" s="466"/>
    </row>
    <row r="38" spans="2:23" s="8" customFormat="1" ht="16.5" customHeight="1">
      <c r="B38" s="36"/>
      <c r="C38" s="429"/>
      <c r="D38" s="429"/>
      <c r="E38" s="429"/>
      <c r="F38" s="430"/>
      <c r="G38" s="430"/>
      <c r="H38" s="431"/>
      <c r="I38" s="463">
        <f t="shared" si="0"/>
        <v>3.915</v>
      </c>
      <c r="J38" s="497"/>
      <c r="K38" s="497"/>
      <c r="L38" s="432">
        <f t="shared" si="1"/>
      </c>
      <c r="M38" s="433">
        <f t="shared" si="2"/>
      </c>
      <c r="N38" s="434"/>
      <c r="O38" s="435">
        <f t="shared" si="3"/>
      </c>
      <c r="P38" s="441">
        <f t="shared" si="4"/>
        <v>40</v>
      </c>
      <c r="Q38" s="446" t="str">
        <f t="shared" si="5"/>
        <v>--</v>
      </c>
      <c r="R38" s="453" t="str">
        <f t="shared" si="6"/>
        <v>--</v>
      </c>
      <c r="S38" s="454" t="str">
        <f t="shared" si="7"/>
        <v>--</v>
      </c>
      <c r="T38" s="458" t="str">
        <f t="shared" si="8"/>
        <v>--</v>
      </c>
      <c r="U38" s="434">
        <f t="shared" si="10"/>
      </c>
      <c r="V38" s="436">
        <f t="shared" si="9"/>
      </c>
      <c r="W38" s="202"/>
    </row>
    <row r="39" spans="2:23" s="8" customFormat="1" ht="16.5" customHeight="1">
      <c r="B39" s="36"/>
      <c r="C39" s="429"/>
      <c r="D39" s="429"/>
      <c r="E39" s="429"/>
      <c r="F39" s="430"/>
      <c r="G39" s="430"/>
      <c r="H39" s="431"/>
      <c r="I39" s="463">
        <f t="shared" si="0"/>
        <v>3.915</v>
      </c>
      <c r="J39" s="497"/>
      <c r="K39" s="497"/>
      <c r="L39" s="432">
        <f t="shared" si="1"/>
      </c>
      <c r="M39" s="433">
        <f t="shared" si="2"/>
      </c>
      <c r="N39" s="434"/>
      <c r="O39" s="435">
        <f t="shared" si="3"/>
      </c>
      <c r="P39" s="441">
        <f t="shared" si="4"/>
        <v>40</v>
      </c>
      <c r="Q39" s="446" t="str">
        <f t="shared" si="5"/>
        <v>--</v>
      </c>
      <c r="R39" s="453" t="str">
        <f t="shared" si="6"/>
        <v>--</v>
      </c>
      <c r="S39" s="454" t="str">
        <f t="shared" si="7"/>
        <v>--</v>
      </c>
      <c r="T39" s="458" t="str">
        <f t="shared" si="8"/>
        <v>--</v>
      </c>
      <c r="U39" s="434">
        <f t="shared" si="10"/>
      </c>
      <c r="V39" s="436">
        <f t="shared" si="9"/>
      </c>
      <c r="W39" s="202"/>
    </row>
    <row r="40" spans="2:23" s="8" customFormat="1" ht="16.5" customHeight="1">
      <c r="B40" s="36"/>
      <c r="C40" s="429"/>
      <c r="D40" s="429"/>
      <c r="E40" s="429"/>
      <c r="F40" s="430"/>
      <c r="G40" s="430"/>
      <c r="H40" s="431"/>
      <c r="I40" s="463">
        <f t="shared" si="0"/>
        <v>3.915</v>
      </c>
      <c r="J40" s="497"/>
      <c r="K40" s="497"/>
      <c r="L40" s="432">
        <f t="shared" si="1"/>
      </c>
      <c r="M40" s="433">
        <f t="shared" si="2"/>
      </c>
      <c r="N40" s="434"/>
      <c r="O40" s="435">
        <f t="shared" si="3"/>
      </c>
      <c r="P40" s="441">
        <f t="shared" si="4"/>
        <v>40</v>
      </c>
      <c r="Q40" s="446" t="str">
        <f t="shared" si="5"/>
        <v>--</v>
      </c>
      <c r="R40" s="453" t="str">
        <f t="shared" si="6"/>
        <v>--</v>
      </c>
      <c r="S40" s="454" t="str">
        <f t="shared" si="7"/>
        <v>--</v>
      </c>
      <c r="T40" s="458" t="str">
        <f t="shared" si="8"/>
        <v>--</v>
      </c>
      <c r="U40" s="434">
        <f t="shared" si="10"/>
      </c>
      <c r="V40" s="436">
        <f t="shared" si="9"/>
      </c>
      <c r="W40" s="202"/>
    </row>
    <row r="41" spans="2:23" s="8" customFormat="1" ht="16.5" customHeight="1">
      <c r="B41" s="36"/>
      <c r="C41" s="429"/>
      <c r="D41" s="429"/>
      <c r="E41" s="429"/>
      <c r="F41" s="430"/>
      <c r="G41" s="430"/>
      <c r="H41" s="431"/>
      <c r="I41" s="463">
        <f t="shared" si="0"/>
        <v>3.915</v>
      </c>
      <c r="J41" s="497"/>
      <c r="K41" s="497"/>
      <c r="L41" s="432">
        <f t="shared" si="1"/>
      </c>
      <c r="M41" s="433">
        <f t="shared" si="2"/>
      </c>
      <c r="N41" s="434"/>
      <c r="O41" s="435">
        <f t="shared" si="3"/>
      </c>
      <c r="P41" s="441">
        <f t="shared" si="4"/>
        <v>40</v>
      </c>
      <c r="Q41" s="446" t="str">
        <f t="shared" si="5"/>
        <v>--</v>
      </c>
      <c r="R41" s="453" t="str">
        <f t="shared" si="6"/>
        <v>--</v>
      </c>
      <c r="S41" s="454" t="str">
        <f t="shared" si="7"/>
        <v>--</v>
      </c>
      <c r="T41" s="458" t="str">
        <f t="shared" si="8"/>
        <v>--</v>
      </c>
      <c r="U41" s="434">
        <f t="shared" si="10"/>
      </c>
      <c r="V41" s="436">
        <f t="shared" si="9"/>
      </c>
      <c r="W41" s="202"/>
    </row>
    <row r="42" spans="2:23" s="8" customFormat="1" ht="16.5" customHeight="1" thickBot="1">
      <c r="B42" s="36"/>
      <c r="C42" s="495"/>
      <c r="D42" s="495"/>
      <c r="E42" s="495"/>
      <c r="F42" s="495"/>
      <c r="G42" s="495"/>
      <c r="H42" s="495"/>
      <c r="I42" s="464"/>
      <c r="J42" s="495"/>
      <c r="K42" s="495"/>
      <c r="L42" s="437"/>
      <c r="M42" s="437"/>
      <c r="N42" s="495"/>
      <c r="O42" s="495"/>
      <c r="P42" s="442"/>
      <c r="Q42" s="447"/>
      <c r="R42" s="455"/>
      <c r="S42" s="456"/>
      <c r="T42" s="459"/>
      <c r="U42" s="437"/>
      <c r="V42" s="472"/>
      <c r="W42" s="202"/>
    </row>
    <row r="43" spans="2:23" s="8" customFormat="1" ht="16.5" customHeight="1" thickBot="1" thickTop="1">
      <c r="B43" s="36"/>
      <c r="C43" s="271" t="s">
        <v>45</v>
      </c>
      <c r="D43" s="273"/>
      <c r="E43" s="273"/>
      <c r="F43" s="272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448">
        <f>SUM(Q20:Q42)</f>
        <v>396.1197000000001</v>
      </c>
      <c r="R43" s="322">
        <f>SUM(R20:R42)</f>
        <v>469.79999999999995</v>
      </c>
      <c r="S43" s="322">
        <f>SUM(S20:S42)</f>
        <v>552.798</v>
      </c>
      <c r="T43" s="460">
        <f>SUM(T20:T42)</f>
        <v>0</v>
      </c>
      <c r="U43" s="58"/>
      <c r="V43" s="307">
        <f>ROUND(SUM(V20:V42),2)</f>
        <v>1418.72</v>
      </c>
      <c r="W43" s="202"/>
    </row>
    <row r="44" spans="2:23" s="286" customFormat="1" ht="9.75" thickTop="1">
      <c r="B44" s="276"/>
      <c r="C44" s="273"/>
      <c r="D44" s="273"/>
      <c r="E44" s="273"/>
      <c r="F44" s="274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2"/>
      <c r="V44" s="293"/>
      <c r="W44" s="294"/>
    </row>
    <row r="45" spans="1:23" s="8" customFormat="1" ht="16.5" customHeight="1" thickBot="1">
      <c r="A45" s="9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3"/>
    </row>
    <row r="46" spans="1:23" ht="16.5" customHeight="1" thickTop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3:6" ht="16.5" customHeight="1">
      <c r="C47" s="4"/>
      <c r="D47" s="4"/>
      <c r="E47" s="4"/>
      <c r="F47" s="4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AC92"/>
  <sheetViews>
    <sheetView zoomScale="75" zoomScaleNormal="75" workbookViewId="0" topLeftCell="C1">
      <selection activeCell="G16" sqref="G16:G18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6" width="40.7109375" style="0" customWidth="1"/>
    <col min="7" max="7" width="8.7109375" style="0" customWidth="1"/>
    <col min="8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7" width="15.140625" style="0" hidden="1" customWidth="1"/>
    <col min="18" max="18" width="12.57421875" style="0" hidden="1" customWidth="1"/>
    <col min="19" max="19" width="15.28125" style="0" hidden="1" customWidth="1"/>
    <col min="20" max="23" width="12.57421875" style="0" hidden="1" customWidth="1"/>
    <col min="24" max="24" width="14.42187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="114" customFormat="1" ht="29.25" customHeight="1">
      <c r="AB1" s="473"/>
    </row>
    <row r="2" spans="2:28" s="114" customFormat="1" ht="26.25">
      <c r="B2" s="486" t="str">
        <f>+'TOT-0210'!B2</f>
        <v>ANEXO II al Memoradnum D.T.E.E. N°  480 /2011</v>
      </c>
      <c r="C2" s="115"/>
      <c r="D2" s="115"/>
      <c r="E2" s="115"/>
      <c r="F2" s="115"/>
      <c r="G2" s="127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="8" customFormat="1" ht="12.75"/>
    <row r="4" spans="1:3" s="112" customFormat="1" ht="11.25">
      <c r="A4" s="513" t="s">
        <v>100</v>
      </c>
      <c r="B4" s="180"/>
      <c r="C4" s="513"/>
    </row>
    <row r="5" spans="1:3" s="112" customFormat="1" ht="11.25">
      <c r="A5" s="513" t="s">
        <v>101</v>
      </c>
      <c r="B5" s="180"/>
      <c r="C5" s="180"/>
    </row>
    <row r="6" s="8" customFormat="1" ht="13.5" thickBot="1"/>
    <row r="7" spans="1:28" s="8" customFormat="1" ht="13.5" thickTop="1">
      <c r="A7" s="6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</row>
    <row r="8" spans="1:28" s="116" customFormat="1" ht="20.25">
      <c r="A8" s="105"/>
      <c r="B8" s="174"/>
      <c r="F8" s="17" t="s">
        <v>20</v>
      </c>
      <c r="G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19"/>
    </row>
    <row r="9" spans="1:28" s="8" customFormat="1" ht="12.75">
      <c r="A9" s="6"/>
      <c r="B9" s="36"/>
      <c r="C9" s="123"/>
      <c r="D9" s="123"/>
      <c r="E9" s="123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9"/>
    </row>
    <row r="10" spans="1:28" s="116" customFormat="1" ht="20.25">
      <c r="A10" s="105"/>
      <c r="B10" s="174"/>
      <c r="F10" s="17" t="s">
        <v>89</v>
      </c>
      <c r="G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19"/>
    </row>
    <row r="11" spans="1:28" s="8" customFormat="1" ht="12.75">
      <c r="A11" s="6"/>
      <c r="B11" s="36"/>
      <c r="C11" s="123"/>
      <c r="D11" s="123"/>
      <c r="E11" s="123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9"/>
    </row>
    <row r="12" spans="1:28" s="120" customFormat="1" ht="19.5">
      <c r="A12" s="37"/>
      <c r="B12" s="139" t="str">
        <f>+'TOT-0210'!B14</f>
        <v>Desde el 01 al 28 de febrero de 2010</v>
      </c>
      <c r="C12" s="143"/>
      <c r="D12" s="143"/>
      <c r="E12" s="143"/>
      <c r="F12" s="143"/>
      <c r="G12" s="176"/>
      <c r="H12" s="177"/>
      <c r="I12" s="178"/>
      <c r="J12" s="179"/>
      <c r="K12" s="178"/>
      <c r="L12" s="178"/>
      <c r="M12" s="178"/>
      <c r="N12" s="178"/>
      <c r="O12" s="178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4"/>
    </row>
    <row r="13" spans="1:28" s="8" customFormat="1" ht="7.5" customHeight="1">
      <c r="A13" s="6"/>
      <c r="B13" s="36"/>
      <c r="C13" s="6"/>
      <c r="D13" s="6"/>
      <c r="E13" s="6"/>
      <c r="F13" s="510"/>
      <c r="G13" s="511"/>
      <c r="H13" s="512"/>
      <c r="I13" s="6"/>
      <c r="J13" s="6"/>
      <c r="K13" s="6"/>
      <c r="L13" s="124"/>
      <c r="M13" s="162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9"/>
    </row>
    <row r="14" spans="1:28" s="8" customFormat="1" ht="7.5" customHeight="1" thickBot="1">
      <c r="A14" s="6"/>
      <c r="B14" s="36"/>
      <c r="C14" s="6"/>
      <c r="D14" s="6"/>
      <c r="E14" s="6"/>
      <c r="F14" s="6"/>
      <c r="G14" s="476"/>
      <c r="H14" s="173"/>
      <c r="I14" s="161"/>
      <c r="J14" s="161"/>
      <c r="K14" s="161"/>
      <c r="L14" s="161"/>
      <c r="M14" s="161"/>
      <c r="N14" s="161"/>
      <c r="O14" s="161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9"/>
    </row>
    <row r="15" spans="1:28" s="8" customFormat="1" ht="14.25" thickBot="1" thickTop="1">
      <c r="A15" s="6"/>
      <c r="B15" s="36"/>
      <c r="C15" s="6"/>
      <c r="D15" s="6"/>
      <c r="E15" s="6"/>
      <c r="F15" s="181" t="s">
        <v>23</v>
      </c>
      <c r="G15" s="508"/>
      <c r="H15" s="507"/>
      <c r="I15" s="161"/>
      <c r="J15" s="161"/>
      <c r="K15" s="161"/>
      <c r="L15" s="161"/>
      <c r="M15" s="161"/>
      <c r="N15" s="161"/>
      <c r="O15" s="161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9"/>
    </row>
    <row r="16" spans="1:28" s="8" customFormat="1" ht="14.25" thickBot="1" thickTop="1">
      <c r="A16" s="6"/>
      <c r="B16" s="36"/>
      <c r="C16" s="6"/>
      <c r="D16" s="6"/>
      <c r="E16" s="6"/>
      <c r="F16" s="181" t="s">
        <v>24</v>
      </c>
      <c r="G16" s="477">
        <v>112.722</v>
      </c>
      <c r="H16" s="288"/>
      <c r="I16" s="6"/>
      <c r="J16" s="160"/>
      <c r="K16" s="182" t="s">
        <v>25</v>
      </c>
      <c r="L16" s="183">
        <f>30*'TOT-0210'!B13</f>
        <v>60</v>
      </c>
      <c r="M16" s="258" t="str">
        <f>IF(L16=30," ",IF(L16=60,"Coeficiente duplicado por tasa de falla &gt;4 Sal. x año/100 km.","REVISAR COEFICIENTE"))</f>
        <v>Coeficiente duplicado por tasa de falla &gt;4 Sal. x año/100 km.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9"/>
    </row>
    <row r="17" spans="1:28" s="8" customFormat="1" ht="14.25" thickBot="1" thickTop="1">
      <c r="A17" s="6"/>
      <c r="B17" s="36"/>
      <c r="C17" s="6"/>
      <c r="D17" s="6"/>
      <c r="E17" s="6"/>
      <c r="F17" s="181" t="s">
        <v>26</v>
      </c>
      <c r="G17" s="477">
        <v>112.722</v>
      </c>
      <c r="H17" s="288"/>
      <c r="I17" s="6"/>
      <c r="J17" s="6"/>
      <c r="K17" s="6"/>
      <c r="L17" s="124"/>
      <c r="M17" s="16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9"/>
    </row>
    <row r="18" spans="1:28" s="8" customFormat="1" ht="7.5" customHeight="1" thickTop="1">
      <c r="A18" s="6"/>
      <c r="B18" s="36"/>
      <c r="C18" s="6"/>
      <c r="D18" s="6"/>
      <c r="E18" s="6"/>
      <c r="F18" s="510"/>
      <c r="G18" s="511"/>
      <c r="H18" s="512"/>
      <c r="I18" s="6"/>
      <c r="J18" s="6"/>
      <c r="K18" s="6"/>
      <c r="L18" s="124"/>
      <c r="M18" s="16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9"/>
    </row>
    <row r="19" spans="1:28" s="8" customFormat="1" ht="7.5" customHeight="1" thickBot="1">
      <c r="A19" s="6"/>
      <c r="B19" s="36"/>
      <c r="C19" s="6"/>
      <c r="D19" s="6"/>
      <c r="E19" s="6"/>
      <c r="F19" s="6"/>
      <c r="G19" s="6"/>
      <c r="H19" s="6"/>
      <c r="I19" s="6"/>
      <c r="J19" s="163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9"/>
    </row>
    <row r="20" spans="1:28" s="8" customFormat="1" ht="33.75" customHeight="1" thickBot="1" thickTop="1">
      <c r="A20" s="6"/>
      <c r="B20" s="36"/>
      <c r="C20" s="187" t="s">
        <v>27</v>
      </c>
      <c r="D20" s="187" t="s">
        <v>98</v>
      </c>
      <c r="E20" s="187" t="s">
        <v>99</v>
      </c>
      <c r="F20" s="188" t="s">
        <v>9</v>
      </c>
      <c r="G20" s="189" t="s">
        <v>28</v>
      </c>
      <c r="H20" s="189" t="s">
        <v>29</v>
      </c>
      <c r="I20" s="301" t="s">
        <v>30</v>
      </c>
      <c r="J20" s="188" t="s">
        <v>31</v>
      </c>
      <c r="K20" s="188" t="s">
        <v>32</v>
      </c>
      <c r="L20" s="189" t="s">
        <v>33</v>
      </c>
      <c r="M20" s="189" t="s">
        <v>34</v>
      </c>
      <c r="N20" s="189" t="s">
        <v>35</v>
      </c>
      <c r="O20" s="189" t="s">
        <v>36</v>
      </c>
      <c r="P20" s="317" t="s">
        <v>37</v>
      </c>
      <c r="Q20" s="321" t="s">
        <v>38</v>
      </c>
      <c r="R20" s="303" t="s">
        <v>39</v>
      </c>
      <c r="S20" s="304"/>
      <c r="T20" s="305"/>
      <c r="U20" s="341" t="s">
        <v>40</v>
      </c>
      <c r="V20" s="342"/>
      <c r="W20" s="343"/>
      <c r="X20" s="357" t="s">
        <v>41</v>
      </c>
      <c r="Y20" s="363" t="s">
        <v>42</v>
      </c>
      <c r="Z20" s="295" t="s">
        <v>43</v>
      </c>
      <c r="AA20" s="191" t="s">
        <v>44</v>
      </c>
      <c r="AB20" s="9"/>
    </row>
    <row r="21" spans="1:28" s="8" customFormat="1" ht="16.5" thickBot="1" thickTop="1">
      <c r="A21" s="6"/>
      <c r="B21" s="36"/>
      <c r="C21" s="164"/>
      <c r="D21" s="164"/>
      <c r="E21" s="164"/>
      <c r="F21" s="166"/>
      <c r="G21" s="165"/>
      <c r="H21" s="165"/>
      <c r="I21" s="310"/>
      <c r="J21" s="165"/>
      <c r="K21" s="166"/>
      <c r="L21" s="166"/>
      <c r="M21" s="166"/>
      <c r="N21" s="165"/>
      <c r="O21" s="165"/>
      <c r="P21" s="318"/>
      <c r="Q21" s="326"/>
      <c r="R21" s="328"/>
      <c r="S21" s="329"/>
      <c r="T21" s="330"/>
      <c r="U21" s="344"/>
      <c r="V21" s="345"/>
      <c r="W21" s="346"/>
      <c r="X21" s="358"/>
      <c r="Y21" s="364"/>
      <c r="Z21" s="167"/>
      <c r="AA21" s="471"/>
      <c r="AB21" s="9"/>
    </row>
    <row r="22" spans="1:28" s="8" customFormat="1" ht="16.5" thickBot="1" thickTop="1">
      <c r="A22" s="6"/>
      <c r="B22" s="36"/>
      <c r="C22" s="480"/>
      <c r="D22" s="480"/>
      <c r="E22" s="480"/>
      <c r="F22" s="480"/>
      <c r="G22" s="480"/>
      <c r="H22" s="480"/>
      <c r="I22" s="311"/>
      <c r="J22" s="480"/>
      <c r="K22" s="42"/>
      <c r="L22" s="185"/>
      <c r="M22" s="185"/>
      <c r="N22" s="480"/>
      <c r="O22" s="480"/>
      <c r="P22" s="318"/>
      <c r="Q22" s="324"/>
      <c r="R22" s="331"/>
      <c r="S22" s="332"/>
      <c r="T22" s="333"/>
      <c r="U22" s="347"/>
      <c r="V22" s="348"/>
      <c r="W22" s="349"/>
      <c r="X22" s="359"/>
      <c r="Y22" s="365"/>
      <c r="Z22" s="184"/>
      <c r="AA22" s="316"/>
      <c r="AB22" s="9"/>
    </row>
    <row r="23" spans="1:28" s="8" customFormat="1" ht="16.5" thickBot="1" thickTop="1">
      <c r="A23" s="6"/>
      <c r="B23" s="36"/>
      <c r="C23" s="42">
        <v>67</v>
      </c>
      <c r="D23" s="42">
        <v>218724</v>
      </c>
      <c r="E23" s="42">
        <v>2868</v>
      </c>
      <c r="F23" s="504" t="s">
        <v>144</v>
      </c>
      <c r="G23" s="505">
        <v>132</v>
      </c>
      <c r="H23" s="504">
        <v>20.8</v>
      </c>
      <c r="I23" s="312">
        <f aca="true" t="shared" si="0" ref="I23:I42">IF(H23&gt;25,H23,25)*IF(G23=220,$G$15,IF(G23=132,$G$16,$G$17))/100</f>
        <v>28.1805</v>
      </c>
      <c r="J23" s="44">
        <v>40229.27222222222</v>
      </c>
      <c r="K23" s="44">
        <v>40229.53333333333</v>
      </c>
      <c r="L23" s="10">
        <f aca="true" t="shared" si="1" ref="L23:L42">IF(F23="","",(K23-J23)*24)</f>
        <v>6.266666666662786</v>
      </c>
      <c r="M23" s="11">
        <f aca="true" t="shared" si="2" ref="M23:M42">IF(F23="","",ROUND((K23-J23)*24*60,0))</f>
        <v>376</v>
      </c>
      <c r="N23" s="45" t="s">
        <v>104</v>
      </c>
      <c r="O23" s="46" t="str">
        <f aca="true" t="shared" si="3" ref="O23:O42">IF(F23="","","--")</f>
        <v>--</v>
      </c>
      <c r="P23" s="319">
        <f aca="true" t="shared" si="4" ref="P23:P42">IF(N23="P",ROUND(M23/60,2)*I23*$L$16*0.01,"--")</f>
        <v>106.01504099999998</v>
      </c>
      <c r="Q23" s="325" t="str">
        <f aca="true" t="shared" si="5" ref="Q23:Q42">IF(N23="RP",ROUND(M23/60,2)*I23*$L$16*0.01*O23/100,"--")</f>
        <v>--</v>
      </c>
      <c r="R23" s="334" t="str">
        <f aca="true" t="shared" si="6" ref="R23:R42">IF(N23="F",I23*$L$16,"--")</f>
        <v>--</v>
      </c>
      <c r="S23" s="335" t="str">
        <f aca="true" t="shared" si="7" ref="S23:S42">IF(AND(M23&gt;10,N23="F"),I23*$L$16*IF(M23&gt;180,3,ROUND(M23/60,2)),"--")</f>
        <v>--</v>
      </c>
      <c r="T23" s="336" t="str">
        <f aca="true" t="shared" si="8" ref="T23:T42">IF(AND(N23="F",M23&gt;180),(ROUND(M23/60,2)-3)*I23*$L$16*0.1,"--")</f>
        <v>--</v>
      </c>
      <c r="U23" s="350" t="str">
        <f aca="true" t="shared" si="9" ref="U23:U42">IF(N23="R",I23*$L$16*O23/100,"--")</f>
        <v>--</v>
      </c>
      <c r="V23" s="351" t="str">
        <f aca="true" t="shared" si="10" ref="V23:V42">IF(AND(M23&gt;10,N23="R"),I23*$L$16*O23/100*IF(M23&gt;180,3,ROUND(M23/60,2)),"--")</f>
        <v>--</v>
      </c>
      <c r="W23" s="352" t="str">
        <f aca="true" t="shared" si="11" ref="W23:W42">IF(AND(N23="R",M23&gt;180),(ROUND(M23/60,2)-3)*I23*$L$16*0.1*O23/100,"--")</f>
        <v>--</v>
      </c>
      <c r="X23" s="360" t="str">
        <f aca="true" t="shared" si="12" ref="X23:X42">IF(N23="RF",ROUND(M23/60,2)*I23*$L$16*0.1,"--")</f>
        <v>--</v>
      </c>
      <c r="Y23" s="366" t="str">
        <f aca="true" t="shared" si="13" ref="Y23:Y42">IF(N23="RR",ROUND(M23/60,2)*I23*$L$16*0.1*O23/100,"--")</f>
        <v>--</v>
      </c>
      <c r="Z23" s="302" t="str">
        <f aca="true" t="shared" si="14" ref="Z23:Z42">IF(F23="","","SI")</f>
        <v>SI</v>
      </c>
      <c r="AA23" s="47">
        <f aca="true" t="shared" si="15" ref="AA23:AA42">IF(F23="","",SUM(P23:Y23)*IF(Z23="SI",1,2))</f>
        <v>106.01504099999998</v>
      </c>
      <c r="AB23" s="9"/>
    </row>
    <row r="24" spans="1:28" s="8" customFormat="1" ht="16.5" thickBot="1" thickTop="1">
      <c r="A24" s="6"/>
      <c r="B24" s="36"/>
      <c r="C24" s="42"/>
      <c r="D24" s="42"/>
      <c r="E24" s="42"/>
      <c r="F24" s="504"/>
      <c r="G24" s="505"/>
      <c r="H24" s="504"/>
      <c r="I24" s="312">
        <f t="shared" si="0"/>
        <v>28.1805</v>
      </c>
      <c r="J24" s="44"/>
      <c r="K24" s="44"/>
      <c r="L24" s="10">
        <f t="shared" si="1"/>
      </c>
      <c r="M24" s="11">
        <f t="shared" si="2"/>
      </c>
      <c r="N24" s="45"/>
      <c r="O24" s="46">
        <f t="shared" si="3"/>
      </c>
      <c r="P24" s="319" t="str">
        <f t="shared" si="4"/>
        <v>--</v>
      </c>
      <c r="Q24" s="325" t="str">
        <f t="shared" si="5"/>
        <v>--</v>
      </c>
      <c r="R24" s="334" t="str">
        <f t="shared" si="6"/>
        <v>--</v>
      </c>
      <c r="S24" s="335" t="str">
        <f t="shared" si="7"/>
        <v>--</v>
      </c>
      <c r="T24" s="336" t="str">
        <f t="shared" si="8"/>
        <v>--</v>
      </c>
      <c r="U24" s="350" t="str">
        <f t="shared" si="9"/>
        <v>--</v>
      </c>
      <c r="V24" s="351" t="str">
        <f t="shared" si="10"/>
        <v>--</v>
      </c>
      <c r="W24" s="352" t="str">
        <f t="shared" si="11"/>
        <v>--</v>
      </c>
      <c r="X24" s="360" t="str">
        <f t="shared" si="12"/>
        <v>--</v>
      </c>
      <c r="Y24" s="366" t="str">
        <f t="shared" si="13"/>
        <v>--</v>
      </c>
      <c r="Z24" s="302">
        <f t="shared" si="14"/>
      </c>
      <c r="AA24" s="47">
        <f t="shared" si="15"/>
      </c>
      <c r="AB24" s="9"/>
    </row>
    <row r="25" spans="1:29" s="8" customFormat="1" ht="16.5" thickBot="1" thickTop="1">
      <c r="A25" s="6"/>
      <c r="B25" s="36"/>
      <c r="C25" s="42"/>
      <c r="D25" s="42"/>
      <c r="E25" s="42"/>
      <c r="F25" s="502"/>
      <c r="G25" s="503"/>
      <c r="H25" s="502"/>
      <c r="I25" s="312">
        <f t="shared" si="0"/>
        <v>28.1805</v>
      </c>
      <c r="J25" s="44"/>
      <c r="K25" s="44"/>
      <c r="L25" s="10">
        <f t="shared" si="1"/>
      </c>
      <c r="M25" s="11">
        <f t="shared" si="2"/>
      </c>
      <c r="N25" s="45"/>
      <c r="O25" s="46">
        <f t="shared" si="3"/>
      </c>
      <c r="P25" s="319" t="str">
        <f t="shared" si="4"/>
        <v>--</v>
      </c>
      <c r="Q25" s="325" t="str">
        <f t="shared" si="5"/>
        <v>--</v>
      </c>
      <c r="R25" s="334" t="str">
        <f t="shared" si="6"/>
        <v>--</v>
      </c>
      <c r="S25" s="335" t="str">
        <f t="shared" si="7"/>
        <v>--</v>
      </c>
      <c r="T25" s="336" t="str">
        <f t="shared" si="8"/>
        <v>--</v>
      </c>
      <c r="U25" s="350" t="str">
        <f t="shared" si="9"/>
        <v>--</v>
      </c>
      <c r="V25" s="351" t="str">
        <f t="shared" si="10"/>
        <v>--</v>
      </c>
      <c r="W25" s="352" t="str">
        <f t="shared" si="11"/>
        <v>--</v>
      </c>
      <c r="X25" s="360" t="str">
        <f t="shared" si="12"/>
        <v>--</v>
      </c>
      <c r="Y25" s="366" t="str">
        <f t="shared" si="13"/>
        <v>--</v>
      </c>
      <c r="Z25" s="302">
        <f t="shared" si="14"/>
      </c>
      <c r="AA25" s="47">
        <f t="shared" si="15"/>
      </c>
      <c r="AB25" s="9"/>
      <c r="AC25" s="506"/>
    </row>
    <row r="26" spans="1:28" s="8" customFormat="1" ht="16.5" thickBot="1" thickTop="1">
      <c r="A26" s="6"/>
      <c r="B26" s="36"/>
      <c r="C26" s="42"/>
      <c r="D26" s="42"/>
      <c r="E26" s="42"/>
      <c r="F26" s="43"/>
      <c r="G26" s="43"/>
      <c r="H26" s="314"/>
      <c r="I26" s="312">
        <f t="shared" si="0"/>
        <v>28.1805</v>
      </c>
      <c r="J26" s="44"/>
      <c r="K26" s="44"/>
      <c r="L26" s="10">
        <f t="shared" si="1"/>
      </c>
      <c r="M26" s="11">
        <f t="shared" si="2"/>
      </c>
      <c r="N26" s="45"/>
      <c r="O26" s="46">
        <f t="shared" si="3"/>
      </c>
      <c r="P26" s="319" t="str">
        <f t="shared" si="4"/>
        <v>--</v>
      </c>
      <c r="Q26" s="325" t="str">
        <f t="shared" si="5"/>
        <v>--</v>
      </c>
      <c r="R26" s="334" t="str">
        <f t="shared" si="6"/>
        <v>--</v>
      </c>
      <c r="S26" s="335" t="str">
        <f t="shared" si="7"/>
        <v>--</v>
      </c>
      <c r="T26" s="336" t="str">
        <f t="shared" si="8"/>
        <v>--</v>
      </c>
      <c r="U26" s="350" t="str">
        <f t="shared" si="9"/>
        <v>--</v>
      </c>
      <c r="V26" s="351" t="str">
        <f t="shared" si="10"/>
        <v>--</v>
      </c>
      <c r="W26" s="352" t="str">
        <f t="shared" si="11"/>
        <v>--</v>
      </c>
      <c r="X26" s="360" t="str">
        <f t="shared" si="12"/>
        <v>--</v>
      </c>
      <c r="Y26" s="366" t="str">
        <f t="shared" si="13"/>
        <v>--</v>
      </c>
      <c r="Z26" s="302">
        <f t="shared" si="14"/>
      </c>
      <c r="AA26" s="47">
        <f t="shared" si="15"/>
      </c>
      <c r="AB26" s="9"/>
    </row>
    <row r="27" spans="1:28" s="8" customFormat="1" ht="16.5" thickBot="1" thickTop="1">
      <c r="A27" s="6"/>
      <c r="B27" s="36"/>
      <c r="C27" s="42"/>
      <c r="D27" s="42"/>
      <c r="E27" s="42"/>
      <c r="F27" s="43"/>
      <c r="G27" s="43"/>
      <c r="H27" s="314"/>
      <c r="I27" s="312">
        <f t="shared" si="0"/>
        <v>28.1805</v>
      </c>
      <c r="J27" s="44"/>
      <c r="K27" s="44"/>
      <c r="L27" s="10">
        <f t="shared" si="1"/>
      </c>
      <c r="M27" s="11">
        <f t="shared" si="2"/>
      </c>
      <c r="N27" s="45"/>
      <c r="O27" s="46">
        <f t="shared" si="3"/>
      </c>
      <c r="P27" s="319" t="str">
        <f t="shared" si="4"/>
        <v>--</v>
      </c>
      <c r="Q27" s="325" t="str">
        <f t="shared" si="5"/>
        <v>--</v>
      </c>
      <c r="R27" s="334" t="str">
        <f t="shared" si="6"/>
        <v>--</v>
      </c>
      <c r="S27" s="335" t="str">
        <f t="shared" si="7"/>
        <v>--</v>
      </c>
      <c r="T27" s="336" t="str">
        <f t="shared" si="8"/>
        <v>--</v>
      </c>
      <c r="U27" s="350" t="str">
        <f t="shared" si="9"/>
        <v>--</v>
      </c>
      <c r="V27" s="351" t="str">
        <f t="shared" si="10"/>
        <v>--</v>
      </c>
      <c r="W27" s="352" t="str">
        <f t="shared" si="11"/>
        <v>--</v>
      </c>
      <c r="X27" s="360" t="str">
        <f t="shared" si="12"/>
        <v>--</v>
      </c>
      <c r="Y27" s="366" t="str">
        <f t="shared" si="13"/>
        <v>--</v>
      </c>
      <c r="Z27" s="302">
        <f t="shared" si="14"/>
      </c>
      <c r="AA27" s="47">
        <f t="shared" si="15"/>
      </c>
      <c r="AB27" s="9"/>
    </row>
    <row r="28" spans="1:28" s="8" customFormat="1" ht="16.5" thickBot="1" thickTop="1">
      <c r="A28" s="6"/>
      <c r="B28" s="36"/>
      <c r="C28" s="42"/>
      <c r="D28" s="42"/>
      <c r="E28" s="42"/>
      <c r="F28" s="43"/>
      <c r="G28" s="43"/>
      <c r="H28" s="314"/>
      <c r="I28" s="312">
        <f t="shared" si="0"/>
        <v>28.1805</v>
      </c>
      <c r="J28" s="44"/>
      <c r="K28" s="44"/>
      <c r="L28" s="10">
        <f t="shared" si="1"/>
      </c>
      <c r="M28" s="11">
        <f t="shared" si="2"/>
      </c>
      <c r="N28" s="45"/>
      <c r="O28" s="46">
        <f t="shared" si="3"/>
      </c>
      <c r="P28" s="319" t="str">
        <f t="shared" si="4"/>
        <v>--</v>
      </c>
      <c r="Q28" s="325" t="str">
        <f t="shared" si="5"/>
        <v>--</v>
      </c>
      <c r="R28" s="334" t="str">
        <f t="shared" si="6"/>
        <v>--</v>
      </c>
      <c r="S28" s="335" t="str">
        <f t="shared" si="7"/>
        <v>--</v>
      </c>
      <c r="T28" s="336" t="str">
        <f t="shared" si="8"/>
        <v>--</v>
      </c>
      <c r="U28" s="350" t="str">
        <f t="shared" si="9"/>
        <v>--</v>
      </c>
      <c r="V28" s="351" t="str">
        <f t="shared" si="10"/>
        <v>--</v>
      </c>
      <c r="W28" s="352" t="str">
        <f t="shared" si="11"/>
        <v>--</v>
      </c>
      <c r="X28" s="360" t="str">
        <f t="shared" si="12"/>
        <v>--</v>
      </c>
      <c r="Y28" s="366" t="str">
        <f t="shared" si="13"/>
        <v>--</v>
      </c>
      <c r="Z28" s="302">
        <f t="shared" si="14"/>
      </c>
      <c r="AA28" s="47">
        <f t="shared" si="15"/>
      </c>
      <c r="AB28" s="9"/>
    </row>
    <row r="29" spans="1:28" s="8" customFormat="1" ht="16.5" thickBot="1" thickTop="1">
      <c r="A29" s="6"/>
      <c r="B29" s="36"/>
      <c r="C29" s="42"/>
      <c r="D29" s="42"/>
      <c r="E29" s="42"/>
      <c r="F29" s="43"/>
      <c r="G29" s="43"/>
      <c r="H29" s="314"/>
      <c r="I29" s="312">
        <f t="shared" si="0"/>
        <v>28.1805</v>
      </c>
      <c r="J29" s="44"/>
      <c r="K29" s="44"/>
      <c r="L29" s="10">
        <f t="shared" si="1"/>
      </c>
      <c r="M29" s="11">
        <f t="shared" si="2"/>
      </c>
      <c r="N29" s="45"/>
      <c r="O29" s="46">
        <f t="shared" si="3"/>
      </c>
      <c r="P29" s="319" t="str">
        <f t="shared" si="4"/>
        <v>--</v>
      </c>
      <c r="Q29" s="325" t="str">
        <f t="shared" si="5"/>
        <v>--</v>
      </c>
      <c r="R29" s="334" t="str">
        <f t="shared" si="6"/>
        <v>--</v>
      </c>
      <c r="S29" s="335" t="str">
        <f t="shared" si="7"/>
        <v>--</v>
      </c>
      <c r="T29" s="336" t="str">
        <f t="shared" si="8"/>
        <v>--</v>
      </c>
      <c r="U29" s="350" t="str">
        <f t="shared" si="9"/>
        <v>--</v>
      </c>
      <c r="V29" s="351" t="str">
        <f t="shared" si="10"/>
        <v>--</v>
      </c>
      <c r="W29" s="352" t="str">
        <f t="shared" si="11"/>
        <v>--</v>
      </c>
      <c r="X29" s="360" t="str">
        <f t="shared" si="12"/>
        <v>--</v>
      </c>
      <c r="Y29" s="366" t="str">
        <f t="shared" si="13"/>
        <v>--</v>
      </c>
      <c r="Z29" s="302">
        <f t="shared" si="14"/>
      </c>
      <c r="AA29" s="47">
        <f t="shared" si="15"/>
      </c>
      <c r="AB29" s="9"/>
    </row>
    <row r="30" spans="1:28" s="8" customFormat="1" ht="16.5" thickBot="1" thickTop="1">
      <c r="A30" s="6"/>
      <c r="B30" s="36"/>
      <c r="C30" s="42"/>
      <c r="D30" s="42"/>
      <c r="E30" s="42"/>
      <c r="F30" s="43"/>
      <c r="G30" s="43"/>
      <c r="H30" s="314"/>
      <c r="I30" s="312">
        <f t="shared" si="0"/>
        <v>28.1805</v>
      </c>
      <c r="J30" s="44"/>
      <c r="K30" s="44"/>
      <c r="L30" s="10">
        <f t="shared" si="1"/>
      </c>
      <c r="M30" s="11">
        <f t="shared" si="2"/>
      </c>
      <c r="N30" s="45"/>
      <c r="O30" s="46">
        <f t="shared" si="3"/>
      </c>
      <c r="P30" s="319" t="str">
        <f t="shared" si="4"/>
        <v>--</v>
      </c>
      <c r="Q30" s="325" t="str">
        <f t="shared" si="5"/>
        <v>--</v>
      </c>
      <c r="R30" s="334" t="str">
        <f t="shared" si="6"/>
        <v>--</v>
      </c>
      <c r="S30" s="335" t="str">
        <f t="shared" si="7"/>
        <v>--</v>
      </c>
      <c r="T30" s="336" t="str">
        <f t="shared" si="8"/>
        <v>--</v>
      </c>
      <c r="U30" s="350" t="str">
        <f t="shared" si="9"/>
        <v>--</v>
      </c>
      <c r="V30" s="351" t="str">
        <f t="shared" si="10"/>
        <v>--</v>
      </c>
      <c r="W30" s="352" t="str">
        <f t="shared" si="11"/>
        <v>--</v>
      </c>
      <c r="X30" s="360" t="str">
        <f t="shared" si="12"/>
        <v>--</v>
      </c>
      <c r="Y30" s="366" t="str">
        <f t="shared" si="13"/>
        <v>--</v>
      </c>
      <c r="Z30" s="302">
        <f t="shared" si="14"/>
      </c>
      <c r="AA30" s="47">
        <f t="shared" si="15"/>
      </c>
      <c r="AB30" s="9"/>
    </row>
    <row r="31" spans="1:28" s="8" customFormat="1" ht="16.5" thickBot="1" thickTop="1">
      <c r="A31" s="6"/>
      <c r="B31" s="36"/>
      <c r="C31" s="42"/>
      <c r="D31" s="42"/>
      <c r="E31" s="42"/>
      <c r="F31" s="43"/>
      <c r="G31" s="43"/>
      <c r="H31" s="314"/>
      <c r="I31" s="312">
        <f t="shared" si="0"/>
        <v>28.1805</v>
      </c>
      <c r="J31" s="44"/>
      <c r="K31" s="44"/>
      <c r="L31" s="10">
        <f t="shared" si="1"/>
      </c>
      <c r="M31" s="11">
        <f t="shared" si="2"/>
      </c>
      <c r="N31" s="45"/>
      <c r="O31" s="46">
        <f t="shared" si="3"/>
      </c>
      <c r="P31" s="319" t="str">
        <f t="shared" si="4"/>
        <v>--</v>
      </c>
      <c r="Q31" s="325" t="str">
        <f t="shared" si="5"/>
        <v>--</v>
      </c>
      <c r="R31" s="334" t="str">
        <f t="shared" si="6"/>
        <v>--</v>
      </c>
      <c r="S31" s="335" t="str">
        <f t="shared" si="7"/>
        <v>--</v>
      </c>
      <c r="T31" s="336" t="str">
        <f t="shared" si="8"/>
        <v>--</v>
      </c>
      <c r="U31" s="350" t="str">
        <f t="shared" si="9"/>
        <v>--</v>
      </c>
      <c r="V31" s="351" t="str">
        <f t="shared" si="10"/>
        <v>--</v>
      </c>
      <c r="W31" s="352" t="str">
        <f t="shared" si="11"/>
        <v>--</v>
      </c>
      <c r="X31" s="360" t="str">
        <f t="shared" si="12"/>
        <v>--</v>
      </c>
      <c r="Y31" s="366" t="str">
        <f t="shared" si="13"/>
        <v>--</v>
      </c>
      <c r="Z31" s="302">
        <f t="shared" si="14"/>
      </c>
      <c r="AA31" s="47">
        <f t="shared" si="15"/>
      </c>
      <c r="AB31" s="9"/>
    </row>
    <row r="32" spans="1:28" s="8" customFormat="1" ht="16.5" thickBot="1" thickTop="1">
      <c r="A32" s="6"/>
      <c r="B32" s="36"/>
      <c r="C32" s="42"/>
      <c r="D32" s="42"/>
      <c r="E32" s="42"/>
      <c r="F32" s="43"/>
      <c r="G32" s="43"/>
      <c r="H32" s="314"/>
      <c r="I32" s="312">
        <f t="shared" si="0"/>
        <v>28.1805</v>
      </c>
      <c r="J32" s="44"/>
      <c r="K32" s="44"/>
      <c r="L32" s="10">
        <f t="shared" si="1"/>
      </c>
      <c r="M32" s="11">
        <f t="shared" si="2"/>
      </c>
      <c r="N32" s="45"/>
      <c r="O32" s="46">
        <f t="shared" si="3"/>
      </c>
      <c r="P32" s="319" t="str">
        <f t="shared" si="4"/>
        <v>--</v>
      </c>
      <c r="Q32" s="325" t="str">
        <f t="shared" si="5"/>
        <v>--</v>
      </c>
      <c r="R32" s="334" t="str">
        <f t="shared" si="6"/>
        <v>--</v>
      </c>
      <c r="S32" s="335" t="str">
        <f t="shared" si="7"/>
        <v>--</v>
      </c>
      <c r="T32" s="336" t="str">
        <f t="shared" si="8"/>
        <v>--</v>
      </c>
      <c r="U32" s="350" t="str">
        <f t="shared" si="9"/>
        <v>--</v>
      </c>
      <c r="V32" s="351" t="str">
        <f t="shared" si="10"/>
        <v>--</v>
      </c>
      <c r="W32" s="352" t="str">
        <f t="shared" si="11"/>
        <v>--</v>
      </c>
      <c r="X32" s="360" t="str">
        <f t="shared" si="12"/>
        <v>--</v>
      </c>
      <c r="Y32" s="366" t="str">
        <f t="shared" si="13"/>
        <v>--</v>
      </c>
      <c r="Z32" s="302">
        <f t="shared" si="14"/>
      </c>
      <c r="AA32" s="47">
        <f t="shared" si="15"/>
      </c>
      <c r="AB32" s="9"/>
    </row>
    <row r="33" spans="1:28" s="8" customFormat="1" ht="16.5" thickBot="1" thickTop="1">
      <c r="A33" s="6"/>
      <c r="B33" s="36"/>
      <c r="C33" s="42"/>
      <c r="D33" s="42"/>
      <c r="E33" s="42"/>
      <c r="F33" s="43"/>
      <c r="G33" s="43"/>
      <c r="H33" s="314"/>
      <c r="I33" s="312">
        <f t="shared" si="0"/>
        <v>28.1805</v>
      </c>
      <c r="J33" s="44"/>
      <c r="K33" s="44"/>
      <c r="L33" s="10">
        <f t="shared" si="1"/>
      </c>
      <c r="M33" s="11">
        <f t="shared" si="2"/>
      </c>
      <c r="N33" s="45"/>
      <c r="O33" s="46">
        <f t="shared" si="3"/>
      </c>
      <c r="P33" s="319" t="str">
        <f t="shared" si="4"/>
        <v>--</v>
      </c>
      <c r="Q33" s="325" t="str">
        <f t="shared" si="5"/>
        <v>--</v>
      </c>
      <c r="R33" s="334" t="str">
        <f t="shared" si="6"/>
        <v>--</v>
      </c>
      <c r="S33" s="335" t="str">
        <f t="shared" si="7"/>
        <v>--</v>
      </c>
      <c r="T33" s="336" t="str">
        <f t="shared" si="8"/>
        <v>--</v>
      </c>
      <c r="U33" s="350" t="str">
        <f t="shared" si="9"/>
        <v>--</v>
      </c>
      <c r="V33" s="351" t="str">
        <f t="shared" si="10"/>
        <v>--</v>
      </c>
      <c r="W33" s="352" t="str">
        <f t="shared" si="11"/>
        <v>--</v>
      </c>
      <c r="X33" s="360" t="str">
        <f t="shared" si="12"/>
        <v>--</v>
      </c>
      <c r="Y33" s="366" t="str">
        <f t="shared" si="13"/>
        <v>--</v>
      </c>
      <c r="Z33" s="302">
        <f t="shared" si="14"/>
      </c>
      <c r="AA33" s="47">
        <f t="shared" si="15"/>
      </c>
      <c r="AB33" s="9"/>
    </row>
    <row r="34" spans="1:28" s="8" customFormat="1" ht="16.5" thickBot="1" thickTop="1">
      <c r="A34" s="6"/>
      <c r="B34" s="36"/>
      <c r="C34" s="42"/>
      <c r="D34" s="42"/>
      <c r="E34" s="42"/>
      <c r="F34" s="43"/>
      <c r="G34" s="43"/>
      <c r="H34" s="314"/>
      <c r="I34" s="312">
        <f t="shared" si="0"/>
        <v>28.1805</v>
      </c>
      <c r="J34" s="44"/>
      <c r="K34" s="44"/>
      <c r="L34" s="10">
        <f t="shared" si="1"/>
      </c>
      <c r="M34" s="11">
        <f t="shared" si="2"/>
      </c>
      <c r="N34" s="45"/>
      <c r="O34" s="46">
        <f t="shared" si="3"/>
      </c>
      <c r="P34" s="319" t="str">
        <f t="shared" si="4"/>
        <v>--</v>
      </c>
      <c r="Q34" s="325" t="str">
        <f t="shared" si="5"/>
        <v>--</v>
      </c>
      <c r="R34" s="334" t="str">
        <f t="shared" si="6"/>
        <v>--</v>
      </c>
      <c r="S34" s="335" t="str">
        <f t="shared" si="7"/>
        <v>--</v>
      </c>
      <c r="T34" s="336" t="str">
        <f t="shared" si="8"/>
        <v>--</v>
      </c>
      <c r="U34" s="350" t="str">
        <f t="shared" si="9"/>
        <v>--</v>
      </c>
      <c r="V34" s="351" t="str">
        <f t="shared" si="10"/>
        <v>--</v>
      </c>
      <c r="W34" s="352" t="str">
        <f t="shared" si="11"/>
        <v>--</v>
      </c>
      <c r="X34" s="360" t="str">
        <f t="shared" si="12"/>
        <v>--</v>
      </c>
      <c r="Y34" s="366" t="str">
        <f t="shared" si="13"/>
        <v>--</v>
      </c>
      <c r="Z34" s="302">
        <f t="shared" si="14"/>
      </c>
      <c r="AA34" s="47">
        <f t="shared" si="15"/>
      </c>
      <c r="AB34" s="9"/>
    </row>
    <row r="35" spans="1:28" s="8" customFormat="1" ht="16.5" thickBot="1" thickTop="1">
      <c r="A35" s="6"/>
      <c r="B35" s="36"/>
      <c r="C35" s="42"/>
      <c r="D35" s="42"/>
      <c r="E35" s="42"/>
      <c r="F35" s="43"/>
      <c r="G35" s="43"/>
      <c r="H35" s="314"/>
      <c r="I35" s="312">
        <f t="shared" si="0"/>
        <v>28.1805</v>
      </c>
      <c r="J35" s="44"/>
      <c r="K35" s="44"/>
      <c r="L35" s="10">
        <f t="shared" si="1"/>
      </c>
      <c r="M35" s="11">
        <f t="shared" si="2"/>
      </c>
      <c r="N35" s="45"/>
      <c r="O35" s="46">
        <f t="shared" si="3"/>
      </c>
      <c r="P35" s="319" t="str">
        <f t="shared" si="4"/>
        <v>--</v>
      </c>
      <c r="Q35" s="325" t="str">
        <f t="shared" si="5"/>
        <v>--</v>
      </c>
      <c r="R35" s="334" t="str">
        <f t="shared" si="6"/>
        <v>--</v>
      </c>
      <c r="S35" s="335" t="str">
        <f t="shared" si="7"/>
        <v>--</v>
      </c>
      <c r="T35" s="336" t="str">
        <f t="shared" si="8"/>
        <v>--</v>
      </c>
      <c r="U35" s="350" t="str">
        <f t="shared" si="9"/>
        <v>--</v>
      </c>
      <c r="V35" s="351" t="str">
        <f t="shared" si="10"/>
        <v>--</v>
      </c>
      <c r="W35" s="352" t="str">
        <f t="shared" si="11"/>
        <v>--</v>
      </c>
      <c r="X35" s="360" t="str">
        <f t="shared" si="12"/>
        <v>--</v>
      </c>
      <c r="Y35" s="366" t="str">
        <f t="shared" si="13"/>
        <v>--</v>
      </c>
      <c r="Z35" s="302">
        <f t="shared" si="14"/>
      </c>
      <c r="AA35" s="47">
        <f t="shared" si="15"/>
      </c>
      <c r="AB35" s="9"/>
    </row>
    <row r="36" spans="1:28" s="8" customFormat="1" ht="16.5" thickBot="1" thickTop="1">
      <c r="A36" s="6"/>
      <c r="B36" s="36"/>
      <c r="C36" s="42"/>
      <c r="D36" s="42"/>
      <c r="E36" s="42"/>
      <c r="F36" s="43"/>
      <c r="G36" s="43"/>
      <c r="H36" s="314"/>
      <c r="I36" s="312">
        <f t="shared" si="0"/>
        <v>28.1805</v>
      </c>
      <c r="J36" s="44"/>
      <c r="K36" s="44"/>
      <c r="L36" s="10">
        <f t="shared" si="1"/>
      </c>
      <c r="M36" s="11">
        <f t="shared" si="2"/>
      </c>
      <c r="N36" s="45"/>
      <c r="O36" s="46">
        <f t="shared" si="3"/>
      </c>
      <c r="P36" s="319" t="str">
        <f t="shared" si="4"/>
        <v>--</v>
      </c>
      <c r="Q36" s="325" t="str">
        <f t="shared" si="5"/>
        <v>--</v>
      </c>
      <c r="R36" s="334" t="str">
        <f t="shared" si="6"/>
        <v>--</v>
      </c>
      <c r="S36" s="335" t="str">
        <f t="shared" si="7"/>
        <v>--</v>
      </c>
      <c r="T36" s="336" t="str">
        <f t="shared" si="8"/>
        <v>--</v>
      </c>
      <c r="U36" s="350" t="str">
        <f t="shared" si="9"/>
        <v>--</v>
      </c>
      <c r="V36" s="351" t="str">
        <f t="shared" si="10"/>
        <v>--</v>
      </c>
      <c r="W36" s="352" t="str">
        <f t="shared" si="11"/>
        <v>--</v>
      </c>
      <c r="X36" s="360" t="str">
        <f t="shared" si="12"/>
        <v>--</v>
      </c>
      <c r="Y36" s="366" t="str">
        <f t="shared" si="13"/>
        <v>--</v>
      </c>
      <c r="Z36" s="302">
        <f t="shared" si="14"/>
      </c>
      <c r="AA36" s="47">
        <f t="shared" si="15"/>
      </c>
      <c r="AB36" s="9"/>
    </row>
    <row r="37" spans="1:28" s="8" customFormat="1" ht="16.5" thickBot="1" thickTop="1">
      <c r="A37" s="6"/>
      <c r="B37" s="168"/>
      <c r="C37" s="42"/>
      <c r="D37" s="42"/>
      <c r="E37" s="42"/>
      <c r="F37" s="43"/>
      <c r="G37" s="43"/>
      <c r="H37" s="314"/>
      <c r="I37" s="312">
        <f t="shared" si="0"/>
        <v>28.1805</v>
      </c>
      <c r="J37" s="44"/>
      <c r="K37" s="44"/>
      <c r="L37" s="10">
        <f t="shared" si="1"/>
      </c>
      <c r="M37" s="11">
        <f t="shared" si="2"/>
      </c>
      <c r="N37" s="45"/>
      <c r="O37" s="46">
        <f t="shared" si="3"/>
      </c>
      <c r="P37" s="319" t="str">
        <f t="shared" si="4"/>
        <v>--</v>
      </c>
      <c r="Q37" s="325" t="str">
        <f t="shared" si="5"/>
        <v>--</v>
      </c>
      <c r="R37" s="334" t="str">
        <f t="shared" si="6"/>
        <v>--</v>
      </c>
      <c r="S37" s="335" t="str">
        <f t="shared" si="7"/>
        <v>--</v>
      </c>
      <c r="T37" s="336" t="str">
        <f t="shared" si="8"/>
        <v>--</v>
      </c>
      <c r="U37" s="350" t="str">
        <f t="shared" si="9"/>
        <v>--</v>
      </c>
      <c r="V37" s="351" t="str">
        <f t="shared" si="10"/>
        <v>--</v>
      </c>
      <c r="W37" s="352" t="str">
        <f t="shared" si="11"/>
        <v>--</v>
      </c>
      <c r="X37" s="360" t="str">
        <f t="shared" si="12"/>
        <v>--</v>
      </c>
      <c r="Y37" s="366" t="str">
        <f t="shared" si="13"/>
        <v>--</v>
      </c>
      <c r="Z37" s="302">
        <f t="shared" si="14"/>
      </c>
      <c r="AA37" s="47">
        <f t="shared" si="15"/>
      </c>
      <c r="AB37" s="9"/>
    </row>
    <row r="38" spans="1:28" s="8" customFormat="1" ht="16.5" thickBot="1" thickTop="1">
      <c r="A38" s="6"/>
      <c r="B38" s="36"/>
      <c r="C38" s="42"/>
      <c r="D38" s="42"/>
      <c r="E38" s="42"/>
      <c r="F38" s="43"/>
      <c r="G38" s="43"/>
      <c r="H38" s="314"/>
      <c r="I38" s="312">
        <f t="shared" si="0"/>
        <v>28.1805</v>
      </c>
      <c r="J38" s="44"/>
      <c r="K38" s="44"/>
      <c r="L38" s="10">
        <f t="shared" si="1"/>
      </c>
      <c r="M38" s="11">
        <f t="shared" si="2"/>
      </c>
      <c r="N38" s="45"/>
      <c r="O38" s="46">
        <f t="shared" si="3"/>
      </c>
      <c r="P38" s="319" t="str">
        <f t="shared" si="4"/>
        <v>--</v>
      </c>
      <c r="Q38" s="325" t="str">
        <f t="shared" si="5"/>
        <v>--</v>
      </c>
      <c r="R38" s="334" t="str">
        <f t="shared" si="6"/>
        <v>--</v>
      </c>
      <c r="S38" s="335" t="str">
        <f t="shared" si="7"/>
        <v>--</v>
      </c>
      <c r="T38" s="336" t="str">
        <f t="shared" si="8"/>
        <v>--</v>
      </c>
      <c r="U38" s="350" t="str">
        <f t="shared" si="9"/>
        <v>--</v>
      </c>
      <c r="V38" s="351" t="str">
        <f t="shared" si="10"/>
        <v>--</v>
      </c>
      <c r="W38" s="352" t="str">
        <f t="shared" si="11"/>
        <v>--</v>
      </c>
      <c r="X38" s="360" t="str">
        <f t="shared" si="12"/>
        <v>--</v>
      </c>
      <c r="Y38" s="366" t="str">
        <f t="shared" si="13"/>
        <v>--</v>
      </c>
      <c r="Z38" s="302">
        <f t="shared" si="14"/>
      </c>
      <c r="AA38" s="47">
        <f t="shared" si="15"/>
      </c>
      <c r="AB38" s="9"/>
    </row>
    <row r="39" spans="1:28" s="8" customFormat="1" ht="16.5" thickBot="1" thickTop="1">
      <c r="A39" s="6"/>
      <c r="B39" s="36"/>
      <c r="C39" s="42"/>
      <c r="D39" s="42"/>
      <c r="E39" s="42"/>
      <c r="F39" s="43"/>
      <c r="G39" s="43"/>
      <c r="H39" s="314"/>
      <c r="I39" s="312">
        <f t="shared" si="0"/>
        <v>28.1805</v>
      </c>
      <c r="J39" s="44"/>
      <c r="K39" s="44"/>
      <c r="L39" s="10">
        <f t="shared" si="1"/>
      </c>
      <c r="M39" s="11">
        <f t="shared" si="2"/>
      </c>
      <c r="N39" s="45"/>
      <c r="O39" s="46">
        <f t="shared" si="3"/>
      </c>
      <c r="P39" s="319" t="str">
        <f t="shared" si="4"/>
        <v>--</v>
      </c>
      <c r="Q39" s="325" t="str">
        <f t="shared" si="5"/>
        <v>--</v>
      </c>
      <c r="R39" s="334" t="str">
        <f t="shared" si="6"/>
        <v>--</v>
      </c>
      <c r="S39" s="335" t="str">
        <f t="shared" si="7"/>
        <v>--</v>
      </c>
      <c r="T39" s="336" t="str">
        <f t="shared" si="8"/>
        <v>--</v>
      </c>
      <c r="U39" s="350" t="str">
        <f t="shared" si="9"/>
        <v>--</v>
      </c>
      <c r="V39" s="351" t="str">
        <f t="shared" si="10"/>
        <v>--</v>
      </c>
      <c r="W39" s="352" t="str">
        <f t="shared" si="11"/>
        <v>--</v>
      </c>
      <c r="X39" s="360" t="str">
        <f t="shared" si="12"/>
        <v>--</v>
      </c>
      <c r="Y39" s="366" t="str">
        <f t="shared" si="13"/>
        <v>--</v>
      </c>
      <c r="Z39" s="302">
        <f t="shared" si="14"/>
      </c>
      <c r="AA39" s="47">
        <f t="shared" si="15"/>
      </c>
      <c r="AB39" s="9"/>
    </row>
    <row r="40" spans="2:28" s="8" customFormat="1" ht="16.5" thickBot="1" thickTop="1">
      <c r="B40" s="169"/>
      <c r="C40" s="42"/>
      <c r="D40" s="42"/>
      <c r="E40" s="42"/>
      <c r="F40" s="43"/>
      <c r="G40" s="43"/>
      <c r="H40" s="314"/>
      <c r="I40" s="312">
        <f t="shared" si="0"/>
        <v>28.1805</v>
      </c>
      <c r="J40" s="44"/>
      <c r="K40" s="44"/>
      <c r="L40" s="10">
        <f t="shared" si="1"/>
      </c>
      <c r="M40" s="11">
        <f t="shared" si="2"/>
      </c>
      <c r="N40" s="45"/>
      <c r="O40" s="46">
        <f t="shared" si="3"/>
      </c>
      <c r="P40" s="319" t="str">
        <f t="shared" si="4"/>
        <v>--</v>
      </c>
      <c r="Q40" s="325" t="str">
        <f t="shared" si="5"/>
        <v>--</v>
      </c>
      <c r="R40" s="334" t="str">
        <f t="shared" si="6"/>
        <v>--</v>
      </c>
      <c r="S40" s="335" t="str">
        <f t="shared" si="7"/>
        <v>--</v>
      </c>
      <c r="T40" s="336" t="str">
        <f t="shared" si="8"/>
        <v>--</v>
      </c>
      <c r="U40" s="350" t="str">
        <f t="shared" si="9"/>
        <v>--</v>
      </c>
      <c r="V40" s="351" t="str">
        <f t="shared" si="10"/>
        <v>--</v>
      </c>
      <c r="W40" s="352" t="str">
        <f t="shared" si="11"/>
        <v>--</v>
      </c>
      <c r="X40" s="360" t="str">
        <f t="shared" si="12"/>
        <v>--</v>
      </c>
      <c r="Y40" s="366" t="str">
        <f t="shared" si="13"/>
        <v>--</v>
      </c>
      <c r="Z40" s="302">
        <f t="shared" si="14"/>
      </c>
      <c r="AA40" s="47">
        <f t="shared" si="15"/>
      </c>
      <c r="AB40" s="9"/>
    </row>
    <row r="41" spans="2:28" s="8" customFormat="1" ht="16.5" thickBot="1" thickTop="1">
      <c r="B41" s="169"/>
      <c r="C41" s="42"/>
      <c r="D41" s="42"/>
      <c r="E41" s="42"/>
      <c r="F41" s="43"/>
      <c r="G41" s="43"/>
      <c r="H41" s="314"/>
      <c r="I41" s="312">
        <f t="shared" si="0"/>
        <v>28.1805</v>
      </c>
      <c r="J41" s="44"/>
      <c r="K41" s="44"/>
      <c r="L41" s="10">
        <f t="shared" si="1"/>
      </c>
      <c r="M41" s="11">
        <f t="shared" si="2"/>
      </c>
      <c r="N41" s="45"/>
      <c r="O41" s="46">
        <f t="shared" si="3"/>
      </c>
      <c r="P41" s="319" t="str">
        <f t="shared" si="4"/>
        <v>--</v>
      </c>
      <c r="Q41" s="325" t="str">
        <f t="shared" si="5"/>
        <v>--</v>
      </c>
      <c r="R41" s="334" t="str">
        <f t="shared" si="6"/>
        <v>--</v>
      </c>
      <c r="S41" s="335" t="str">
        <f t="shared" si="7"/>
        <v>--</v>
      </c>
      <c r="T41" s="336" t="str">
        <f t="shared" si="8"/>
        <v>--</v>
      </c>
      <c r="U41" s="350" t="str">
        <f t="shared" si="9"/>
        <v>--</v>
      </c>
      <c r="V41" s="351" t="str">
        <f t="shared" si="10"/>
        <v>--</v>
      </c>
      <c r="W41" s="352" t="str">
        <f t="shared" si="11"/>
        <v>--</v>
      </c>
      <c r="X41" s="360" t="str">
        <f t="shared" si="12"/>
        <v>--</v>
      </c>
      <c r="Y41" s="366" t="str">
        <f t="shared" si="13"/>
        <v>--</v>
      </c>
      <c r="Z41" s="302">
        <f t="shared" si="14"/>
      </c>
      <c r="AA41" s="47">
        <f t="shared" si="15"/>
      </c>
      <c r="AB41" s="9"/>
    </row>
    <row r="42" spans="2:28" s="8" customFormat="1" ht="16.5" thickBot="1" thickTop="1">
      <c r="B42" s="169"/>
      <c r="C42" s="42"/>
      <c r="D42" s="42"/>
      <c r="E42" s="42"/>
      <c r="F42" s="43"/>
      <c r="G42" s="43"/>
      <c r="H42" s="314"/>
      <c r="I42" s="312">
        <f t="shared" si="0"/>
        <v>28.1805</v>
      </c>
      <c r="J42" s="44"/>
      <c r="K42" s="44"/>
      <c r="L42" s="10">
        <f t="shared" si="1"/>
      </c>
      <c r="M42" s="11">
        <f t="shared" si="2"/>
      </c>
      <c r="N42" s="45"/>
      <c r="O42" s="46">
        <f t="shared" si="3"/>
      </c>
      <c r="P42" s="319" t="str">
        <f t="shared" si="4"/>
        <v>--</v>
      </c>
      <c r="Q42" s="325" t="str">
        <f t="shared" si="5"/>
        <v>--</v>
      </c>
      <c r="R42" s="334" t="str">
        <f t="shared" si="6"/>
        <v>--</v>
      </c>
      <c r="S42" s="335" t="str">
        <f t="shared" si="7"/>
        <v>--</v>
      </c>
      <c r="T42" s="336" t="str">
        <f t="shared" si="8"/>
        <v>--</v>
      </c>
      <c r="U42" s="350" t="str">
        <f t="shared" si="9"/>
        <v>--</v>
      </c>
      <c r="V42" s="351" t="str">
        <f t="shared" si="10"/>
        <v>--</v>
      </c>
      <c r="W42" s="352" t="str">
        <f t="shared" si="11"/>
        <v>--</v>
      </c>
      <c r="X42" s="360" t="str">
        <f t="shared" si="12"/>
        <v>--</v>
      </c>
      <c r="Y42" s="366" t="str">
        <f t="shared" si="13"/>
        <v>--</v>
      </c>
      <c r="Z42" s="302">
        <f t="shared" si="14"/>
      </c>
      <c r="AA42" s="47">
        <f t="shared" si="15"/>
      </c>
      <c r="AB42" s="9"/>
    </row>
    <row r="43" spans="1:28" s="8" customFormat="1" ht="16.5" thickBot="1" thickTop="1">
      <c r="A43" s="6"/>
      <c r="B43" s="36"/>
      <c r="C43" s="485"/>
      <c r="D43" s="485"/>
      <c r="E43" s="485"/>
      <c r="F43" s="481"/>
      <c r="G43" s="482"/>
      <c r="H43" s="483"/>
      <c r="I43" s="313"/>
      <c r="J43" s="483"/>
      <c r="K43" s="483"/>
      <c r="L43" s="12"/>
      <c r="M43" s="12"/>
      <c r="N43" s="483"/>
      <c r="O43" s="484"/>
      <c r="P43" s="320"/>
      <c r="Q43" s="327"/>
      <c r="R43" s="337"/>
      <c r="S43" s="338"/>
      <c r="T43" s="339"/>
      <c r="U43" s="353"/>
      <c r="V43" s="354"/>
      <c r="W43" s="355"/>
      <c r="X43" s="361"/>
      <c r="Y43" s="367"/>
      <c r="Z43" s="48"/>
      <c r="AA43" s="186"/>
      <c r="AB43" s="9"/>
    </row>
    <row r="44" spans="1:28" s="8" customFormat="1" ht="17.25" thickBot="1" thickTop="1">
      <c r="A44" s="6"/>
      <c r="B44" s="36"/>
      <c r="C44" s="271" t="s">
        <v>45</v>
      </c>
      <c r="D44" s="273"/>
      <c r="E44" s="273"/>
      <c r="F44" s="272"/>
      <c r="G44" s="13"/>
      <c r="H44" s="14"/>
      <c r="I44" s="49"/>
      <c r="J44" s="49"/>
      <c r="K44" s="49"/>
      <c r="L44" s="49"/>
      <c r="M44" s="49"/>
      <c r="N44" s="49"/>
      <c r="O44" s="50"/>
      <c r="P44" s="320">
        <f aca="true" t="shared" si="16" ref="P44:Y44">SUM(P21:P43)</f>
        <v>106.01504099999998</v>
      </c>
      <c r="Q44" s="323">
        <f t="shared" si="16"/>
        <v>0</v>
      </c>
      <c r="R44" s="340">
        <f t="shared" si="16"/>
        <v>0</v>
      </c>
      <c r="S44" s="340">
        <f t="shared" si="16"/>
        <v>0</v>
      </c>
      <c r="T44" s="340">
        <f t="shared" si="16"/>
        <v>0</v>
      </c>
      <c r="U44" s="356">
        <f t="shared" si="16"/>
        <v>0</v>
      </c>
      <c r="V44" s="356">
        <f t="shared" si="16"/>
        <v>0</v>
      </c>
      <c r="W44" s="356">
        <f t="shared" si="16"/>
        <v>0</v>
      </c>
      <c r="X44" s="362">
        <f t="shared" si="16"/>
        <v>0</v>
      </c>
      <c r="Y44" s="368">
        <f t="shared" si="16"/>
        <v>0</v>
      </c>
      <c r="Z44" s="51"/>
      <c r="AA44" s="306">
        <f>ROUND(SUM(AA21:AA43),2)</f>
        <v>106.02</v>
      </c>
      <c r="AB44" s="170"/>
    </row>
    <row r="45" spans="1:28" s="286" customFormat="1" ht="9.75" thickTop="1">
      <c r="A45" s="275"/>
      <c r="B45" s="276"/>
      <c r="C45" s="273"/>
      <c r="D45" s="273"/>
      <c r="E45" s="273"/>
      <c r="F45" s="274"/>
      <c r="G45" s="277"/>
      <c r="H45" s="278"/>
      <c r="I45" s="279"/>
      <c r="J45" s="279"/>
      <c r="K45" s="279"/>
      <c r="L45" s="279"/>
      <c r="M45" s="279"/>
      <c r="N45" s="279"/>
      <c r="O45" s="280"/>
      <c r="P45" s="281"/>
      <c r="Q45" s="281"/>
      <c r="R45" s="282"/>
      <c r="S45" s="282"/>
      <c r="T45" s="283"/>
      <c r="U45" s="283"/>
      <c r="V45" s="283"/>
      <c r="W45" s="283"/>
      <c r="X45" s="283"/>
      <c r="Y45" s="283"/>
      <c r="Z45" s="283"/>
      <c r="AA45" s="284"/>
      <c r="AB45" s="285"/>
    </row>
    <row r="46" spans="1:28" s="8" customFormat="1" ht="13.5" thickBot="1">
      <c r="A46" s="6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</row>
    <row r="47" spans="1:28" ht="13.5" thickTop="1">
      <c r="A47" s="1"/>
      <c r="B47" s="1"/>
      <c r="AB47" s="1"/>
    </row>
    <row r="92" spans="1:2" ht="12.75">
      <c r="A92" s="1"/>
      <c r="B92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8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X97"/>
  <sheetViews>
    <sheetView zoomScale="75" zoomScaleNormal="75" workbookViewId="0" topLeftCell="A1">
      <selection activeCell="E19" sqref="E19"/>
    </sheetView>
  </sheetViews>
  <sheetFormatPr defaultColWidth="13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41.7109375" style="0" customWidth="1"/>
    <col min="5" max="5" width="11.00390625" style="0" customWidth="1"/>
    <col min="6" max="6" width="7.57421875" style="0" customWidth="1"/>
    <col min="7" max="7" width="3.8515625" style="0" customWidth="1"/>
    <col min="8" max="9" width="17.7109375" style="0" customWidth="1"/>
    <col min="10" max="10" width="8.7109375" style="0" customWidth="1"/>
    <col min="11" max="11" width="29.00390625" style="0" customWidth="1"/>
    <col min="12" max="12" width="5.421875" style="0" customWidth="1"/>
    <col min="13" max="13" width="7.00390625" style="0" customWidth="1"/>
    <col min="14" max="15" width="0" style="0" hidden="1" customWidth="1"/>
    <col min="16" max="16" width="12.421875" style="0" hidden="1" customWidth="1"/>
    <col min="17" max="17" width="13.00390625" style="0" hidden="1" customWidth="1"/>
    <col min="18" max="18" width="3.57421875" style="0" customWidth="1"/>
    <col min="19" max="19" width="0" style="0" hidden="1" customWidth="1"/>
    <col min="20" max="20" width="13.8515625" style="0" customWidth="1"/>
    <col min="21" max="21" width="15.7109375" style="0" customWidth="1"/>
  </cols>
  <sheetData>
    <row r="1" s="114" customFormat="1" ht="32.25" customHeight="1">
      <c r="U1" s="473"/>
    </row>
    <row r="2" spans="2:21" s="114" customFormat="1" ht="26.25">
      <c r="B2" s="127" t="str">
        <f>+'TOT-0210'!B2</f>
        <v>ANEXO II al Memoradnum D.T.E.E. N°  480 /2011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="8" customFormat="1" ht="12.75"/>
    <row r="4" spans="1:2" s="112" customFormat="1" ht="11.25">
      <c r="A4" s="180" t="s">
        <v>5</v>
      </c>
      <c r="B4" s="180"/>
    </row>
    <row r="5" spans="1:2" s="112" customFormat="1" ht="11.25">
      <c r="A5" s="180" t="s">
        <v>6</v>
      </c>
      <c r="B5" s="180"/>
    </row>
    <row r="6" s="8" customFormat="1" ht="13.5" thickBot="1"/>
    <row r="7" spans="1:21" s="8" customFormat="1" ht="13.5" thickTop="1">
      <c r="A7" s="6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5"/>
    </row>
    <row r="8" spans="1:21" s="116" customFormat="1" ht="20.25">
      <c r="A8" s="105"/>
      <c r="B8" s="174"/>
      <c r="C8" s="105"/>
      <c r="D8" s="17" t="s">
        <v>20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19"/>
    </row>
    <row r="9" spans="1:21" ht="15">
      <c r="A9" s="1"/>
      <c r="B9" s="59"/>
      <c r="C9" s="60"/>
      <c r="D9" s="63"/>
      <c r="E9" s="60"/>
      <c r="F9" s="61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2"/>
    </row>
    <row r="10" spans="1:24" s="116" customFormat="1" ht="20.25">
      <c r="A10" s="105"/>
      <c r="B10" s="252"/>
      <c r="C10"/>
      <c r="D10" s="18" t="s">
        <v>86</v>
      </c>
      <c r="E10" s="253"/>
      <c r="F10" s="253"/>
      <c r="G10" s="253"/>
      <c r="H10" s="254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5"/>
      <c r="V10" s="256"/>
      <c r="W10" s="203"/>
      <c r="X10" s="203"/>
    </row>
    <row r="11" spans="1:24" s="8" customFormat="1" ht="12.75">
      <c r="A11" s="6"/>
      <c r="B11" s="36"/>
      <c r="C11" s="6"/>
      <c r="D11" s="64"/>
      <c r="E11" s="24"/>
      <c r="F11" s="24"/>
      <c r="G11" s="24"/>
      <c r="H11" s="19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02"/>
      <c r="V11" s="24"/>
      <c r="W11" s="24"/>
      <c r="X11" s="65"/>
    </row>
    <row r="12" spans="1:24" s="120" customFormat="1" ht="19.5">
      <c r="A12" s="37"/>
      <c r="B12" s="139" t="str">
        <f>+'TOT-0210'!B14</f>
        <v>Desde el 01 al 28 de febrero de 2010</v>
      </c>
      <c r="C12" s="142"/>
      <c r="D12" s="193"/>
      <c r="E12" s="193"/>
      <c r="F12" s="193"/>
      <c r="G12" s="193"/>
      <c r="H12" s="193"/>
      <c r="I12" s="142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225"/>
      <c r="V12" s="257"/>
      <c r="W12" s="257"/>
      <c r="X12" s="257"/>
    </row>
    <row r="13" spans="1:24" ht="15">
      <c r="A13" s="1"/>
      <c r="B13" s="59"/>
      <c r="C13" s="60"/>
      <c r="D13" s="67"/>
      <c r="E13" s="67"/>
      <c r="F13" s="67"/>
      <c r="G13" s="67"/>
      <c r="H13" s="69"/>
      <c r="I13" s="60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  <c r="V13" s="2"/>
      <c r="W13" s="2"/>
      <c r="X13" s="29"/>
    </row>
    <row r="14" spans="1:24" ht="15">
      <c r="A14" s="1"/>
      <c r="B14" s="59"/>
      <c r="C14" s="60"/>
      <c r="D14" s="67"/>
      <c r="E14" s="67"/>
      <c r="F14" s="67"/>
      <c r="G14" s="67"/>
      <c r="H14" s="70"/>
      <c r="I14" s="70"/>
      <c r="J14" s="67"/>
      <c r="S14" s="67"/>
      <c r="T14" s="67"/>
      <c r="U14" s="68"/>
      <c r="V14" s="2"/>
      <c r="W14" s="2"/>
      <c r="X14" s="29"/>
    </row>
    <row r="15" spans="1:24" ht="15">
      <c r="A15" s="1"/>
      <c r="B15" s="59"/>
      <c r="C15" s="60"/>
      <c r="D15" s="66"/>
      <c r="E15" s="71"/>
      <c r="F15" s="67"/>
      <c r="G15" s="67"/>
      <c r="H15" s="70"/>
      <c r="I15" s="70"/>
      <c r="J15" s="67"/>
      <c r="T15" s="67"/>
      <c r="U15" s="68"/>
      <c r="V15" s="2"/>
      <c r="W15" s="2"/>
      <c r="X15" s="29"/>
    </row>
    <row r="16" spans="1:21" ht="15.75">
      <c r="A16" s="1"/>
      <c r="B16" s="59"/>
      <c r="C16" s="30" t="s">
        <v>67</v>
      </c>
      <c r="D16" s="61"/>
      <c r="E16" s="72"/>
      <c r="F16" s="73"/>
      <c r="G16" s="60"/>
      <c r="H16" s="60"/>
      <c r="I16" s="60"/>
      <c r="J16" s="74"/>
      <c r="K16" s="75"/>
      <c r="L16" s="60"/>
      <c r="M16" s="60"/>
      <c r="N16" s="60"/>
      <c r="O16" s="60"/>
      <c r="P16" s="60"/>
      <c r="Q16" s="60"/>
      <c r="R16" s="60"/>
      <c r="S16" s="60"/>
      <c r="T16" s="60"/>
      <c r="U16" s="62"/>
    </row>
    <row r="17" spans="1:21" ht="15.75">
      <c r="A17" s="1"/>
      <c r="B17" s="59"/>
      <c r="C17" s="30"/>
      <c r="D17" s="61"/>
      <c r="E17" s="72"/>
      <c r="F17" s="73"/>
      <c r="G17" s="60"/>
      <c r="H17" s="60"/>
      <c r="K17" s="75"/>
      <c r="L17" s="60"/>
      <c r="M17" s="60"/>
      <c r="N17" s="60"/>
      <c r="O17" s="60"/>
      <c r="P17" s="60"/>
      <c r="Q17" s="60"/>
      <c r="R17" s="60"/>
      <c r="S17" s="60"/>
      <c r="T17" s="60"/>
      <c r="U17" s="62"/>
    </row>
    <row r="18" spans="1:21" ht="15.75">
      <c r="A18" s="1"/>
      <c r="B18" s="59"/>
      <c r="C18" s="30"/>
      <c r="D18" s="74" t="s">
        <v>68</v>
      </c>
      <c r="E18" s="76">
        <v>672</v>
      </c>
      <c r="F18" s="60" t="s">
        <v>69</v>
      </c>
      <c r="G18" s="67"/>
      <c r="H18" s="67"/>
      <c r="I18" s="95" t="s">
        <v>23</v>
      </c>
      <c r="J18" s="467">
        <v>117.437</v>
      </c>
      <c r="K18" s="75"/>
      <c r="L18" s="60"/>
      <c r="M18" s="60"/>
      <c r="N18" s="60"/>
      <c r="O18" s="60"/>
      <c r="P18" s="60"/>
      <c r="Q18" s="60"/>
      <c r="R18" s="60"/>
      <c r="S18" s="60"/>
      <c r="T18" s="60"/>
      <c r="U18" s="62"/>
    </row>
    <row r="19" spans="1:21" ht="15.75">
      <c r="A19" s="1"/>
      <c r="B19" s="59"/>
      <c r="C19" s="30"/>
      <c r="D19" s="74" t="s">
        <v>70</v>
      </c>
      <c r="E19" s="78">
        <v>0.04</v>
      </c>
      <c r="F19" s="67"/>
      <c r="G19" s="67"/>
      <c r="H19" s="67"/>
      <c r="I19" s="95" t="s">
        <v>24</v>
      </c>
      <c r="J19" s="467">
        <v>112.722</v>
      </c>
      <c r="K19" s="75"/>
      <c r="L19" s="60"/>
      <c r="M19" s="60"/>
      <c r="N19" s="60"/>
      <c r="O19" s="60"/>
      <c r="P19" s="60"/>
      <c r="Q19" s="60"/>
      <c r="R19" s="60"/>
      <c r="S19" s="60"/>
      <c r="T19" s="60"/>
      <c r="U19" s="62"/>
    </row>
    <row r="20" spans="1:21" ht="15.75">
      <c r="A20" s="1"/>
      <c r="B20" s="59"/>
      <c r="C20" s="30"/>
      <c r="D20" s="74"/>
      <c r="E20" s="78"/>
      <c r="F20" s="67"/>
      <c r="G20" s="67"/>
      <c r="H20" s="67"/>
      <c r="I20" s="67"/>
      <c r="K20" s="75"/>
      <c r="L20" s="60"/>
      <c r="M20" s="60"/>
      <c r="N20" s="60"/>
      <c r="O20" s="60"/>
      <c r="P20" s="60"/>
      <c r="Q20" s="60"/>
      <c r="R20" s="60"/>
      <c r="S20" s="60"/>
      <c r="T20" s="60"/>
      <c r="U20" s="62"/>
    </row>
    <row r="21" spans="1:21" ht="15">
      <c r="A21" s="1"/>
      <c r="B21" s="59"/>
      <c r="C21" s="79" t="s">
        <v>71</v>
      </c>
      <c r="D21" s="77"/>
      <c r="E21" s="72"/>
      <c r="F21" s="73"/>
      <c r="G21" s="60"/>
      <c r="H21" s="60"/>
      <c r="I21" s="60"/>
      <c r="J21" s="74"/>
      <c r="K21" s="75"/>
      <c r="L21" s="60"/>
      <c r="M21" s="60"/>
      <c r="N21" s="60"/>
      <c r="O21" s="60"/>
      <c r="P21" s="60"/>
      <c r="Q21" s="60"/>
      <c r="R21" s="60"/>
      <c r="S21" s="60"/>
      <c r="T21" s="60"/>
      <c r="U21" s="62"/>
    </row>
    <row r="22" spans="1:21" ht="15.75" thickBot="1">
      <c r="A22" s="1"/>
      <c r="B22" s="59"/>
      <c r="C22" s="60"/>
      <c r="D22" s="60"/>
      <c r="E22" s="60"/>
      <c r="F22" s="60"/>
      <c r="G22" s="60"/>
      <c r="H22" s="8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2"/>
    </row>
    <row r="23" spans="2:21" ht="20.25" thickBot="1" thickTop="1">
      <c r="B23" s="59"/>
      <c r="C23" s="81"/>
      <c r="D23" s="82" t="s">
        <v>72</v>
      </c>
      <c r="H23" s="298" t="s">
        <v>73</v>
      </c>
      <c r="I23" s="83">
        <f>'TOT-0210'!I23</f>
        <v>106.02</v>
      </c>
      <c r="K23" s="84"/>
      <c r="L23" s="84"/>
      <c r="M23" s="85"/>
      <c r="N23" s="86"/>
      <c r="O23" s="87"/>
      <c r="P23" s="87"/>
      <c r="Q23" s="88"/>
      <c r="R23" s="88"/>
      <c r="S23" s="89"/>
      <c r="U23" s="90"/>
    </row>
    <row r="24" spans="2:21" ht="15.75" thickTop="1">
      <c r="B24" s="59"/>
      <c r="C24" s="81"/>
      <c r="D24" s="77"/>
      <c r="E24" s="77"/>
      <c r="F24" s="91"/>
      <c r="G24" s="84"/>
      <c r="H24" s="84"/>
      <c r="I24" s="84"/>
      <c r="J24" s="84"/>
      <c r="K24" s="84"/>
      <c r="L24" s="84"/>
      <c r="M24" s="85"/>
      <c r="N24" s="86"/>
      <c r="O24" s="87"/>
      <c r="P24" s="87"/>
      <c r="Q24" s="88"/>
      <c r="R24" s="88"/>
      <c r="S24" s="89"/>
      <c r="T24" s="92"/>
      <c r="U24" s="90"/>
    </row>
    <row r="25" spans="2:21" ht="15">
      <c r="B25" s="59"/>
      <c r="C25" s="66" t="s">
        <v>74</v>
      </c>
      <c r="D25" s="77"/>
      <c r="E25" s="77"/>
      <c r="F25" s="91"/>
      <c r="G25" s="84"/>
      <c r="H25" s="84"/>
      <c r="I25" s="84"/>
      <c r="J25" s="84"/>
      <c r="K25" s="84"/>
      <c r="L25" s="84"/>
      <c r="M25" s="85"/>
      <c r="N25" s="86"/>
      <c r="O25" s="87"/>
      <c r="P25" s="87"/>
      <c r="Q25" s="88"/>
      <c r="R25" s="88"/>
      <c r="S25" s="89"/>
      <c r="T25" s="92"/>
      <c r="U25" s="90"/>
    </row>
    <row r="26" spans="2:21" ht="15">
      <c r="B26" s="59"/>
      <c r="C26" s="81"/>
      <c r="D26" s="77"/>
      <c r="E26" s="77"/>
      <c r="F26" s="91"/>
      <c r="G26" s="84"/>
      <c r="H26" s="84"/>
      <c r="I26" s="84"/>
      <c r="J26" s="84"/>
      <c r="K26" s="84"/>
      <c r="L26" s="84"/>
      <c r="M26" s="85"/>
      <c r="N26" s="86"/>
      <c r="O26" s="87"/>
      <c r="P26" s="87"/>
      <c r="Q26" s="88"/>
      <c r="R26" s="88"/>
      <c r="S26" s="89"/>
      <c r="T26" s="92"/>
      <c r="U26" s="90"/>
    </row>
    <row r="27" spans="2:21" ht="15">
      <c r="B27" s="59"/>
      <c r="C27" s="81"/>
      <c r="D27" s="77" t="s">
        <v>75</v>
      </c>
      <c r="E27" s="77" t="s">
        <v>4</v>
      </c>
      <c r="F27" s="91" t="s">
        <v>3</v>
      </c>
      <c r="G27" s="84"/>
      <c r="I27" s="501" t="s">
        <v>97</v>
      </c>
      <c r="K27" s="509" t="s">
        <v>96</v>
      </c>
      <c r="L27" s="84"/>
      <c r="M27" s="85"/>
      <c r="N27" s="86"/>
      <c r="O27" s="87"/>
      <c r="P27" s="87"/>
      <c r="Q27" s="88"/>
      <c r="R27" s="88"/>
      <c r="S27" s="89"/>
      <c r="T27" s="92" t="s">
        <v>2</v>
      </c>
      <c r="U27" s="90"/>
    </row>
    <row r="28" spans="2:21" ht="15.75">
      <c r="B28" s="59"/>
      <c r="C28" s="81"/>
      <c r="D28" s="77"/>
      <c r="E28" s="77"/>
      <c r="F28" s="93"/>
      <c r="G28" s="84"/>
      <c r="I28" s="94"/>
      <c r="J28" s="95"/>
      <c r="K28" s="96"/>
      <c r="L28" s="84"/>
      <c r="M28" s="85"/>
      <c r="N28" s="86"/>
      <c r="O28" s="87"/>
      <c r="P28" s="87"/>
      <c r="Q28" s="88"/>
      <c r="R28" s="88"/>
      <c r="S28" s="89"/>
      <c r="T28" s="97"/>
      <c r="U28" s="90"/>
    </row>
    <row r="29" spans="2:21" ht="15.75">
      <c r="B29" s="59"/>
      <c r="C29" s="81"/>
      <c r="D29" s="77" t="s">
        <v>93</v>
      </c>
      <c r="E29" s="77">
        <v>132</v>
      </c>
      <c r="F29" s="93">
        <v>20.8</v>
      </c>
      <c r="G29" s="84"/>
      <c r="I29" s="94">
        <f>F29*$J$19*$E$18/100</f>
        <v>15755.830272000001</v>
      </c>
      <c r="J29" s="95"/>
      <c r="K29" s="500">
        <v>220663</v>
      </c>
      <c r="L29" s="84"/>
      <c r="M29" s="102" t="e">
        <f>"(DTE "&amp;#REF!&amp;#REF!&amp;")"</f>
        <v>#REF!</v>
      </c>
      <c r="N29" s="86"/>
      <c r="O29" s="87"/>
      <c r="P29" s="87"/>
      <c r="Q29" s="88"/>
      <c r="R29" s="88"/>
      <c r="S29" s="89"/>
      <c r="T29" s="98">
        <f>SUM(I29:K29)</f>
        <v>236418.830272</v>
      </c>
      <c r="U29" s="90"/>
    </row>
    <row r="30" spans="2:21" ht="15.75">
      <c r="B30" s="59"/>
      <c r="C30" s="81"/>
      <c r="D30" s="77" t="s">
        <v>94</v>
      </c>
      <c r="E30" s="77">
        <v>132</v>
      </c>
      <c r="F30" s="93">
        <v>20.8</v>
      </c>
      <c r="G30" s="84"/>
      <c r="I30" s="94">
        <f>F30*$J$19*$E$18/100</f>
        <v>15755.830272000001</v>
      </c>
      <c r="J30" s="95"/>
      <c r="K30" s="500">
        <v>0</v>
      </c>
      <c r="L30" s="84"/>
      <c r="M30" s="102" t="e">
        <f>"(DTE "&amp;#REF!&amp;#REF!&amp;")"</f>
        <v>#REF!</v>
      </c>
      <c r="N30" s="86"/>
      <c r="O30" s="87"/>
      <c r="P30" s="87"/>
      <c r="Q30" s="88"/>
      <c r="R30" s="88"/>
      <c r="S30" s="89"/>
      <c r="T30" s="98">
        <f>SUM(I30:K30)</f>
        <v>15755.830272000001</v>
      </c>
      <c r="U30" s="90"/>
    </row>
    <row r="31" spans="2:21" ht="15.75">
      <c r="B31" s="59"/>
      <c r="C31" s="81"/>
      <c r="D31" s="77"/>
      <c r="E31" s="77"/>
      <c r="F31" s="93"/>
      <c r="G31" s="84"/>
      <c r="I31" s="94"/>
      <c r="J31" s="95"/>
      <c r="K31" s="96"/>
      <c r="L31" s="84"/>
      <c r="M31" s="85"/>
      <c r="N31" s="86"/>
      <c r="O31" s="87"/>
      <c r="P31" s="87"/>
      <c r="Q31" s="88"/>
      <c r="R31" s="88"/>
      <c r="S31" s="89"/>
      <c r="T31" s="99"/>
      <c r="U31" s="90"/>
    </row>
    <row r="32" spans="2:21" ht="16.5" thickBot="1">
      <c r="B32" s="59"/>
      <c r="C32" s="81"/>
      <c r="D32" s="77"/>
      <c r="E32" s="77"/>
      <c r="F32" s="91"/>
      <c r="G32" s="84"/>
      <c r="H32" s="94"/>
      <c r="I32" s="77"/>
      <c r="J32" s="77"/>
      <c r="K32" s="84"/>
      <c r="L32" s="84"/>
      <c r="M32" s="85"/>
      <c r="N32" s="86"/>
      <c r="O32" s="87"/>
      <c r="P32" s="87"/>
      <c r="Q32" s="88"/>
      <c r="R32" s="88"/>
      <c r="S32" s="89"/>
      <c r="T32" s="98"/>
      <c r="U32" s="90"/>
    </row>
    <row r="33" spans="2:21" ht="20.25" thickBot="1" thickTop="1">
      <c r="B33" s="59"/>
      <c r="C33" s="81"/>
      <c r="D33" s="77"/>
      <c r="E33" s="77"/>
      <c r="F33" s="91"/>
      <c r="G33" s="84"/>
      <c r="H33" s="299" t="s">
        <v>76</v>
      </c>
      <c r="I33" s="100">
        <f>SUM(T29:T30)</f>
        <v>252174.66054399998</v>
      </c>
      <c r="J33" s="77"/>
      <c r="K33" s="84"/>
      <c r="L33" s="84"/>
      <c r="M33" s="85"/>
      <c r="N33" s="86"/>
      <c r="O33" s="87"/>
      <c r="P33" s="87"/>
      <c r="Q33" s="88"/>
      <c r="R33" s="88"/>
      <c r="S33" s="89"/>
      <c r="T33" s="98"/>
      <c r="U33" s="90"/>
    </row>
    <row r="34" spans="2:21" ht="16.5" thickTop="1">
      <c r="B34" s="59"/>
      <c r="C34" s="81"/>
      <c r="D34" s="77"/>
      <c r="E34" s="77"/>
      <c r="F34" s="91"/>
      <c r="G34" s="84"/>
      <c r="H34" s="94"/>
      <c r="I34" s="77"/>
      <c r="J34" s="77"/>
      <c r="K34" s="84"/>
      <c r="L34" s="84"/>
      <c r="M34" s="85"/>
      <c r="N34" s="86"/>
      <c r="O34" s="87"/>
      <c r="P34" s="87"/>
      <c r="Q34" s="88"/>
      <c r="R34" s="88"/>
      <c r="S34" s="89"/>
      <c r="T34" s="98"/>
      <c r="U34" s="90"/>
    </row>
    <row r="35" spans="2:21" ht="15.75">
      <c r="B35" s="59"/>
      <c r="C35" s="101" t="s">
        <v>77</v>
      </c>
      <c r="D35" s="77"/>
      <c r="E35" s="77"/>
      <c r="F35" s="91"/>
      <c r="G35" s="84"/>
      <c r="H35" s="94"/>
      <c r="I35" s="77"/>
      <c r="J35" s="77"/>
      <c r="K35" s="84"/>
      <c r="L35" s="84"/>
      <c r="M35" s="85"/>
      <c r="N35" s="86"/>
      <c r="O35" s="87"/>
      <c r="P35" s="87"/>
      <c r="Q35" s="88"/>
      <c r="R35" s="88"/>
      <c r="S35" s="89"/>
      <c r="T35" s="98"/>
      <c r="U35" s="90"/>
    </row>
    <row r="36" spans="2:21" ht="16.5" thickBot="1">
      <c r="B36" s="59"/>
      <c r="C36" s="81"/>
      <c r="D36" s="77"/>
      <c r="E36" s="77"/>
      <c r="F36" s="91"/>
      <c r="G36" s="84"/>
      <c r="H36" s="94"/>
      <c r="I36" s="77"/>
      <c r="J36" s="77"/>
      <c r="K36" s="84"/>
      <c r="L36" s="84"/>
      <c r="M36" s="85"/>
      <c r="N36" s="86"/>
      <c r="O36" s="87"/>
      <c r="P36" s="87"/>
      <c r="Q36" s="88"/>
      <c r="R36" s="88"/>
      <c r="S36" s="89"/>
      <c r="T36" s="98"/>
      <c r="U36" s="90"/>
    </row>
    <row r="37" spans="2:21" ht="20.25" thickBot="1" thickTop="1">
      <c r="B37" s="59"/>
      <c r="C37" s="81"/>
      <c r="D37" s="102" t="s">
        <v>78</v>
      </c>
      <c r="F37" s="103"/>
      <c r="G37" s="60"/>
      <c r="H37" s="150" t="s">
        <v>79</v>
      </c>
      <c r="I37" s="104">
        <f>E19*I33</f>
        <v>10086.986421759999</v>
      </c>
      <c r="J37" s="67"/>
      <c r="N37" s="68"/>
      <c r="O37" s="87"/>
      <c r="P37" s="87"/>
      <c r="Q37" s="88"/>
      <c r="R37" s="88"/>
      <c r="S37" s="89"/>
      <c r="T37" s="98"/>
      <c r="U37" s="90"/>
    </row>
    <row r="38" spans="2:21" ht="21.75" thickTop="1">
      <c r="B38" s="59"/>
      <c r="C38" s="81"/>
      <c r="F38" s="57"/>
      <c r="G38" s="105"/>
      <c r="I38" s="67"/>
      <c r="J38" s="67"/>
      <c r="N38" s="68" t="s">
        <v>69</v>
      </c>
      <c r="O38" s="87"/>
      <c r="P38" s="87"/>
      <c r="Q38" s="88"/>
      <c r="R38" s="88"/>
      <c r="S38" s="89"/>
      <c r="T38" s="92"/>
      <c r="U38" s="90"/>
    </row>
    <row r="39" spans="2:21" ht="15">
      <c r="B39" s="59"/>
      <c r="C39" s="79" t="s">
        <v>80</v>
      </c>
      <c r="E39" s="67"/>
      <c r="F39" s="67"/>
      <c r="G39" s="67"/>
      <c r="H39" s="67"/>
      <c r="I39" s="84"/>
      <c r="J39" s="84"/>
      <c r="K39" s="84"/>
      <c r="L39" s="84"/>
      <c r="M39" s="85"/>
      <c r="N39" s="86"/>
      <c r="O39" s="87"/>
      <c r="P39" s="87"/>
      <c r="Q39" s="88"/>
      <c r="R39" s="88"/>
      <c r="S39" s="89"/>
      <c r="T39" s="92"/>
      <c r="U39" s="90"/>
    </row>
    <row r="40" spans="2:21" ht="15">
      <c r="B40" s="59"/>
      <c r="C40" s="81"/>
      <c r="D40" s="106" t="s">
        <v>81</v>
      </c>
      <c r="E40" s="107">
        <f>10*I23*I37/I33</f>
        <v>42.407999999999994</v>
      </c>
      <c r="F40" s="108"/>
      <c r="H40" s="67"/>
      <c r="I40" s="84"/>
      <c r="J40" s="84"/>
      <c r="K40" s="84"/>
      <c r="L40" s="84"/>
      <c r="M40" s="85"/>
      <c r="N40" s="86"/>
      <c r="O40" s="87"/>
      <c r="P40" s="87"/>
      <c r="Q40" s="88"/>
      <c r="R40" s="88"/>
      <c r="S40" s="89"/>
      <c r="T40" s="92"/>
      <c r="U40" s="90"/>
    </row>
    <row r="41" spans="2:21" ht="15">
      <c r="B41" s="59"/>
      <c r="C41" s="81"/>
      <c r="D41" s="67"/>
      <c r="E41" s="67"/>
      <c r="J41" s="84"/>
      <c r="K41" s="84"/>
      <c r="L41" s="84"/>
      <c r="M41" s="85"/>
      <c r="N41" s="86"/>
      <c r="O41" s="87"/>
      <c r="P41" s="87"/>
      <c r="Q41" s="88"/>
      <c r="R41" s="88"/>
      <c r="S41" s="89"/>
      <c r="T41" s="92"/>
      <c r="U41" s="90"/>
    </row>
    <row r="42" spans="2:21" ht="15">
      <c r="B42" s="59"/>
      <c r="C42" s="81"/>
      <c r="D42" s="67" t="s">
        <v>87</v>
      </c>
      <c r="E42" s="67"/>
      <c r="F42" s="67"/>
      <c r="G42" s="67"/>
      <c r="H42" s="67"/>
      <c r="L42" s="84"/>
      <c r="M42" s="85"/>
      <c r="N42" s="86"/>
      <c r="O42" s="87"/>
      <c r="P42" s="87"/>
      <c r="Q42" s="88"/>
      <c r="R42" s="88"/>
      <c r="S42" s="89"/>
      <c r="T42" s="92"/>
      <c r="U42" s="90"/>
    </row>
    <row r="43" spans="2:21" ht="15.75" thickBot="1">
      <c r="B43" s="59"/>
      <c r="C43" s="81"/>
      <c r="D43" s="67"/>
      <c r="E43" s="67"/>
      <c r="F43" s="67"/>
      <c r="G43" s="67"/>
      <c r="H43" s="67"/>
      <c r="L43" s="84"/>
      <c r="M43" s="85"/>
      <c r="N43" s="86"/>
      <c r="O43" s="87"/>
      <c r="P43" s="87"/>
      <c r="Q43" s="88"/>
      <c r="R43" s="88"/>
      <c r="S43" s="89"/>
      <c r="T43" s="92"/>
      <c r="U43" s="90"/>
    </row>
    <row r="44" spans="2:21" ht="20.25" thickBot="1" thickTop="1">
      <c r="B44" s="59"/>
      <c r="C44" s="81"/>
      <c r="D44" s="77"/>
      <c r="E44" s="77"/>
      <c r="F44" s="91"/>
      <c r="G44" s="84"/>
      <c r="H44" s="300" t="s">
        <v>82</v>
      </c>
      <c r="I44" s="296">
        <f>IF(E40&gt;3*I37,3*I37,$E$40)</f>
        <v>42.407999999999994</v>
      </c>
      <c r="J44" s="84"/>
      <c r="K44" s="84"/>
      <c r="L44" s="84"/>
      <c r="M44" s="85"/>
      <c r="N44" s="86"/>
      <c r="O44" s="87"/>
      <c r="P44" s="87"/>
      <c r="Q44" s="88"/>
      <c r="R44" s="88"/>
      <c r="S44" s="89"/>
      <c r="T44" s="92"/>
      <c r="U44" s="90"/>
    </row>
    <row r="45" spans="2:21" ht="16.5" thickBot="1" thickTop="1"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1"/>
    </row>
    <row r="46" spans="2:21" ht="13.5" thickTop="1">
      <c r="B46" s="1"/>
      <c r="U46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5" ht="12" customHeight="1"/>
    <row r="91" ht="12.75">
      <c r="B91" s="1"/>
    </row>
    <row r="97" ht="12.75">
      <c r="A97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2:T60"/>
  <sheetViews>
    <sheetView zoomScale="50" zoomScaleNormal="50" workbookViewId="0" topLeftCell="A1">
      <selection activeCell="J51" sqref="J51"/>
    </sheetView>
  </sheetViews>
  <sheetFormatPr defaultColWidth="11.421875" defaultRowHeight="12.75"/>
  <cols>
    <col min="1" max="1" width="12.8515625" style="0" customWidth="1"/>
    <col min="2" max="2" width="18.57421875" style="0" customWidth="1"/>
    <col min="3" max="3" width="10.7109375" style="0" customWidth="1"/>
    <col min="4" max="4" width="63.57421875" style="0" bestFit="1" customWidth="1"/>
    <col min="5" max="5" width="6.140625" style="0" customWidth="1"/>
    <col min="6" max="6" width="14.140625" style="0" customWidth="1"/>
    <col min="7" max="19" width="12.421875" style="0" customWidth="1"/>
    <col min="20" max="20" width="19.7109375" style="0" customWidth="1"/>
  </cols>
  <sheetData>
    <row r="1" ht="38.25" customHeight="1"/>
    <row r="2" spans="2:19" s="515" customFormat="1" ht="30">
      <c r="B2" s="516" t="str">
        <f>'TOT-0210'!B2</f>
        <v>ANEXO II al Memoradnum D.T.E.E. N°  480 /2011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</row>
    <row r="3" spans="1:2" s="112" customFormat="1" ht="11.25">
      <c r="A3" s="517" t="s">
        <v>5</v>
      </c>
      <c r="B3" s="518"/>
    </row>
    <row r="4" spans="1:4" s="112" customFormat="1" ht="11.25">
      <c r="A4" s="517" t="s">
        <v>6</v>
      </c>
      <c r="B4" s="518"/>
      <c r="D4" s="519"/>
    </row>
    <row r="5" spans="1:4" ht="18.75" customHeight="1">
      <c r="A5" s="520"/>
      <c r="D5" s="521"/>
    </row>
    <row r="6" spans="1:19" ht="26.25">
      <c r="A6" s="520"/>
      <c r="B6" s="522" t="s">
        <v>148</v>
      </c>
      <c r="C6" s="134"/>
      <c r="D6" s="521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1:4" ht="18.75" customHeight="1">
      <c r="A7" s="520"/>
      <c r="D7" s="521"/>
    </row>
    <row r="8" spans="1:19" ht="26.25">
      <c r="A8" s="520"/>
      <c r="B8" s="523" t="s">
        <v>1</v>
      </c>
      <c r="C8" s="134"/>
      <c r="D8" s="521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1:4" ht="18.75" customHeight="1">
      <c r="A9" s="520"/>
      <c r="D9" s="521"/>
    </row>
    <row r="10" spans="1:19" ht="26.25">
      <c r="A10" s="520"/>
      <c r="B10" s="523" t="s">
        <v>149</v>
      </c>
      <c r="C10" s="134"/>
      <c r="D10" s="521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ht="18.75" customHeight="1" thickBot="1"/>
    <row r="12" spans="2:20" ht="18.75" customHeight="1" thickTop="1">
      <c r="B12" s="524"/>
      <c r="C12" s="525"/>
      <c r="D12" s="526"/>
      <c r="E12" s="526"/>
      <c r="F12" s="526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7"/>
    </row>
    <row r="13" spans="2:20" ht="19.5">
      <c r="B13" s="139" t="s">
        <v>150</v>
      </c>
      <c r="C13" s="134"/>
      <c r="D13" s="528"/>
      <c r="E13" s="528"/>
      <c r="F13" s="528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30"/>
    </row>
    <row r="14" spans="2:20" ht="18.75" customHeight="1" thickBot="1">
      <c r="B14" s="531"/>
      <c r="C14" s="532"/>
      <c r="D14" s="533"/>
      <c r="E14" s="533"/>
      <c r="F14" s="53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530"/>
    </row>
    <row r="15" spans="1:20" s="543" customFormat="1" ht="39" customHeight="1" thickBot="1" thickTop="1">
      <c r="A15" s="535"/>
      <c r="B15" s="536"/>
      <c r="C15" s="537"/>
      <c r="D15" s="538" t="s">
        <v>9</v>
      </c>
      <c r="E15" s="539" t="s">
        <v>28</v>
      </c>
      <c r="F15" s="540" t="s">
        <v>29</v>
      </c>
      <c r="G15" s="541">
        <v>39845</v>
      </c>
      <c r="H15" s="541">
        <v>39873</v>
      </c>
      <c r="I15" s="541">
        <v>39904</v>
      </c>
      <c r="J15" s="541">
        <v>39934</v>
      </c>
      <c r="K15" s="541">
        <v>39965</v>
      </c>
      <c r="L15" s="541">
        <v>39995</v>
      </c>
      <c r="M15" s="541">
        <v>40026</v>
      </c>
      <c r="N15" s="541">
        <v>40057</v>
      </c>
      <c r="O15" s="541">
        <v>40087</v>
      </c>
      <c r="P15" s="541">
        <v>40118</v>
      </c>
      <c r="Q15" s="541">
        <v>40148</v>
      </c>
      <c r="R15" s="541">
        <v>40179</v>
      </c>
      <c r="S15" s="541">
        <v>40210</v>
      </c>
      <c r="T15" s="542"/>
    </row>
    <row r="16" spans="2:20" s="543" customFormat="1" ht="19.5" customHeight="1" thickTop="1">
      <c r="B16" s="544"/>
      <c r="C16" s="545"/>
      <c r="D16" s="546"/>
      <c r="E16" s="547"/>
      <c r="F16" s="548"/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49"/>
      <c r="S16" s="550"/>
      <c r="T16" s="542"/>
    </row>
    <row r="17" spans="2:20" s="543" customFormat="1" ht="19.5" customHeight="1">
      <c r="B17" s="544"/>
      <c r="C17" s="551">
        <f>IF('[1]REVISION-808'!C17=0,"",'[1]REVISION-808'!C17)</f>
        <v>1</v>
      </c>
      <c r="D17" s="552" t="str">
        <f>IF('[1]REVISION-808'!D17=0,"",'[1]REVISION-808'!D17)</f>
        <v>CLORINDA - GUARAMBARÉ (Paraguay)</v>
      </c>
      <c r="E17" s="552">
        <f>IF('[1]REVISION-808'!E17=0,"",'[1]REVISION-808'!E17)</f>
        <v>220</v>
      </c>
      <c r="F17" s="553">
        <f>IF('[1]REVISION-808'!F17=0,"",'[1]REVISION-808'!F17)</f>
        <v>29.8</v>
      </c>
      <c r="G17" s="554">
        <f>IF('[1]REVISION-808'!FQ17=0,"",'[1]REVISION-808'!FQ17)</f>
      </c>
      <c r="H17" s="554">
        <f>IF('[1]REVISION-808'!FR17=0,"",'[1]REVISION-808'!FR17)</f>
      </c>
      <c r="I17" s="554">
        <f>IF('[1]REVISION-808'!FS17=0,"",'[1]REVISION-808'!FS17)</f>
      </c>
      <c r="J17" s="554">
        <f>IF('[1]REVISION-808'!FT17=0,"",'[1]REVISION-808'!FT17)</f>
      </c>
      <c r="K17" s="554">
        <f>IF('[1]REVISION-808'!FU17=0,"",'[1]REVISION-808'!FU17)</f>
      </c>
      <c r="L17" s="554">
        <f>IF('[1]REVISION-808'!FV17=0,"",'[1]REVISION-808'!FV17)</f>
      </c>
      <c r="M17" s="554">
        <f>IF('[1]REVISION-808'!FW17=0,"",'[1]REVISION-808'!FW17)</f>
      </c>
      <c r="N17" s="554">
        <f>IF('[1]REVISION-808'!FX17=0,"",'[1]REVISION-808'!FX17)</f>
      </c>
      <c r="O17" s="554">
        <f>IF('[1]REVISION-808'!FY17=0,"",'[1]REVISION-808'!FY17)</f>
      </c>
      <c r="P17" s="554">
        <f>IF('[1]REVISION-808'!FZ17=0,"",'[1]REVISION-808'!FZ17)</f>
      </c>
      <c r="Q17" s="554">
        <f>IF('[1]REVISION-808'!GA17=0,"",'[1]REVISION-808'!GA17)</f>
      </c>
      <c r="R17" s="554">
        <f>IF('[1]REVISION-808'!GB17=0,"",'[1]REVISION-808'!GB17)</f>
      </c>
      <c r="S17" s="555"/>
      <c r="T17" s="542"/>
    </row>
    <row r="18" spans="2:20" s="543" customFormat="1" ht="19.5" customHeight="1">
      <c r="B18" s="544"/>
      <c r="C18" s="556">
        <f>IF('[1]REVISION-808'!C18=0,"",'[1]REVISION-808'!C18)</f>
        <v>2</v>
      </c>
      <c r="D18" s="557" t="str">
        <f>IF('[1]REVISION-808'!D18=0,"",'[1]REVISION-808'!D18)</f>
        <v>PASO DE LOS LIBRES - MONTE CASEROS</v>
      </c>
      <c r="E18" s="557">
        <f>IF('[1]REVISION-808'!E18=0,"",'[1]REVISION-808'!E18)</f>
        <v>132</v>
      </c>
      <c r="F18" s="558">
        <f>IF('[1]REVISION-808'!F18=0,"",'[1]REVISION-808'!F18)</f>
        <v>100.7</v>
      </c>
      <c r="G18" s="554">
        <f>IF('[1]REVISION-808'!FQ18=0,"",'[1]REVISION-808'!FQ18)</f>
      </c>
      <c r="H18" s="554">
        <f>IF('[1]REVISION-808'!FR18=0,"",'[1]REVISION-808'!FR18)</f>
      </c>
      <c r="I18" s="554">
        <f>IF('[1]REVISION-808'!FS18=0,"",'[1]REVISION-808'!FS18)</f>
      </c>
      <c r="J18" s="554">
        <f>IF('[1]REVISION-808'!FT18=0,"",'[1]REVISION-808'!FT18)</f>
      </c>
      <c r="K18" s="554">
        <f>IF('[1]REVISION-808'!FU18=0,"",'[1]REVISION-808'!FU18)</f>
      </c>
      <c r="L18" s="554">
        <f>IF('[1]REVISION-808'!FV18=0,"",'[1]REVISION-808'!FV18)</f>
      </c>
      <c r="M18" s="554">
        <f>IF('[1]REVISION-808'!FW18=0,"",'[1]REVISION-808'!FW18)</f>
      </c>
      <c r="N18" s="554">
        <f>IF('[1]REVISION-808'!FX18=0,"",'[1]REVISION-808'!FX18)</f>
      </c>
      <c r="O18" s="554">
        <f>IF('[1]REVISION-808'!FY18=0,"",'[1]REVISION-808'!FY18)</f>
      </c>
      <c r="P18" s="554">
        <f>IF('[1]REVISION-808'!FZ18=0,"",'[1]REVISION-808'!FZ18)</f>
      </c>
      <c r="Q18" s="554">
        <f>IF('[1]REVISION-808'!GA18=0,"",'[1]REVISION-808'!GA18)</f>
      </c>
      <c r="R18" s="554">
        <f>IF('[1]REVISION-808'!GB18=0,"",'[1]REVISION-808'!GB18)</f>
      </c>
      <c r="S18" s="555"/>
      <c r="T18" s="542"/>
    </row>
    <row r="19" spans="2:20" s="543" customFormat="1" ht="19.5" customHeight="1">
      <c r="B19" s="544"/>
      <c r="C19" s="551">
        <f>IF('[1]REVISION-808'!C19=0,"",'[1]REVISION-808'!C19)</f>
      </c>
      <c r="D19" s="552">
        <f>IF('[1]REVISION-808'!D19=0,"",'[1]REVISION-808'!D19)</f>
      </c>
      <c r="E19" s="552">
        <f>IF('[1]REVISION-808'!E19=0,"",'[1]REVISION-808'!E19)</f>
      </c>
      <c r="F19" s="553">
        <f>IF('[1]REVISION-808'!F19=0,"",'[1]REVISION-808'!F19)</f>
      </c>
      <c r="G19" s="554">
        <f>IF('[1]REVISION-808'!FQ19=0,"",'[1]REVISION-808'!FQ19)</f>
      </c>
      <c r="H19" s="554">
        <f>IF('[1]REVISION-808'!FR19=0,"",'[1]REVISION-808'!FR19)</f>
      </c>
      <c r="I19" s="554">
        <f>IF('[1]REVISION-808'!FS19=0,"",'[1]REVISION-808'!FS19)</f>
      </c>
      <c r="J19" s="554">
        <f>IF('[1]REVISION-808'!FT19=0,"",'[1]REVISION-808'!FT19)</f>
      </c>
      <c r="K19" s="554">
        <f>IF('[1]REVISION-808'!FU19=0,"",'[1]REVISION-808'!FU19)</f>
      </c>
      <c r="L19" s="554">
        <f>IF('[1]REVISION-808'!FV19=0,"",'[1]REVISION-808'!FV19)</f>
      </c>
      <c r="M19" s="554">
        <f>IF('[1]REVISION-808'!FW19=0,"",'[1]REVISION-808'!FW19)</f>
      </c>
      <c r="N19" s="554">
        <f>IF('[1]REVISION-808'!FX19=0,"",'[1]REVISION-808'!FX19)</f>
      </c>
      <c r="O19" s="554">
        <f>IF('[1]REVISION-808'!FY19=0,"",'[1]REVISION-808'!FY19)</f>
      </c>
      <c r="P19" s="554">
        <f>IF('[1]REVISION-808'!FZ19=0,"",'[1]REVISION-808'!FZ19)</f>
      </c>
      <c r="Q19" s="554">
        <f>IF('[1]REVISION-808'!GA19=0,"",'[1]REVISION-808'!GA19)</f>
      </c>
      <c r="R19" s="554">
        <f>IF('[1]REVISION-808'!GB19=0,"",'[1]REVISION-808'!GB19)</f>
      </c>
      <c r="S19" s="555"/>
      <c r="T19" s="542"/>
    </row>
    <row r="20" spans="2:20" s="543" customFormat="1" ht="19.5" customHeight="1">
      <c r="B20" s="544"/>
      <c r="C20" s="556">
        <f>IF('[1]REVISION-808'!C20=0,"",'[1]REVISION-808'!C20)</f>
        <v>3</v>
      </c>
      <c r="D20" s="557" t="str">
        <f>IF('[1]REVISION-808'!D20=0,"",'[1]REVISION-808'!D20)</f>
        <v>BARRANQUERAS - RESISTENCIA 1</v>
      </c>
      <c r="E20" s="557">
        <f>IF('[1]REVISION-808'!E20=0,"",'[1]REVISION-808'!E20)</f>
        <v>132</v>
      </c>
      <c r="F20" s="558">
        <f>IF('[1]REVISION-808'!F20=0,"",'[1]REVISION-808'!F20)</f>
        <v>31.4</v>
      </c>
      <c r="G20" s="554">
        <f>IF('[1]REVISION-808'!FQ20=0,"",'[1]REVISION-808'!FQ20)</f>
      </c>
      <c r="H20" s="554">
        <f>IF('[1]REVISION-808'!FR20=0,"",'[1]REVISION-808'!FR20)</f>
      </c>
      <c r="I20" s="554">
        <f>IF('[1]REVISION-808'!FS20=0,"",'[1]REVISION-808'!FS20)</f>
        <v>1</v>
      </c>
      <c r="J20" s="554">
        <f>IF('[1]REVISION-808'!FT20=0,"",'[1]REVISION-808'!FT20)</f>
        <v>1</v>
      </c>
      <c r="K20" s="554">
        <f>IF('[1]REVISION-808'!FU20=0,"",'[1]REVISION-808'!FU20)</f>
        <v>1</v>
      </c>
      <c r="L20" s="554">
        <f>IF('[1]REVISION-808'!FV20=0,"",'[1]REVISION-808'!FV20)</f>
        <v>2</v>
      </c>
      <c r="M20" s="554">
        <f>IF('[1]REVISION-808'!FW20=0,"",'[1]REVISION-808'!FW20)</f>
        <v>1</v>
      </c>
      <c r="N20" s="554">
        <f>IF('[1]REVISION-808'!FX20=0,"",'[1]REVISION-808'!FX20)</f>
      </c>
      <c r="O20" s="554">
        <f>IF('[1]REVISION-808'!FY20=0,"",'[1]REVISION-808'!FY20)</f>
        <v>2</v>
      </c>
      <c r="P20" s="554">
        <f>IF('[1]REVISION-808'!FZ20=0,"",'[1]REVISION-808'!FZ20)</f>
      </c>
      <c r="Q20" s="554">
        <f>IF('[1]REVISION-808'!GA20=0,"",'[1]REVISION-808'!GA20)</f>
      </c>
      <c r="R20" s="554">
        <f>IF('[1]REVISION-808'!GB20=0,"",'[1]REVISION-808'!GB20)</f>
        <v>1</v>
      </c>
      <c r="S20" s="555"/>
      <c r="T20" s="542"/>
    </row>
    <row r="21" spans="2:20" s="543" customFormat="1" ht="19.5" customHeight="1">
      <c r="B21" s="544"/>
      <c r="C21" s="551">
        <f>IF('[1]REVISION-808'!C21=0,"",'[1]REVISION-808'!C21)</f>
        <v>4</v>
      </c>
      <c r="D21" s="552" t="str">
        <f>IF('[1]REVISION-808'!D21=0,"",'[1]REVISION-808'!D21)</f>
        <v>BARRANQUERAS - RESISTENCIA 2</v>
      </c>
      <c r="E21" s="552">
        <f>IF('[1]REVISION-808'!E21=0,"",'[1]REVISION-808'!E21)</f>
        <v>132</v>
      </c>
      <c r="F21" s="553">
        <f>IF('[1]REVISION-808'!F21=0,"",'[1]REVISION-808'!F21)</f>
        <v>30.2</v>
      </c>
      <c r="G21" s="554">
        <f>IF('[1]REVISION-808'!FQ21=0,"",'[1]REVISION-808'!FQ21)</f>
      </c>
      <c r="H21" s="554">
        <f>IF('[1]REVISION-808'!FR21=0,"",'[1]REVISION-808'!FR21)</f>
      </c>
      <c r="I21" s="554">
        <f>IF('[1]REVISION-808'!FS21=0,"",'[1]REVISION-808'!FS21)</f>
      </c>
      <c r="J21" s="554">
        <f>IF('[1]REVISION-808'!FT21=0,"",'[1]REVISION-808'!FT21)</f>
      </c>
      <c r="K21" s="554">
        <f>IF('[1]REVISION-808'!FU21=0,"",'[1]REVISION-808'!FU21)</f>
        <v>1</v>
      </c>
      <c r="L21" s="554">
        <f>IF('[1]REVISION-808'!FV21=0,"",'[1]REVISION-808'!FV21)</f>
      </c>
      <c r="M21" s="554">
        <f>IF('[1]REVISION-808'!FW21=0,"",'[1]REVISION-808'!FW21)</f>
      </c>
      <c r="N21" s="554">
        <f>IF('[1]REVISION-808'!FX21=0,"",'[1]REVISION-808'!FX21)</f>
      </c>
      <c r="O21" s="554">
        <f>IF('[1]REVISION-808'!FY21=0,"",'[1]REVISION-808'!FY21)</f>
      </c>
      <c r="P21" s="554">
        <f>IF('[1]REVISION-808'!FZ21=0,"",'[1]REVISION-808'!FZ21)</f>
      </c>
      <c r="Q21" s="554">
        <f>IF('[1]REVISION-808'!GA21=0,"",'[1]REVISION-808'!GA21)</f>
      </c>
      <c r="R21" s="554">
        <f>IF('[1]REVISION-808'!GB21=0,"",'[1]REVISION-808'!GB21)</f>
      </c>
      <c r="S21" s="555"/>
      <c r="T21" s="542"/>
    </row>
    <row r="22" spans="2:20" s="543" customFormat="1" ht="19.5" customHeight="1">
      <c r="B22" s="544"/>
      <c r="C22" s="556">
        <f>IF('[1]REVISION-808'!C22=0,"",'[1]REVISION-808'!C22)</f>
        <v>5</v>
      </c>
      <c r="D22" s="557" t="str">
        <f>IF('[1]REVISION-808'!D22=0,"",'[1]REVISION-808'!D22)</f>
        <v>BELLA VISTA - GOYA</v>
      </c>
      <c r="E22" s="557">
        <f>IF('[1]REVISION-808'!E22=0,"",'[1]REVISION-808'!E22)</f>
        <v>132</v>
      </c>
      <c r="F22" s="558">
        <f>IF('[1]REVISION-808'!F22=0,"",'[1]REVISION-808'!F22)</f>
        <v>77.7</v>
      </c>
      <c r="G22" s="554">
        <f>IF('[1]REVISION-808'!FQ22=0,"",'[1]REVISION-808'!FQ22)</f>
      </c>
      <c r="H22" s="554">
        <f>IF('[1]REVISION-808'!FR22=0,"",'[1]REVISION-808'!FR22)</f>
      </c>
      <c r="I22" s="554">
        <f>IF('[1]REVISION-808'!FS22=0,"",'[1]REVISION-808'!FS22)</f>
      </c>
      <c r="J22" s="554">
        <f>IF('[1]REVISION-808'!FT22=0,"",'[1]REVISION-808'!FT22)</f>
      </c>
      <c r="K22" s="554">
        <f>IF('[1]REVISION-808'!FU22=0,"",'[1]REVISION-808'!FU22)</f>
      </c>
      <c r="L22" s="554">
        <f>IF('[1]REVISION-808'!FV22=0,"",'[1]REVISION-808'!FV22)</f>
      </c>
      <c r="M22" s="554">
        <f>IF('[1]REVISION-808'!FW22=0,"",'[1]REVISION-808'!FW22)</f>
      </c>
      <c r="N22" s="554">
        <f>IF('[1]REVISION-808'!FX22=0,"",'[1]REVISION-808'!FX22)</f>
      </c>
      <c r="O22" s="554">
        <f>IF('[1]REVISION-808'!FY22=0,"",'[1]REVISION-808'!FY22)</f>
      </c>
      <c r="P22" s="554">
        <f>IF('[1]REVISION-808'!FZ22=0,"",'[1]REVISION-808'!FZ22)</f>
        <v>1</v>
      </c>
      <c r="Q22" s="554">
        <f>IF('[1]REVISION-808'!GA22=0,"",'[1]REVISION-808'!GA22)</f>
      </c>
      <c r="R22" s="554">
        <f>IF('[1]REVISION-808'!GB22=0,"",'[1]REVISION-808'!GB22)</f>
      </c>
      <c r="S22" s="555"/>
      <c r="T22" s="542"/>
    </row>
    <row r="23" spans="2:20" s="543" customFormat="1" ht="19.5" customHeight="1">
      <c r="B23" s="544"/>
      <c r="C23" s="551">
        <f>IF('[1]REVISION-808'!C23=0,"",'[1]REVISION-808'!C23)</f>
        <v>6</v>
      </c>
      <c r="D23" s="552" t="str">
        <f>IF('[1]REVISION-808'!D23=0,"",'[1]REVISION-808'!D23)</f>
        <v>BELLA VISTA - SANTA CATALINA</v>
      </c>
      <c r="E23" s="552">
        <f>IF('[1]REVISION-808'!E23=0,"",'[1]REVISION-808'!E23)</f>
        <v>132</v>
      </c>
      <c r="F23" s="553">
        <f>IF('[1]REVISION-808'!F23=0,"",'[1]REVISION-808'!F23)</f>
        <v>121</v>
      </c>
      <c r="G23" s="554">
        <f>IF('[1]REVISION-808'!FQ23=0,"",'[1]REVISION-808'!FQ23)</f>
        <v>1</v>
      </c>
      <c r="H23" s="554">
        <f>IF('[1]REVISION-808'!FR23=0,"",'[1]REVISION-808'!FR23)</f>
      </c>
      <c r="I23" s="554">
        <f>IF('[1]REVISION-808'!FS23=0,"",'[1]REVISION-808'!FS23)</f>
      </c>
      <c r="J23" s="554">
        <f>IF('[1]REVISION-808'!FT23=0,"",'[1]REVISION-808'!FT23)</f>
      </c>
      <c r="K23" s="554">
        <f>IF('[1]REVISION-808'!FU23=0,"",'[1]REVISION-808'!FU23)</f>
      </c>
      <c r="L23" s="554">
        <f>IF('[1]REVISION-808'!FV23=0,"",'[1]REVISION-808'!FV23)</f>
      </c>
      <c r="M23" s="554">
        <f>IF('[1]REVISION-808'!FW23=0,"",'[1]REVISION-808'!FW23)</f>
      </c>
      <c r="N23" s="554">
        <f>IF('[1]REVISION-808'!FX23=0,"",'[1]REVISION-808'!FX23)</f>
      </c>
      <c r="O23" s="554">
        <f>IF('[1]REVISION-808'!FY23=0,"",'[1]REVISION-808'!FY23)</f>
      </c>
      <c r="P23" s="554">
        <f>IF('[1]REVISION-808'!FZ23=0,"",'[1]REVISION-808'!FZ23)</f>
        <v>2</v>
      </c>
      <c r="Q23" s="554">
        <f>IF('[1]REVISION-808'!GA23=0,"",'[1]REVISION-808'!GA23)</f>
      </c>
      <c r="R23" s="554">
        <f>IF('[1]REVISION-808'!GB23=0,"",'[1]REVISION-808'!GB23)</f>
        <v>1</v>
      </c>
      <c r="S23" s="555"/>
      <c r="T23" s="542"/>
    </row>
    <row r="24" spans="2:20" s="543" customFormat="1" ht="19.5" customHeight="1">
      <c r="B24" s="544"/>
      <c r="C24" s="556">
        <f>IF('[1]REVISION-808'!C24=0,"",'[1]REVISION-808'!C24)</f>
        <v>7</v>
      </c>
      <c r="D24" s="557" t="str">
        <f>IF('[1]REVISION-808'!D24=0,"",'[1]REVISION-808'!D24)</f>
        <v>CLORINDA - FORMOSA</v>
      </c>
      <c r="E24" s="557">
        <f>IF('[1]REVISION-808'!E24=0,"",'[1]REVISION-808'!E24)</f>
        <v>132</v>
      </c>
      <c r="F24" s="558">
        <f>IF('[1]REVISION-808'!F24=0,"",'[1]REVISION-808'!F24)</f>
        <v>111</v>
      </c>
      <c r="G24" s="554">
        <f>IF('[1]REVISION-808'!FQ24=0,"",'[1]REVISION-808'!FQ24)</f>
      </c>
      <c r="H24" s="554">
        <f>IF('[1]REVISION-808'!FR24=0,"",'[1]REVISION-808'!FR24)</f>
      </c>
      <c r="I24" s="554">
        <f>IF('[1]REVISION-808'!FS24=0,"",'[1]REVISION-808'!FS24)</f>
      </c>
      <c r="J24" s="554">
        <f>IF('[1]REVISION-808'!FT24=0,"",'[1]REVISION-808'!FT24)</f>
      </c>
      <c r="K24" s="554">
        <f>IF('[1]REVISION-808'!FU24=0,"",'[1]REVISION-808'!FU24)</f>
      </c>
      <c r="L24" s="554">
        <f>IF('[1]REVISION-808'!FV24=0,"",'[1]REVISION-808'!FV24)</f>
      </c>
      <c r="M24" s="554">
        <f>IF('[1]REVISION-808'!FW24=0,"",'[1]REVISION-808'!FW24)</f>
      </c>
      <c r="N24" s="554">
        <f>IF('[1]REVISION-808'!FX24=0,"",'[1]REVISION-808'!FX24)</f>
      </c>
      <c r="O24" s="554">
        <f>IF('[1]REVISION-808'!FY24=0,"",'[1]REVISION-808'!FY24)</f>
        <v>1</v>
      </c>
      <c r="P24" s="554">
        <f>IF('[1]REVISION-808'!FZ24=0,"",'[1]REVISION-808'!FZ24)</f>
        <v>1</v>
      </c>
      <c r="Q24" s="554">
        <f>IF('[1]REVISION-808'!GA24=0,"",'[1]REVISION-808'!GA24)</f>
      </c>
      <c r="R24" s="554">
        <f>IF('[1]REVISION-808'!GB24=0,"",'[1]REVISION-808'!GB24)</f>
      </c>
      <c r="S24" s="555"/>
      <c r="T24" s="542"/>
    </row>
    <row r="25" spans="2:20" s="543" customFormat="1" ht="19.5" customHeight="1">
      <c r="B25" s="544"/>
      <c r="C25" s="551">
        <f>IF('[1]REVISION-808'!C25=0,"",'[1]REVISION-808'!C25)</f>
      </c>
      <c r="D25" s="552">
        <f>IF('[1]REVISION-808'!D25=0,"",'[1]REVISION-808'!D25)</f>
      </c>
      <c r="E25" s="552">
        <f>IF('[1]REVISION-808'!E25=0,"",'[1]REVISION-808'!E25)</f>
      </c>
      <c r="F25" s="553">
        <f>IF('[1]REVISION-808'!F25=0,"",'[1]REVISION-808'!F25)</f>
      </c>
      <c r="G25" s="554">
        <f>IF('[1]REVISION-808'!FQ25=0,"",'[1]REVISION-808'!FQ25)</f>
      </c>
      <c r="H25" s="554">
        <f>IF('[1]REVISION-808'!FR25=0,"",'[1]REVISION-808'!FR25)</f>
      </c>
      <c r="I25" s="554">
        <f>IF('[1]REVISION-808'!FS25=0,"",'[1]REVISION-808'!FS25)</f>
      </c>
      <c r="J25" s="554">
        <f>IF('[1]REVISION-808'!FT25=0,"",'[1]REVISION-808'!FT25)</f>
      </c>
      <c r="K25" s="554">
        <f>IF('[1]REVISION-808'!FU25=0,"",'[1]REVISION-808'!FU25)</f>
      </c>
      <c r="L25" s="554">
        <f>IF('[1]REVISION-808'!FV25=0,"",'[1]REVISION-808'!FV25)</f>
      </c>
      <c r="M25" s="554">
        <f>IF('[1]REVISION-808'!FW25=0,"",'[1]REVISION-808'!FW25)</f>
      </c>
      <c r="N25" s="554">
        <f>IF('[1]REVISION-808'!FX25=0,"",'[1]REVISION-808'!FX25)</f>
      </c>
      <c r="O25" s="554">
        <f>IF('[1]REVISION-808'!FY25=0,"",'[1]REVISION-808'!FY25)</f>
      </c>
      <c r="P25" s="554">
        <f>IF('[1]REVISION-808'!FZ25=0,"",'[1]REVISION-808'!FZ25)</f>
      </c>
      <c r="Q25" s="554">
        <f>IF('[1]REVISION-808'!GA25=0,"",'[1]REVISION-808'!GA25)</f>
      </c>
      <c r="R25" s="554">
        <f>IF('[1]REVISION-808'!GB25=0,"",'[1]REVISION-808'!GB25)</f>
      </c>
      <c r="S25" s="555"/>
      <c r="T25" s="542"/>
    </row>
    <row r="26" spans="2:20" s="543" customFormat="1" ht="19.5" customHeight="1">
      <c r="B26" s="544"/>
      <c r="C26" s="556">
        <f>IF('[1]REVISION-808'!C26=0,"",'[1]REVISION-808'!C26)</f>
        <v>8</v>
      </c>
      <c r="D26" s="557" t="str">
        <f>IF('[1]REVISION-808'!D26=0,"",'[1]REVISION-808'!D26)</f>
        <v>FORMOSA - RESISTENCIA</v>
      </c>
      <c r="E26" s="557">
        <f>IF('[1]REVISION-808'!E26=0,"",'[1]REVISION-808'!E26)</f>
        <v>132</v>
      </c>
      <c r="F26" s="558">
        <f>IF('[1]REVISION-808'!F26=0,"",'[1]REVISION-808'!F26)</f>
        <v>178</v>
      </c>
      <c r="G26" s="554">
        <f>IF('[1]REVISION-808'!FQ26=0,"",'[1]REVISION-808'!FQ26)</f>
        <v>1</v>
      </c>
      <c r="H26" s="554">
        <f>IF('[1]REVISION-808'!FR26=0,"",'[1]REVISION-808'!FR26)</f>
        <v>1</v>
      </c>
      <c r="I26" s="554">
        <f>IF('[1]REVISION-808'!FS26=0,"",'[1]REVISION-808'!FS26)</f>
      </c>
      <c r="J26" s="554">
        <f>IF('[1]REVISION-808'!FT26=0,"",'[1]REVISION-808'!FT26)</f>
      </c>
      <c r="K26" s="554">
        <f>IF('[1]REVISION-808'!FU26=0,"",'[1]REVISION-808'!FU26)</f>
      </c>
      <c r="L26" s="554">
        <f>IF('[1]REVISION-808'!FV26=0,"",'[1]REVISION-808'!FV26)</f>
        <v>1</v>
      </c>
      <c r="M26" s="554">
        <f>IF('[1]REVISION-808'!FW26=0,"",'[1]REVISION-808'!FW26)</f>
      </c>
      <c r="N26" s="554">
        <f>IF('[1]REVISION-808'!FX26=0,"",'[1]REVISION-808'!FX26)</f>
      </c>
      <c r="O26" s="554">
        <f>IF('[1]REVISION-808'!FY26=0,"",'[1]REVISION-808'!FY26)</f>
      </c>
      <c r="P26" s="554">
        <f>IF('[1]REVISION-808'!FZ26=0,"",'[1]REVISION-808'!FZ26)</f>
        <v>1</v>
      </c>
      <c r="Q26" s="554">
        <f>IF('[1]REVISION-808'!GA26=0,"",'[1]REVISION-808'!GA26)</f>
      </c>
      <c r="R26" s="554">
        <f>IF('[1]REVISION-808'!GB26=0,"",'[1]REVISION-808'!GB26)</f>
      </c>
      <c r="S26" s="555"/>
      <c r="T26" s="542"/>
    </row>
    <row r="27" spans="2:20" s="543" customFormat="1" ht="19.5" customHeight="1">
      <c r="B27" s="544"/>
      <c r="C27" s="551">
        <f>IF('[1]REVISION-808'!C27=0,"",'[1]REVISION-808'!C27)</f>
        <v>9</v>
      </c>
      <c r="D27" s="552" t="str">
        <f>IF('[1]REVISION-808'!D27=0,"",'[1]REVISION-808'!D27)</f>
        <v>MONTE CASEROS - CHAJARÍ</v>
      </c>
      <c r="E27" s="552">
        <f>IF('[1]REVISION-808'!E27=0,"",'[1]REVISION-808'!E27)</f>
        <v>132</v>
      </c>
      <c r="F27" s="553">
        <f>IF('[1]REVISION-808'!F27=0,"",'[1]REVISION-808'!F27)</f>
        <v>74.5</v>
      </c>
      <c r="G27" s="554">
        <f>IF('[1]REVISION-808'!FQ27=0,"",'[1]REVISION-808'!FQ27)</f>
        <v>1</v>
      </c>
      <c r="H27" s="554">
        <f>IF('[1]REVISION-808'!FR27=0,"",'[1]REVISION-808'!FR27)</f>
      </c>
      <c r="I27" s="554">
        <f>IF('[1]REVISION-808'!FS27=0,"",'[1]REVISION-808'!FS27)</f>
      </c>
      <c r="J27" s="554">
        <f>IF('[1]REVISION-808'!FT27=0,"",'[1]REVISION-808'!FT27)</f>
      </c>
      <c r="K27" s="554">
        <f>IF('[1]REVISION-808'!FU27=0,"",'[1]REVISION-808'!FU27)</f>
        <v>1</v>
      </c>
      <c r="L27" s="554">
        <f>IF('[1]REVISION-808'!FV27=0,"",'[1]REVISION-808'!FV27)</f>
        <v>2</v>
      </c>
      <c r="M27" s="554">
        <f>IF('[1]REVISION-808'!FW27=0,"",'[1]REVISION-808'!FW27)</f>
      </c>
      <c r="N27" s="554">
        <f>IF('[1]REVISION-808'!FX27=0,"",'[1]REVISION-808'!FX27)</f>
        <v>1</v>
      </c>
      <c r="O27" s="554">
        <f>IF('[1]REVISION-808'!FY27=0,"",'[1]REVISION-808'!FY27)</f>
      </c>
      <c r="P27" s="554">
        <f>IF('[1]REVISION-808'!FZ27=0,"",'[1]REVISION-808'!FZ27)</f>
        <v>4</v>
      </c>
      <c r="Q27" s="554">
        <f>IF('[1]REVISION-808'!GA27=0,"",'[1]REVISION-808'!GA27)</f>
        <v>3</v>
      </c>
      <c r="R27" s="554">
        <f>IF('[1]REVISION-808'!GB27=0,"",'[1]REVISION-808'!GB27)</f>
        <v>1</v>
      </c>
      <c r="S27" s="555"/>
      <c r="T27" s="542"/>
    </row>
    <row r="28" spans="2:20" s="543" customFormat="1" ht="19.5" customHeight="1">
      <c r="B28" s="544"/>
      <c r="C28" s="556">
        <f>IF('[1]REVISION-808'!C28=0,"",'[1]REVISION-808'!C28)</f>
        <v>10</v>
      </c>
      <c r="D28" s="557" t="str">
        <f>IF('[1]REVISION-808'!D28=0,"",'[1]REVISION-808'!D28)</f>
        <v>PASO DE LOS LIBRES - URUGUAYANA</v>
      </c>
      <c r="E28" s="557">
        <f>IF('[1]REVISION-808'!E28=0,"",'[1]REVISION-808'!E28)</f>
        <v>132</v>
      </c>
      <c r="F28" s="558">
        <f>IF('[1]REVISION-808'!F28=0,"",'[1]REVISION-808'!F28)</f>
        <v>3.9</v>
      </c>
      <c r="G28" s="554">
        <f>IF('[1]REVISION-808'!FQ28=0,"",'[1]REVISION-808'!FQ28)</f>
      </c>
      <c r="H28" s="554">
        <f>IF('[1]REVISION-808'!FR28=0,"",'[1]REVISION-808'!FR28)</f>
      </c>
      <c r="I28" s="554">
        <f>IF('[1]REVISION-808'!FS28=0,"",'[1]REVISION-808'!FS28)</f>
      </c>
      <c r="J28" s="554">
        <f>IF('[1]REVISION-808'!FT28=0,"",'[1]REVISION-808'!FT28)</f>
      </c>
      <c r="K28" s="554">
        <f>IF('[1]REVISION-808'!FU28=0,"",'[1]REVISION-808'!FU28)</f>
      </c>
      <c r="L28" s="554">
        <f>IF('[1]REVISION-808'!FV28=0,"",'[1]REVISION-808'!FV28)</f>
      </c>
      <c r="M28" s="554">
        <f>IF('[1]REVISION-808'!FW28=0,"",'[1]REVISION-808'!FW28)</f>
      </c>
      <c r="N28" s="554">
        <f>IF('[1]REVISION-808'!FX28=0,"",'[1]REVISION-808'!FX28)</f>
      </c>
      <c r="O28" s="554">
        <f>IF('[1]REVISION-808'!FY28=0,"",'[1]REVISION-808'!FY28)</f>
      </c>
      <c r="P28" s="554">
        <f>IF('[1]REVISION-808'!FZ28=0,"",'[1]REVISION-808'!FZ28)</f>
      </c>
      <c r="Q28" s="554">
        <f>IF('[1]REVISION-808'!GA28=0,"",'[1]REVISION-808'!GA28)</f>
      </c>
      <c r="R28" s="554">
        <f>IF('[1]REVISION-808'!GB28=0,"",'[1]REVISION-808'!GB28)</f>
      </c>
      <c r="S28" s="555"/>
      <c r="T28" s="542"/>
    </row>
    <row r="29" spans="2:20" s="543" customFormat="1" ht="19.5" customHeight="1">
      <c r="B29" s="544"/>
      <c r="C29" s="551">
        <f>IF('[1]REVISION-808'!C29=0,"",'[1]REVISION-808'!C29)</f>
        <v>11</v>
      </c>
      <c r="D29" s="552" t="str">
        <f>IF('[1]REVISION-808'!D29=0,"",'[1]REVISION-808'!D29)</f>
        <v>SALTO GRANDE - CHAJARÍ</v>
      </c>
      <c r="E29" s="552">
        <f>IF('[1]REVISION-808'!E29=0,"",'[1]REVISION-808'!E29)</f>
        <v>132</v>
      </c>
      <c r="F29" s="553">
        <f>IF('[1]REVISION-808'!F29=0,"",'[1]REVISION-808'!F29)</f>
        <v>60.9</v>
      </c>
      <c r="G29" s="554">
        <f>IF('[1]REVISION-808'!FQ29=0,"",'[1]REVISION-808'!FQ29)</f>
      </c>
      <c r="H29" s="554">
        <f>IF('[1]REVISION-808'!FR29=0,"",'[1]REVISION-808'!FR29)</f>
      </c>
      <c r="I29" s="554">
        <f>IF('[1]REVISION-808'!FS29=0,"",'[1]REVISION-808'!FS29)</f>
      </c>
      <c r="J29" s="554">
        <f>IF('[1]REVISION-808'!FT29=0,"",'[1]REVISION-808'!FT29)</f>
        <v>2</v>
      </c>
      <c r="K29" s="554">
        <f>IF('[1]REVISION-808'!FU29=0,"",'[1]REVISION-808'!FU29)</f>
      </c>
      <c r="L29" s="554">
        <f>IF('[1]REVISION-808'!FV29=0,"",'[1]REVISION-808'!FV29)</f>
      </c>
      <c r="M29" s="554">
        <f>IF('[1]REVISION-808'!FW29=0,"",'[1]REVISION-808'!FW29)</f>
      </c>
      <c r="N29" s="554">
        <f>IF('[1]REVISION-808'!FX29=0,"",'[1]REVISION-808'!FX29)</f>
      </c>
      <c r="O29" s="554">
        <f>IF('[1]REVISION-808'!FY29=0,"",'[1]REVISION-808'!FY29)</f>
      </c>
      <c r="P29" s="554">
        <f>IF('[1]REVISION-808'!FZ29=0,"",'[1]REVISION-808'!FZ29)</f>
        <v>1</v>
      </c>
      <c r="Q29" s="554">
        <f>IF('[1]REVISION-808'!GA29=0,"",'[1]REVISION-808'!GA29)</f>
        <v>1</v>
      </c>
      <c r="R29" s="554">
        <f>IF('[1]REVISION-808'!GB29=0,"",'[1]REVISION-808'!GB29)</f>
      </c>
      <c r="S29" s="555"/>
      <c r="T29" s="542"/>
    </row>
    <row r="30" spans="2:20" s="543" customFormat="1" ht="19.5" customHeight="1">
      <c r="B30" s="544"/>
      <c r="C30" s="556">
        <f>IF('[1]REVISION-808'!C30=0,"",'[1]REVISION-808'!C30)</f>
        <v>12</v>
      </c>
      <c r="D30" s="557" t="str">
        <f>IF('[1]REVISION-808'!D30=0,"",'[1]REVISION-808'!D30)</f>
        <v>SANTA CATALINA - RESISTENCIA</v>
      </c>
      <c r="E30" s="557">
        <f>IF('[1]REVISION-808'!E30=0,"",'[1]REVISION-808'!E30)</f>
        <v>132</v>
      </c>
      <c r="F30" s="558">
        <f>IF('[1]REVISION-808'!F30=0,"",'[1]REVISION-808'!F30)</f>
        <v>42.4</v>
      </c>
      <c r="G30" s="554">
        <f>IF('[1]REVISION-808'!FQ30=0,"",'[1]REVISION-808'!FQ30)</f>
      </c>
      <c r="H30" s="554">
        <f>IF('[1]REVISION-808'!FR30=0,"",'[1]REVISION-808'!FR30)</f>
      </c>
      <c r="I30" s="554">
        <f>IF('[1]REVISION-808'!FS30=0,"",'[1]REVISION-808'!FS30)</f>
      </c>
      <c r="J30" s="554">
        <f>IF('[1]REVISION-808'!FT30=0,"",'[1]REVISION-808'!FT30)</f>
      </c>
      <c r="K30" s="554">
        <f>IF('[1]REVISION-808'!FU30=0,"",'[1]REVISION-808'!FU30)</f>
      </c>
      <c r="L30" s="554">
        <f>IF('[1]REVISION-808'!FV30=0,"",'[1]REVISION-808'!FV30)</f>
        <v>1</v>
      </c>
      <c r="M30" s="554">
        <f>IF('[1]REVISION-808'!FW30=0,"",'[1]REVISION-808'!FW30)</f>
      </c>
      <c r="N30" s="554">
        <f>IF('[1]REVISION-808'!FX30=0,"",'[1]REVISION-808'!FX30)</f>
      </c>
      <c r="O30" s="554">
        <f>IF('[1]REVISION-808'!FY30=0,"",'[1]REVISION-808'!FY30)</f>
      </c>
      <c r="P30" s="554">
        <f>IF('[1]REVISION-808'!FZ30=0,"",'[1]REVISION-808'!FZ30)</f>
      </c>
      <c r="Q30" s="554">
        <f>IF('[1]REVISION-808'!GA30=0,"",'[1]REVISION-808'!GA30)</f>
      </c>
      <c r="R30" s="554">
        <f>IF('[1]REVISION-808'!GB30=0,"",'[1]REVISION-808'!GB30)</f>
        <v>1</v>
      </c>
      <c r="S30" s="555"/>
      <c r="T30" s="542"/>
    </row>
    <row r="31" spans="2:20" s="543" customFormat="1" ht="19.5" customHeight="1">
      <c r="B31" s="544"/>
      <c r="C31" s="551">
        <f>IF('[1]REVISION-808'!C31=0,"",'[1]REVISION-808'!C31)</f>
      </c>
      <c r="D31" s="552">
        <f>IF('[1]REVISION-808'!D31=0,"",'[1]REVISION-808'!D31)</f>
      </c>
      <c r="E31" s="552">
        <f>IF('[1]REVISION-808'!E31=0,"",'[1]REVISION-808'!E31)</f>
      </c>
      <c r="F31" s="553">
        <f>IF('[1]REVISION-808'!F31=0,"",'[1]REVISION-808'!F31)</f>
      </c>
      <c r="G31" s="554">
        <f>IF('[1]REVISION-808'!FQ31=0,"",'[1]REVISION-808'!FQ31)</f>
      </c>
      <c r="H31" s="554">
        <f>IF('[1]REVISION-808'!FR31=0,"",'[1]REVISION-808'!FR31)</f>
      </c>
      <c r="I31" s="554">
        <f>IF('[1]REVISION-808'!FS31=0,"",'[1]REVISION-808'!FS31)</f>
      </c>
      <c r="J31" s="554">
        <f>IF('[1]REVISION-808'!FT31=0,"",'[1]REVISION-808'!FT31)</f>
      </c>
      <c r="K31" s="554">
        <f>IF('[1]REVISION-808'!FU31=0,"",'[1]REVISION-808'!FU31)</f>
      </c>
      <c r="L31" s="554">
        <f>IF('[1]REVISION-808'!FV31=0,"",'[1]REVISION-808'!FV31)</f>
      </c>
      <c r="M31" s="554">
        <f>IF('[1]REVISION-808'!FW31=0,"",'[1]REVISION-808'!FW31)</f>
      </c>
      <c r="N31" s="554">
        <f>IF('[1]REVISION-808'!FX31=0,"",'[1]REVISION-808'!FX31)</f>
      </c>
      <c r="O31" s="554">
        <f>IF('[1]REVISION-808'!FY31=0,"",'[1]REVISION-808'!FY31)</f>
      </c>
      <c r="P31" s="554">
        <f>IF('[1]REVISION-808'!FZ31=0,"",'[1]REVISION-808'!FZ31)</f>
      </c>
      <c r="Q31" s="554">
        <f>IF('[1]REVISION-808'!GA31=0,"",'[1]REVISION-808'!GA31)</f>
      </c>
      <c r="R31" s="554">
        <f>IF('[1]REVISION-808'!GB31=0,"",'[1]REVISION-808'!GB31)</f>
      </c>
      <c r="S31" s="555"/>
      <c r="T31" s="542"/>
    </row>
    <row r="32" spans="2:20" s="543" customFormat="1" ht="19.5" customHeight="1">
      <c r="B32" s="544"/>
      <c r="C32" s="556">
        <f>IF('[1]REVISION-808'!C32=0,"",'[1]REVISION-808'!C32)</f>
        <v>13</v>
      </c>
      <c r="D32" s="557" t="str">
        <f>IF('[1]REVISION-808'!D32=0,"",'[1]REVISION-808'!D32)</f>
        <v>BARRANQUERAS -CORRIENTES I</v>
      </c>
      <c r="E32" s="557">
        <f>IF('[1]REVISION-808'!E32=0,"",'[1]REVISION-808'!E32)</f>
        <v>33</v>
      </c>
      <c r="F32" s="558"/>
      <c r="G32" s="554">
        <f>IF('[1]REVISION-808'!FQ32=0,"",'[1]REVISION-808'!FQ32)</f>
      </c>
      <c r="H32" s="554">
        <f>IF('[1]REVISION-808'!FR32=0,"",'[1]REVISION-808'!FR32)</f>
        <v>1</v>
      </c>
      <c r="I32" s="554">
        <f>IF('[1]REVISION-808'!FS32=0,"",'[1]REVISION-808'!FS32)</f>
        <v>1</v>
      </c>
      <c r="J32" s="554">
        <f>IF('[1]REVISION-808'!FT32=0,"",'[1]REVISION-808'!FT32)</f>
      </c>
      <c r="K32" s="554">
        <f>IF('[1]REVISION-808'!FU32=0,"",'[1]REVISION-808'!FU32)</f>
      </c>
      <c r="L32" s="554">
        <f>IF('[1]REVISION-808'!FV32=0,"",'[1]REVISION-808'!FV32)</f>
      </c>
      <c r="M32" s="554">
        <f>IF('[1]REVISION-808'!FW32=0,"",'[1]REVISION-808'!FW32)</f>
      </c>
      <c r="N32" s="554">
        <f>IF('[1]REVISION-808'!FX32=0,"",'[1]REVISION-808'!FX32)</f>
      </c>
      <c r="O32" s="554">
        <f>IF('[1]REVISION-808'!FY32=0,"",'[1]REVISION-808'!FY32)</f>
      </c>
      <c r="P32" s="554">
        <f>IF('[1]REVISION-808'!FZ32=0,"",'[1]REVISION-808'!FZ32)</f>
        <v>1</v>
      </c>
      <c r="Q32" s="554">
        <f>IF('[1]REVISION-808'!GA32=0,"",'[1]REVISION-808'!GA32)</f>
      </c>
      <c r="R32" s="554">
        <f>IF('[1]REVISION-808'!GB32=0,"",'[1]REVISION-808'!GB32)</f>
      </c>
      <c r="S32" s="555"/>
      <c r="T32" s="542"/>
    </row>
    <row r="33" spans="2:20" s="543" customFormat="1" ht="19.5" customHeight="1">
      <c r="B33" s="544"/>
      <c r="C33" s="551">
        <f>IF('[1]REVISION-808'!C33=0,"",'[1]REVISION-808'!C33)</f>
        <v>14</v>
      </c>
      <c r="D33" s="552" t="str">
        <f>IF('[1]REVISION-808'!D33=0,"",'[1]REVISION-808'!D33)</f>
        <v>BARRANQUERAS -CORRIENTES II</v>
      </c>
      <c r="E33" s="552">
        <f>IF('[1]REVISION-808'!E33=0,"",'[1]REVISION-808'!E33)</f>
        <v>33</v>
      </c>
      <c r="F33" s="553">
        <f>IF('[1]REVISION-808'!F33=0,"",'[1]REVISION-808'!F33)</f>
        <v>11.8</v>
      </c>
      <c r="G33" s="554">
        <f>IF('[1]REVISION-808'!FQ33=0,"",'[1]REVISION-808'!FQ33)</f>
      </c>
      <c r="H33" s="554">
        <f>IF('[1]REVISION-808'!FR33=0,"",'[1]REVISION-808'!FR33)</f>
        <v>1</v>
      </c>
      <c r="I33" s="554">
        <f>IF('[1]REVISION-808'!FS33=0,"",'[1]REVISION-808'!FS33)</f>
        <v>1</v>
      </c>
      <c r="J33" s="554">
        <f>IF('[1]REVISION-808'!FT33=0,"",'[1]REVISION-808'!FT33)</f>
      </c>
      <c r="K33" s="554">
        <f>IF('[1]REVISION-808'!FU33=0,"",'[1]REVISION-808'!FU33)</f>
      </c>
      <c r="L33" s="554">
        <f>IF('[1]REVISION-808'!FV33=0,"",'[1]REVISION-808'!FV33)</f>
      </c>
      <c r="M33" s="554">
        <f>IF('[1]REVISION-808'!FW33=0,"",'[1]REVISION-808'!FW33)</f>
      </c>
      <c r="N33" s="554">
        <f>IF('[1]REVISION-808'!FX33=0,"",'[1]REVISION-808'!FX33)</f>
      </c>
      <c r="O33" s="554">
        <f>IF('[1]REVISION-808'!FY33=0,"",'[1]REVISION-808'!FY33)</f>
      </c>
      <c r="P33" s="554">
        <f>IF('[1]REVISION-808'!FZ33=0,"",'[1]REVISION-808'!FZ33)</f>
        <v>1</v>
      </c>
      <c r="Q33" s="554">
        <f>IF('[1]REVISION-808'!GA33=0,"",'[1]REVISION-808'!GA33)</f>
      </c>
      <c r="R33" s="554">
        <f>IF('[1]REVISION-808'!GB33=0,"",'[1]REVISION-808'!GB33)</f>
      </c>
      <c r="S33" s="555"/>
      <c r="T33" s="542"/>
    </row>
    <row r="34" spans="2:20" s="543" customFormat="1" ht="19.5" customHeight="1">
      <c r="B34" s="544"/>
      <c r="C34" s="556">
        <f>IF('[1]REVISION-808'!C34=0,"",'[1]REVISION-808'!C34)</f>
      </c>
      <c r="D34" s="557"/>
      <c r="E34" s="557">
        <f>IF('[1]REVISION-808'!E34=0,"",'[1]REVISION-808'!E34)</f>
      </c>
      <c r="F34" s="558">
        <f>IF('[1]REVISION-808'!F34=0,"",'[1]REVISION-808'!F34)</f>
      </c>
      <c r="G34" s="554">
        <f>IF('[1]REVISION-808'!FQ34=0,"",'[1]REVISION-808'!FQ34)</f>
      </c>
      <c r="H34" s="554">
        <f>IF('[1]REVISION-808'!FR34=0,"",'[1]REVISION-808'!FR34)</f>
      </c>
      <c r="I34" s="554">
        <f>IF('[1]REVISION-808'!FS34=0,"",'[1]REVISION-808'!FS34)</f>
      </c>
      <c r="J34" s="554">
        <f>IF('[1]REVISION-808'!FT34=0,"",'[1]REVISION-808'!FT34)</f>
      </c>
      <c r="K34" s="554">
        <f>IF('[1]REVISION-808'!FU34=0,"",'[1]REVISION-808'!FU34)</f>
      </c>
      <c r="L34" s="554">
        <f>IF('[1]REVISION-808'!FV34=0,"",'[1]REVISION-808'!FV34)</f>
      </c>
      <c r="M34" s="554">
        <f>IF('[1]REVISION-808'!FW34=0,"",'[1]REVISION-808'!FW34)</f>
      </c>
      <c r="N34" s="554">
        <f>IF('[1]REVISION-808'!FX34=0,"",'[1]REVISION-808'!FX34)</f>
      </c>
      <c r="O34" s="554">
        <f>IF('[1]REVISION-808'!FY34=0,"",'[1]REVISION-808'!FY34)</f>
      </c>
      <c r="P34" s="554">
        <f>IF('[1]REVISION-808'!FZ34=0,"",'[1]REVISION-808'!FZ34)</f>
      </c>
      <c r="Q34" s="554">
        <f>IF('[1]REVISION-808'!GA34=0,"",'[1]REVISION-808'!GA34)</f>
      </c>
      <c r="R34" s="554">
        <f>IF('[1]REVISION-808'!GB34=0,"",'[1]REVISION-808'!GB34)</f>
      </c>
      <c r="S34" s="555"/>
      <c r="T34" s="542"/>
    </row>
    <row r="35" spans="2:20" s="543" customFormat="1" ht="19.5" customHeight="1">
      <c r="B35" s="544"/>
      <c r="C35" s="551">
        <f>IF('[1]REVISION-808'!C35=0,"",'[1]REVISION-808'!C35)</f>
        <v>15</v>
      </c>
      <c r="D35" s="552" t="str">
        <f>IF('[1]REVISION-808'!D35=0,"",'[1]REVISION-808'!D35)</f>
        <v>PASO DE LA PATRIA - STA. CATALINA 1</v>
      </c>
      <c r="E35" s="552">
        <f>IF('[1]REVISION-808'!E35=0,"",'[1]REVISION-808'!E35)</f>
        <v>132</v>
      </c>
      <c r="F35" s="553">
        <f>IF('[1]REVISION-808'!F35=0,"",'[1]REVISION-808'!F35)</f>
        <v>20.8</v>
      </c>
      <c r="G35" s="554">
        <f>IF('[1]REVISION-808'!FQ35=0,"",'[1]REVISION-808'!FQ35)</f>
      </c>
      <c r="H35" s="554">
        <f>IF('[1]REVISION-808'!FR35=0,"",'[1]REVISION-808'!FR35)</f>
      </c>
      <c r="I35" s="554">
        <f>IF('[1]REVISION-808'!FS35=0,"",'[1]REVISION-808'!FS35)</f>
      </c>
      <c r="J35" s="554">
        <f>IF('[1]REVISION-808'!FT35=0,"",'[1]REVISION-808'!FT35)</f>
      </c>
      <c r="K35" s="554">
        <f>IF('[1]REVISION-808'!FU35=0,"",'[1]REVISION-808'!FU35)</f>
      </c>
      <c r="L35" s="554">
        <f>IF('[1]REVISION-808'!FV35=0,"",'[1]REVISION-808'!FV35)</f>
      </c>
      <c r="M35" s="554">
        <f>IF('[1]REVISION-808'!FW35=0,"",'[1]REVISION-808'!FW35)</f>
      </c>
      <c r="N35" s="554">
        <f>IF('[1]REVISION-808'!FX35=0,"",'[1]REVISION-808'!FX35)</f>
      </c>
      <c r="O35" s="554">
        <f>IF('[1]REVISION-808'!FY35=0,"",'[1]REVISION-808'!FY35)</f>
      </c>
      <c r="P35" s="554">
        <f>IF('[1]REVISION-808'!FZ35=0,"",'[1]REVISION-808'!FZ35)</f>
      </c>
      <c r="Q35" s="554">
        <f>IF('[1]REVISION-808'!GA35=0,"",'[1]REVISION-808'!GA35)</f>
      </c>
      <c r="R35" s="554">
        <f>IF('[1]REVISION-808'!GB35=0,"",'[1]REVISION-808'!GB35)</f>
      </c>
      <c r="S35" s="555"/>
      <c r="T35" s="542"/>
    </row>
    <row r="36" spans="2:20" s="543" customFormat="1" ht="19.5" customHeight="1">
      <c r="B36" s="544"/>
      <c r="C36" s="556">
        <f>IF('[1]REVISION-808'!C36=0,"",'[1]REVISION-808'!C36)</f>
        <v>16</v>
      </c>
      <c r="D36" s="557" t="str">
        <f>IF('[1]REVISION-808'!D36=0,"",'[1]REVISION-808'!D36)</f>
        <v>PASO DE LA PATRIA - STA. CATALINA 2</v>
      </c>
      <c r="E36" s="557">
        <f>IF('[1]REVISION-808'!E36=0,"",'[1]REVISION-808'!E36)</f>
        <v>132</v>
      </c>
      <c r="F36" s="558">
        <f>IF('[1]REVISION-808'!F36=0,"",'[1]REVISION-808'!F36)</f>
        <v>20.8</v>
      </c>
      <c r="G36" s="554">
        <f>IF('[1]REVISION-808'!FQ36=0,"",'[1]REVISION-808'!FQ36)</f>
      </c>
      <c r="H36" s="554">
        <f>IF('[1]REVISION-808'!FR36=0,"",'[1]REVISION-808'!FR36)</f>
      </c>
      <c r="I36" s="554">
        <f>IF('[1]REVISION-808'!FS36=0,"",'[1]REVISION-808'!FS36)</f>
      </c>
      <c r="J36" s="554">
        <f>IF('[1]REVISION-808'!FT36=0,"",'[1]REVISION-808'!FT36)</f>
      </c>
      <c r="K36" s="554">
        <f>IF('[1]REVISION-808'!FU36=0,"",'[1]REVISION-808'!FU36)</f>
      </c>
      <c r="L36" s="554">
        <f>IF('[1]REVISION-808'!FV36=0,"",'[1]REVISION-808'!FV36)</f>
      </c>
      <c r="M36" s="554">
        <f>IF('[1]REVISION-808'!FW36=0,"",'[1]REVISION-808'!FW36)</f>
      </c>
      <c r="N36" s="554">
        <f>IF('[1]REVISION-808'!FX36=0,"",'[1]REVISION-808'!FX36)</f>
      </c>
      <c r="O36" s="554">
        <f>IF('[1]REVISION-808'!FY36=0,"",'[1]REVISION-808'!FY36)</f>
      </c>
      <c r="P36" s="554">
        <f>IF('[1]REVISION-808'!FZ36=0,"",'[1]REVISION-808'!FZ36)</f>
      </c>
      <c r="Q36" s="554">
        <f>IF('[1]REVISION-808'!GA36=0,"",'[1]REVISION-808'!GA36)</f>
      </c>
      <c r="R36" s="554">
        <f>IF('[1]REVISION-808'!GB36=0,"",'[1]REVISION-808'!GB36)</f>
      </c>
      <c r="S36" s="555"/>
      <c r="T36" s="542"/>
    </row>
    <row r="37" spans="2:20" s="543" customFormat="1" ht="19.5" customHeight="1">
      <c r="B37" s="544"/>
      <c r="C37" s="551">
        <f>IF('[1]REVISION-808'!C37=0,"",'[1]REVISION-808'!C37)</f>
        <v>17</v>
      </c>
      <c r="D37" s="552" t="str">
        <f>IF('[1]REVISION-808'!D37=0,"",'[1]REVISION-808'!D37)</f>
        <v>CORRIENTES CENTRO - RESISTENCIA</v>
      </c>
      <c r="E37" s="552">
        <f>IF('[1]REVISION-808'!E37=0,"",'[1]REVISION-808'!E37)</f>
        <v>132</v>
      </c>
      <c r="F37" s="553">
        <f>IF('[1]REVISION-808'!F37=0,"",'[1]REVISION-808'!F37)</f>
        <v>35.4</v>
      </c>
      <c r="G37" s="554">
        <f>IF('[1]REVISION-808'!FQ37=0,"",'[1]REVISION-808'!FQ37)</f>
      </c>
      <c r="H37" s="554">
        <f>IF('[1]REVISION-808'!FR37=0,"",'[1]REVISION-808'!FR37)</f>
      </c>
      <c r="I37" s="554">
        <f>IF('[1]REVISION-808'!FS37=0,"",'[1]REVISION-808'!FS37)</f>
      </c>
      <c r="J37" s="554">
        <f>IF('[1]REVISION-808'!FT37=0,"",'[1]REVISION-808'!FT37)</f>
      </c>
      <c r="K37" s="554">
        <f>IF('[1]REVISION-808'!FU37=0,"",'[1]REVISION-808'!FU37)</f>
      </c>
      <c r="L37" s="554">
        <f>IF('[1]REVISION-808'!FV37=0,"",'[1]REVISION-808'!FV37)</f>
      </c>
      <c r="M37" s="554">
        <f>IF('[1]REVISION-808'!FW37=0,"",'[1]REVISION-808'!FW37)</f>
        <v>1</v>
      </c>
      <c r="N37" s="554">
        <f>IF('[1]REVISION-808'!FX37=0,"",'[1]REVISION-808'!FX37)</f>
      </c>
      <c r="O37" s="554">
        <f>IF('[1]REVISION-808'!FY37=0,"",'[1]REVISION-808'!FY37)</f>
      </c>
      <c r="P37" s="554">
        <f>IF('[1]REVISION-808'!FZ37=0,"",'[1]REVISION-808'!FZ37)</f>
      </c>
      <c r="Q37" s="554">
        <f>IF('[1]REVISION-808'!GA37=0,"",'[1]REVISION-808'!GA37)</f>
      </c>
      <c r="R37" s="554">
        <f>IF('[1]REVISION-808'!GB37=0,"",'[1]REVISION-808'!GB37)</f>
      </c>
      <c r="S37" s="555"/>
      <c r="T37" s="542"/>
    </row>
    <row r="38" spans="2:20" s="543" customFormat="1" ht="19.5" customHeight="1">
      <c r="B38" s="544"/>
      <c r="C38" s="556">
        <f>IF('[1]REVISION-808'!C38=0,"",'[1]REVISION-808'!C38)</f>
        <v>18</v>
      </c>
      <c r="D38" s="557" t="str">
        <f>IF('[1]REVISION-808'!D38=0,"",'[1]REVISION-808'!D38)</f>
        <v>CORRIENTES CENTRO - SANTA CATALINA</v>
      </c>
      <c r="E38" s="557">
        <f>IF('[1]REVISION-808'!E38=0,"",'[1]REVISION-808'!E38)</f>
        <v>132</v>
      </c>
      <c r="F38" s="558">
        <f>IF('[1]REVISION-808'!F38=0,"",'[1]REVISION-808'!F38)</f>
        <v>10.2</v>
      </c>
      <c r="G38" s="554">
        <f>IF('[1]REVISION-808'!FQ38=0,"",'[1]REVISION-808'!FQ38)</f>
      </c>
      <c r="H38" s="554">
        <f>IF('[1]REVISION-808'!FR38=0,"",'[1]REVISION-808'!FR38)</f>
      </c>
      <c r="I38" s="554">
        <f>IF('[1]REVISION-808'!FS38=0,"",'[1]REVISION-808'!FS38)</f>
      </c>
      <c r="J38" s="554">
        <f>IF('[1]REVISION-808'!FT38=0,"",'[1]REVISION-808'!FT38)</f>
      </c>
      <c r="K38" s="554">
        <f>IF('[1]REVISION-808'!FU38=0,"",'[1]REVISION-808'!FU38)</f>
        <v>1</v>
      </c>
      <c r="L38" s="554">
        <f>IF('[1]REVISION-808'!FV38=0,"",'[1]REVISION-808'!FV38)</f>
      </c>
      <c r="M38" s="554">
        <f>IF('[1]REVISION-808'!FW38=0,"",'[1]REVISION-808'!FW38)</f>
      </c>
      <c r="N38" s="554">
        <f>IF('[1]REVISION-808'!FX38=0,"",'[1]REVISION-808'!FX38)</f>
      </c>
      <c r="O38" s="554">
        <f>IF('[1]REVISION-808'!FY38=0,"",'[1]REVISION-808'!FY38)</f>
        <v>1</v>
      </c>
      <c r="P38" s="554">
        <f>IF('[1]REVISION-808'!FZ38=0,"",'[1]REVISION-808'!FZ38)</f>
      </c>
      <c r="Q38" s="554">
        <f>IF('[1]REVISION-808'!GA38=0,"",'[1]REVISION-808'!GA38)</f>
      </c>
      <c r="R38" s="554">
        <f>IF('[1]REVISION-808'!GB38=0,"",'[1]REVISION-808'!GB38)</f>
      </c>
      <c r="S38" s="555"/>
      <c r="T38" s="542"/>
    </row>
    <row r="39" spans="2:20" s="543" customFormat="1" ht="19.5" customHeight="1">
      <c r="B39" s="544"/>
      <c r="C39" s="551">
        <f>IF('[1]REVISION-808'!C39=0,"",'[1]REVISION-808'!C39)</f>
        <v>19</v>
      </c>
      <c r="D39" s="552" t="str">
        <f>IF('[1]REVISION-808'!D39=0,"",'[1]REVISION-808'!D39)</f>
        <v>RINCON - ITUZAINGO CORR. II</v>
      </c>
      <c r="E39" s="552">
        <f>IF('[1]REVISION-808'!E39=0,"",'[1]REVISION-808'!E39)</f>
        <v>132</v>
      </c>
      <c r="F39" s="553">
        <f>IF('[1]REVISION-808'!F39=0,"",'[1]REVISION-808'!F39)</f>
        <v>9.7</v>
      </c>
      <c r="G39" s="554">
        <f>IF('[1]REVISION-808'!FQ39=0,"",'[1]REVISION-808'!FQ39)</f>
      </c>
      <c r="H39" s="554">
        <f>IF('[1]REVISION-808'!FR39=0,"",'[1]REVISION-808'!FR39)</f>
      </c>
      <c r="I39" s="554">
        <f>IF('[1]REVISION-808'!FS39=0,"",'[1]REVISION-808'!FS39)</f>
      </c>
      <c r="J39" s="554">
        <f>IF('[1]REVISION-808'!FT39=0,"",'[1]REVISION-808'!FT39)</f>
      </c>
      <c r="K39" s="554">
        <f>IF('[1]REVISION-808'!FU39=0,"",'[1]REVISION-808'!FU39)</f>
      </c>
      <c r="L39" s="554">
        <f>IF('[1]REVISION-808'!FV39=0,"",'[1]REVISION-808'!FV39)</f>
      </c>
      <c r="M39" s="554">
        <f>IF('[1]REVISION-808'!FW39=0,"",'[1]REVISION-808'!FW39)</f>
      </c>
      <c r="N39" s="554">
        <f>IF('[1]REVISION-808'!FX39=0,"",'[1]REVISION-808'!FX39)</f>
      </c>
      <c r="O39" s="554">
        <f>IF('[1]REVISION-808'!FY39=0,"",'[1]REVISION-808'!FY39)</f>
      </c>
      <c r="P39" s="554">
        <f>IF('[1]REVISION-808'!FZ39=0,"",'[1]REVISION-808'!FZ39)</f>
      </c>
      <c r="Q39" s="554">
        <f>IF('[1]REVISION-808'!GA39=0,"",'[1]REVISION-808'!GA39)</f>
      </c>
      <c r="R39" s="554">
        <f>IF('[1]REVISION-808'!GB39=0,"",'[1]REVISION-808'!GB39)</f>
      </c>
      <c r="S39" s="555"/>
      <c r="T39" s="542"/>
    </row>
    <row r="40" spans="2:20" s="543" customFormat="1" ht="19.5" customHeight="1">
      <c r="B40" s="544"/>
      <c r="C40" s="556">
        <f>IF('[1]REVISION-808'!C40=0,"",'[1]REVISION-808'!C40)</f>
        <v>20</v>
      </c>
      <c r="D40" s="557" t="str">
        <f>IF('[1]REVISION-808'!D40=0,"",'[1]REVISION-808'!D40)</f>
        <v>VIRASORO SANTO TOMÉ</v>
      </c>
      <c r="E40" s="557">
        <f>IF('[1]REVISION-808'!E40=0,"",'[1]REVISION-808'!E40)</f>
        <v>33</v>
      </c>
      <c r="F40" s="558">
        <f>IF('[1]REVISION-808'!F40=0,"",'[1]REVISION-808'!F40)</f>
        <v>59</v>
      </c>
      <c r="G40" s="554">
        <f>IF('[1]REVISION-808'!FQ40=0,"",'[1]REVISION-808'!FQ40)</f>
      </c>
      <c r="H40" s="554">
        <f>IF('[1]REVISION-808'!FR40=0,"",'[1]REVISION-808'!FR40)</f>
      </c>
      <c r="I40" s="554">
        <f>IF('[1]REVISION-808'!FS40=0,"",'[1]REVISION-808'!FS40)</f>
      </c>
      <c r="J40" s="554">
        <f>IF('[1]REVISION-808'!FT40=0,"",'[1]REVISION-808'!FT40)</f>
      </c>
      <c r="K40" s="554">
        <f>IF('[1]REVISION-808'!FU40=0,"",'[1]REVISION-808'!FU40)</f>
      </c>
      <c r="L40" s="554">
        <f>IF('[1]REVISION-808'!FV40=0,"",'[1]REVISION-808'!FV40)</f>
      </c>
      <c r="M40" s="554">
        <f>IF('[1]REVISION-808'!FW40=0,"",'[1]REVISION-808'!FW40)</f>
      </c>
      <c r="N40" s="554">
        <f>IF('[1]REVISION-808'!FX40=0,"",'[1]REVISION-808'!FX40)</f>
      </c>
      <c r="O40" s="554">
        <f>IF('[1]REVISION-808'!FY40=0,"",'[1]REVISION-808'!FY40)</f>
      </c>
      <c r="P40" s="554">
        <f>IF('[1]REVISION-808'!FZ40=0,"",'[1]REVISION-808'!FZ40)</f>
      </c>
      <c r="Q40" s="554">
        <f>IF('[1]REVISION-808'!GA40=0,"",'[1]REVISION-808'!GA40)</f>
      </c>
      <c r="R40" s="554">
        <f>IF('[1]REVISION-808'!GB40=0,"",'[1]REVISION-808'!GB40)</f>
      </c>
      <c r="S40" s="555"/>
      <c r="T40" s="542"/>
    </row>
    <row r="41" spans="2:20" s="543" customFormat="1" ht="19.5" customHeight="1">
      <c r="B41" s="544"/>
      <c r="C41" s="551">
        <f>IF('[1]REVISION-808'!C41=0,"",'[1]REVISION-808'!C41)</f>
        <v>21</v>
      </c>
      <c r="D41" s="552" t="str">
        <f>IF('[1]REVISION-808'!D41=0,"",'[1]REVISION-808'!D41)</f>
        <v>ITUZAINGO CORR. - VIRASORO</v>
      </c>
      <c r="E41" s="552">
        <f>IF('[1]REVISION-808'!E41=0,"",'[1]REVISION-808'!E41)</f>
        <v>132</v>
      </c>
      <c r="F41" s="553">
        <f>IF('[1]REVISION-808'!F41=0,"",'[1]REVISION-808'!F41)</f>
        <v>95</v>
      </c>
      <c r="G41" s="554">
        <f>IF('[1]REVISION-808'!FQ41=0,"",'[1]REVISION-808'!FQ41)</f>
      </c>
      <c r="H41" s="554">
        <f>IF('[1]REVISION-808'!FR41=0,"",'[1]REVISION-808'!FR41)</f>
      </c>
      <c r="I41" s="554">
        <f>IF('[1]REVISION-808'!FS41=0,"",'[1]REVISION-808'!FS41)</f>
      </c>
      <c r="J41" s="554">
        <f>IF('[1]REVISION-808'!FT41=0,"",'[1]REVISION-808'!FT41)</f>
      </c>
      <c r="K41" s="554">
        <f>IF('[1]REVISION-808'!FU41=0,"",'[1]REVISION-808'!FU41)</f>
      </c>
      <c r="L41" s="554">
        <f>IF('[1]REVISION-808'!FV41=0,"",'[1]REVISION-808'!FV41)</f>
      </c>
      <c r="M41" s="554">
        <f>IF('[1]REVISION-808'!FW41=0,"",'[1]REVISION-808'!FW41)</f>
      </c>
      <c r="N41" s="554">
        <f>IF('[1]REVISION-808'!FX41=0,"",'[1]REVISION-808'!FX41)</f>
      </c>
      <c r="O41" s="554">
        <f>IF('[1]REVISION-808'!FY41=0,"",'[1]REVISION-808'!FY41)</f>
      </c>
      <c r="P41" s="554">
        <f>IF('[1]REVISION-808'!FZ41=0,"",'[1]REVISION-808'!FZ41)</f>
      </c>
      <c r="Q41" s="554">
        <f>IF('[1]REVISION-808'!GA41=0,"",'[1]REVISION-808'!GA41)</f>
      </c>
      <c r="R41" s="554">
        <f>IF('[1]REVISION-808'!GB41=0,"",'[1]REVISION-808'!GB41)</f>
      </c>
      <c r="S41" s="555"/>
      <c r="T41" s="542"/>
    </row>
    <row r="42" spans="2:20" s="543" customFormat="1" ht="19.5" customHeight="1">
      <c r="B42" s="544"/>
      <c r="C42" s="556">
        <f>IF('[1]REVISION-808'!C42=0,"",'[1]REVISION-808'!C42)</f>
        <v>22</v>
      </c>
      <c r="D42" s="557" t="str">
        <f>IF('[1]REVISION-808'!D42=0,"",'[1]REVISION-808'!D42)</f>
        <v>PIRANE IBARRETA 132 1</v>
      </c>
      <c r="E42" s="557">
        <f>IF('[1]REVISION-808'!E42=0,"",'[1]REVISION-808'!E42)</f>
        <v>132</v>
      </c>
      <c r="F42" s="558">
        <f>IF('[1]REVISION-808'!F42=0,"",'[1]REVISION-808'!F42)</f>
        <v>91.8</v>
      </c>
      <c r="G42" s="554">
        <f>IF('[1]REVISION-808'!FQ42=0,"",'[1]REVISION-808'!FQ42)</f>
      </c>
      <c r="H42" s="554">
        <f>IF('[1]REVISION-808'!FR42=0,"",'[1]REVISION-808'!FR42)</f>
      </c>
      <c r="I42" s="554">
        <f>IF('[1]REVISION-808'!FS42=0,"",'[1]REVISION-808'!FS42)</f>
      </c>
      <c r="J42" s="554">
        <f>IF('[1]REVISION-808'!FT42=0,"",'[1]REVISION-808'!FT42)</f>
      </c>
      <c r="K42" s="554">
        <f>IF('[1]REVISION-808'!FU42=0,"",'[1]REVISION-808'!FU42)</f>
      </c>
      <c r="L42" s="554">
        <f>IF('[1]REVISION-808'!FV42=0,"",'[1]REVISION-808'!FV42)</f>
      </c>
      <c r="M42" s="554">
        <f>IF('[1]REVISION-808'!FW42=0,"",'[1]REVISION-808'!FW42)</f>
      </c>
      <c r="N42" s="554">
        <f>IF('[1]REVISION-808'!FX42=0,"",'[1]REVISION-808'!FX42)</f>
      </c>
      <c r="O42" s="554">
        <f>IF('[1]REVISION-808'!FY42=0,"",'[1]REVISION-808'!FY42)</f>
      </c>
      <c r="P42" s="554">
        <f>IF('[1]REVISION-808'!FZ42=0,"",'[1]REVISION-808'!FZ42)</f>
        <v>1</v>
      </c>
      <c r="Q42" s="554">
        <f>IF('[1]REVISION-808'!GA42=0,"",'[1]REVISION-808'!GA42)</f>
        <v>2</v>
      </c>
      <c r="R42" s="554">
        <f>IF('[1]REVISION-808'!GB42=0,"",'[1]REVISION-808'!GB42)</f>
        <v>1</v>
      </c>
      <c r="S42" s="555"/>
      <c r="T42" s="542"/>
    </row>
    <row r="43" spans="2:20" s="543" customFormat="1" ht="19.5" customHeight="1">
      <c r="B43" s="544"/>
      <c r="C43" s="551">
        <f>IF('[1]REVISION-808'!C43=0,"",'[1]REVISION-808'!C43)</f>
        <v>23</v>
      </c>
      <c r="D43" s="552" t="str">
        <f>IF('[1]REVISION-808'!D43=0,"",'[1]REVISION-808'!D43)</f>
        <v>PIRANE FORMOSA 132 1</v>
      </c>
      <c r="E43" s="552">
        <f>IF('[1]REVISION-808'!E43=0,"",'[1]REVISION-808'!E43)</f>
        <v>132</v>
      </c>
      <c r="F43" s="553">
        <f>IF('[1]REVISION-808'!F43=0,"",'[1]REVISION-808'!F43)</f>
        <v>111.6</v>
      </c>
      <c r="G43" s="554">
        <f>IF('[1]REVISION-808'!FQ43=0,"",'[1]REVISION-808'!FQ43)</f>
        <v>1</v>
      </c>
      <c r="H43" s="554">
        <f>IF('[1]REVISION-808'!FR43=0,"",'[1]REVISION-808'!FR43)</f>
        <v>1</v>
      </c>
      <c r="I43" s="554">
        <f>IF('[1]REVISION-808'!FS43=0,"",'[1]REVISION-808'!FS43)</f>
      </c>
      <c r="J43" s="554">
        <f>IF('[1]REVISION-808'!FT43=0,"",'[1]REVISION-808'!FT43)</f>
      </c>
      <c r="K43" s="554">
        <f>IF('[1]REVISION-808'!FU43=0,"",'[1]REVISION-808'!FU43)</f>
      </c>
      <c r="L43" s="554">
        <f>IF('[1]REVISION-808'!FV43=0,"",'[1]REVISION-808'!FV43)</f>
        <v>2</v>
      </c>
      <c r="M43" s="554">
        <f>IF('[1]REVISION-808'!FW43=0,"",'[1]REVISION-808'!FW43)</f>
      </c>
      <c r="N43" s="554">
        <f>IF('[1]REVISION-808'!FX43=0,"",'[1]REVISION-808'!FX43)</f>
      </c>
      <c r="O43" s="554">
        <f>IF('[1]REVISION-808'!FY43=0,"",'[1]REVISION-808'!FY43)</f>
        <v>2</v>
      </c>
      <c r="P43" s="554">
        <f>IF('[1]REVISION-808'!FZ43=0,"",'[1]REVISION-808'!FZ43)</f>
        <v>7</v>
      </c>
      <c r="Q43" s="554">
        <f>IF('[1]REVISION-808'!GA43=0,"",'[1]REVISION-808'!GA43)</f>
        <v>3</v>
      </c>
      <c r="R43" s="554">
        <f>IF('[1]REVISION-808'!GB43=0,"",'[1]REVISION-808'!GB43)</f>
        <v>1</v>
      </c>
      <c r="S43" s="555"/>
      <c r="T43" s="542"/>
    </row>
    <row r="44" spans="2:20" s="543" customFormat="1" ht="19.5" customHeight="1">
      <c r="B44" s="544"/>
      <c r="C44" s="556">
        <f>IF('[1]REVISION-808'!C44=0,"",'[1]REVISION-808'!C44)</f>
        <v>24</v>
      </c>
      <c r="D44" s="557" t="str">
        <f>IF('[1]REVISION-808'!D44=0,"",'[1]REVISION-808'!D44)</f>
        <v>COLORADO - SAN MARTIN</v>
      </c>
      <c r="E44" s="557">
        <f>IF('[1]REVISION-808'!E44=0,"",'[1]REVISION-808'!E44)</f>
        <v>132</v>
      </c>
      <c r="F44" s="558">
        <f>IF('[1]REVISION-808'!F44=0,"",'[1]REVISION-808'!F44)</f>
        <v>30.47</v>
      </c>
      <c r="G44" s="554">
        <f>IF('[1]REVISION-808'!FQ44=0,"",'[1]REVISION-808'!FQ44)</f>
      </c>
      <c r="H44" s="554">
        <f>IF('[1]REVISION-808'!FR44=0,"",'[1]REVISION-808'!FR44)</f>
      </c>
      <c r="I44" s="554">
        <f>IF('[1]REVISION-808'!FS44=0,"",'[1]REVISION-808'!FS44)</f>
      </c>
      <c r="J44" s="554">
        <f>IF('[1]REVISION-808'!FT44=0,"",'[1]REVISION-808'!FT44)</f>
      </c>
      <c r="K44" s="554">
        <f>IF('[1]REVISION-808'!FU44=0,"",'[1]REVISION-808'!FU44)</f>
      </c>
      <c r="L44" s="554">
        <f>IF('[1]REVISION-808'!FV44=0,"",'[1]REVISION-808'!FV44)</f>
      </c>
      <c r="M44" s="554">
        <f>IF('[1]REVISION-808'!FW44=0,"",'[1]REVISION-808'!FW44)</f>
      </c>
      <c r="N44" s="554">
        <f>IF('[1]REVISION-808'!FX44=0,"",'[1]REVISION-808'!FX44)</f>
      </c>
      <c r="O44" s="554">
        <f>IF('[1]REVISION-808'!FY44=0,"",'[1]REVISION-808'!FY44)</f>
      </c>
      <c r="P44" s="554">
        <f>IF('[1]REVISION-808'!FZ44=0,"",'[1]REVISION-808'!FZ44)</f>
      </c>
      <c r="Q44" s="554">
        <f>IF('[1]REVISION-808'!GA44=0,"",'[1]REVISION-808'!GA44)</f>
      </c>
      <c r="R44" s="554">
        <f>IF('[1]REVISION-808'!GB44=0,"",'[1]REVISION-808'!GB44)</f>
      </c>
      <c r="S44" s="555"/>
      <c r="T44" s="542"/>
    </row>
    <row r="45" spans="2:20" s="543" customFormat="1" ht="19.5" customHeight="1">
      <c r="B45" s="544"/>
      <c r="C45" s="551">
        <f>IF('[1]REVISION-808'!C45=0,"",'[1]REVISION-808'!C45)</f>
        <v>25</v>
      </c>
      <c r="D45" s="552" t="str">
        <f>IF('[1]REVISION-808'!D45=0,"",'[1]REVISION-808'!D45)</f>
        <v>PIRANE - COLORADO</v>
      </c>
      <c r="E45" s="552">
        <f>IF('[1]REVISION-808'!E45=0,"",'[1]REVISION-808'!E45)</f>
        <v>132</v>
      </c>
      <c r="F45" s="553">
        <f>IF('[1]REVISION-808'!F45=0,"",'[1]REVISION-808'!F45)</f>
        <v>79.15</v>
      </c>
      <c r="G45" s="554">
        <f>IF('[1]REVISION-808'!FQ45=0,"",'[1]REVISION-808'!FQ45)</f>
      </c>
      <c r="H45" s="554">
        <f>IF('[1]REVISION-808'!FR45=0,"",'[1]REVISION-808'!FR45)</f>
      </c>
      <c r="I45" s="554">
        <f>IF('[1]REVISION-808'!FS45=0,"",'[1]REVISION-808'!FS45)</f>
      </c>
      <c r="J45" s="554">
        <f>IF('[1]REVISION-808'!FT45=0,"",'[1]REVISION-808'!FT45)</f>
      </c>
      <c r="K45" s="554">
        <f>IF('[1]REVISION-808'!FU45=0,"",'[1]REVISION-808'!FU45)</f>
      </c>
      <c r="L45" s="554">
        <f>IF('[1]REVISION-808'!FV45=0,"",'[1]REVISION-808'!FV45)</f>
      </c>
      <c r="M45" s="554">
        <f>IF('[1]REVISION-808'!FW45=0,"",'[1]REVISION-808'!FW45)</f>
      </c>
      <c r="N45" s="554">
        <f>IF('[1]REVISION-808'!FX45=0,"",'[1]REVISION-808'!FX45)</f>
      </c>
      <c r="O45" s="554">
        <f>IF('[1]REVISION-808'!FY45=0,"",'[1]REVISION-808'!FY45)</f>
      </c>
      <c r="P45" s="554">
        <f>IF('[1]REVISION-808'!FZ45=0,"",'[1]REVISION-808'!FZ45)</f>
      </c>
      <c r="Q45" s="554">
        <f>IF('[1]REVISION-808'!GA45=0,"",'[1]REVISION-808'!GA45)</f>
      </c>
      <c r="R45" s="554">
        <f>IF('[1]REVISION-808'!GB45=0,"",'[1]REVISION-808'!GB45)</f>
      </c>
      <c r="S45" s="555"/>
      <c r="T45" s="542"/>
    </row>
    <row r="46" spans="2:20" s="543" customFormat="1" ht="19.5" customHeight="1" thickBot="1">
      <c r="B46" s="544"/>
      <c r="C46" s="551">
        <f>IF('[1]REVISION-808'!C46=0,"",'[1]REVISION-808'!C46)</f>
        <v>26</v>
      </c>
      <c r="D46" s="552" t="str">
        <f>IF('[1]REVISION-808'!D46=0,"",'[1]REVISION-808'!D46)</f>
        <v>SAN MARTIN CHACO - EL COLORADO</v>
      </c>
      <c r="E46" s="559">
        <f>IF('[1]REVISION-808'!E35=0,"",'[1]REVISION-808'!E35)</f>
        <v>132</v>
      </c>
      <c r="F46" s="553">
        <f>IF('[1]REVISION-808'!F46=0,"",'[1]REVISION-808'!F46)</f>
        <v>30.47</v>
      </c>
      <c r="G46" s="554" t="str">
        <f>IF('[1]REVISION-808'!FQ46=0,"",'[1]REVISION-808'!FQ46)</f>
        <v>XXXX</v>
      </c>
      <c r="H46" s="554" t="str">
        <f>IF('[1]REVISION-808'!FR46=0,"",'[1]REVISION-808'!FR46)</f>
        <v>XXXX</v>
      </c>
      <c r="I46" s="554" t="str">
        <f>IF('[1]REVISION-808'!FS46=0,"",'[1]REVISION-808'!FS46)</f>
        <v>XXXX</v>
      </c>
      <c r="J46" s="554" t="str">
        <f>IF('[1]REVISION-808'!FT46=0,"",'[1]REVISION-808'!FT46)</f>
        <v>XXXX</v>
      </c>
      <c r="K46" s="554" t="str">
        <f>IF('[1]REVISION-808'!FU46=0,"",'[1]REVISION-808'!FU46)</f>
        <v>XXXX</v>
      </c>
      <c r="L46" s="554" t="str">
        <f>IF('[1]REVISION-808'!FV46=0,"",'[1]REVISION-808'!FV46)</f>
        <v>XXXX</v>
      </c>
      <c r="M46" s="554" t="str">
        <f>IF('[1]REVISION-808'!FW46=0,"",'[1]REVISION-808'!FW46)</f>
        <v>XXXX</v>
      </c>
      <c r="N46" s="554" t="str">
        <f>IF('[1]REVISION-808'!FX46=0,"",'[1]REVISION-808'!FX46)</f>
        <v>XXXX</v>
      </c>
      <c r="O46" s="554" t="str">
        <f>IF('[1]REVISION-808'!FY46=0,"",'[1]REVISION-808'!FY46)</f>
        <v>XXXX</v>
      </c>
      <c r="P46" s="554" t="str">
        <f>IF('[1]REVISION-808'!FZ46=0,"",'[1]REVISION-808'!FZ46)</f>
        <v>XXXX</v>
      </c>
      <c r="Q46" s="554" t="str">
        <f>IF('[1]REVISION-808'!GA46=0,"",'[1]REVISION-808'!GA46)</f>
        <v>XXXX</v>
      </c>
      <c r="R46" s="554" t="str">
        <f>IF('[1]REVISION-808'!GB46=0,"",'[1]REVISION-808'!GB46)</f>
        <v>XXXX</v>
      </c>
      <c r="S46" s="555"/>
      <c r="T46" s="542"/>
    </row>
    <row r="47" spans="2:20" s="543" customFormat="1" ht="19.5" customHeight="1" thickBot="1" thickTop="1">
      <c r="B47" s="544"/>
      <c r="C47" s="560"/>
      <c r="D47" s="561"/>
      <c r="E47" s="562" t="s">
        <v>151</v>
      </c>
      <c r="F47" s="563">
        <f>SUM(F17:F46)-F38-F40-F41-F39</f>
        <v>1293.7899999999997</v>
      </c>
      <c r="G47" s="554">
        <f>IF('[1]REVISION-808'!FQ47=0,"",'[1]REVISION-808'!FQ47)</f>
      </c>
      <c r="H47" s="554">
        <f>IF('[1]REVISION-808'!FR47=0,"",'[1]REVISION-808'!FR47)</f>
      </c>
      <c r="I47" s="554">
        <f>IF('[1]REVISION-808'!FS47=0,"",'[1]REVISION-808'!FS47)</f>
      </c>
      <c r="J47" s="554">
        <f>IF('[1]REVISION-808'!FT47=0,"",'[1]REVISION-808'!FT47)</f>
      </c>
      <c r="K47" s="554">
        <f>IF('[1]REVISION-808'!FU47=0,"",'[1]REVISION-808'!FU47)</f>
      </c>
      <c r="L47" s="554">
        <f>IF('[1]REVISION-808'!FV47=0,"",'[1]REVISION-808'!FV47)</f>
      </c>
      <c r="M47" s="554">
        <f>IF('[1]REVISION-808'!FW47=0,"",'[1]REVISION-808'!FW47)</f>
      </c>
      <c r="N47" s="554">
        <f>IF('[1]REVISION-808'!FX47=0,"",'[1]REVISION-808'!FX47)</f>
      </c>
      <c r="O47" s="554">
        <f>IF('[1]REVISION-808'!FY47=0,"",'[1]REVISION-808'!FY47)</f>
      </c>
      <c r="P47" s="554">
        <f>IF('[1]REVISION-808'!FZ47=0,"",'[1]REVISION-808'!FZ47)</f>
      </c>
      <c r="Q47" s="554">
        <f>IF('[1]REVISION-808'!GA47=0,"",'[1]REVISION-808'!GA47)</f>
      </c>
      <c r="R47" s="554">
        <f>IF('[1]REVISION-808'!GB47=0,"",'[1]REVISION-808'!GB47)</f>
      </c>
      <c r="S47" s="555"/>
      <c r="T47" s="542"/>
    </row>
    <row r="48" spans="2:20" s="543" customFormat="1" ht="19.5" customHeight="1" thickBot="1" thickTop="1">
      <c r="B48" s="544"/>
      <c r="C48" s="564"/>
      <c r="D48" s="561"/>
      <c r="F48" s="565" t="s">
        <v>152</v>
      </c>
      <c r="G48" s="566">
        <f aca="true" t="shared" si="0" ref="G48:R48">SUM(G17:G46)</f>
        <v>4</v>
      </c>
      <c r="H48" s="566">
        <f t="shared" si="0"/>
        <v>4</v>
      </c>
      <c r="I48" s="566">
        <f t="shared" si="0"/>
        <v>3</v>
      </c>
      <c r="J48" s="566">
        <f t="shared" si="0"/>
        <v>3</v>
      </c>
      <c r="K48" s="566">
        <f t="shared" si="0"/>
        <v>4</v>
      </c>
      <c r="L48" s="566">
        <f t="shared" si="0"/>
        <v>8</v>
      </c>
      <c r="M48" s="566">
        <f t="shared" si="0"/>
        <v>2</v>
      </c>
      <c r="N48" s="566">
        <f t="shared" si="0"/>
        <v>1</v>
      </c>
      <c r="O48" s="566">
        <f t="shared" si="0"/>
        <v>6</v>
      </c>
      <c r="P48" s="566">
        <f t="shared" si="0"/>
        <v>20</v>
      </c>
      <c r="Q48" s="566">
        <f t="shared" si="0"/>
        <v>9</v>
      </c>
      <c r="R48" s="566">
        <f t="shared" si="0"/>
        <v>6</v>
      </c>
      <c r="S48" s="567"/>
      <c r="T48" s="542"/>
    </row>
    <row r="49" spans="2:20" s="543" customFormat="1" ht="19.5" customHeight="1" thickBot="1" thickTop="1">
      <c r="B49" s="544"/>
      <c r="C49" s="564"/>
      <c r="D49" s="564"/>
      <c r="E49" s="564"/>
      <c r="F49" s="568" t="s">
        <v>153</v>
      </c>
      <c r="G49" s="569">
        <f>'[1]REVISION-808'!FS52</f>
        <v>2.9675228775310214</v>
      </c>
      <c r="H49" s="569">
        <f>'[1]REVISION-808'!FT52</f>
        <v>3.1055471974161852</v>
      </c>
      <c r="I49" s="569">
        <f>'[1]REVISION-808'!FU52</f>
        <v>3.1745593573587674</v>
      </c>
      <c r="J49" s="569">
        <f>'[1]REVISION-808'!FV52</f>
        <v>3.381595837186513</v>
      </c>
      <c r="K49" s="569">
        <f>'[1]REVISION-808'!FW52</f>
        <v>3.4506079971290946</v>
      </c>
      <c r="L49" s="569">
        <f>'[1]REVISION-808'!FX52</f>
        <v>2.9675228775310214</v>
      </c>
      <c r="M49" s="569">
        <f>'[1]REVISION-808'!FY52</f>
        <v>2.9675228775310214</v>
      </c>
      <c r="N49" s="569">
        <f>'[1]REVISION-808'!FZ52</f>
        <v>3.243571517301349</v>
      </c>
      <c r="O49" s="569">
        <f>'[1]REVISION-808'!GA52</f>
        <v>4.416778236325241</v>
      </c>
      <c r="P49" s="569">
        <f>'[1]REVISION-808'!GB52</f>
        <v>4.692826876095569</v>
      </c>
      <c r="Q49" s="569">
        <f>'[1]REVISION-808'!GC52</f>
        <v>4.830851195980733</v>
      </c>
      <c r="R49" s="569">
        <f>'[1]REVISION-808'!GD52</f>
        <v>5.520972795406552</v>
      </c>
      <c r="S49" s="569">
        <f>'[1]REVISION-808'!GE52</f>
        <v>6.353540747149357</v>
      </c>
      <c r="T49" s="542"/>
    </row>
    <row r="50" spans="2:20" ht="15" customHeight="1" thickBot="1" thickTop="1">
      <c r="B50" s="531"/>
      <c r="C50" s="570"/>
      <c r="D50" s="1" t="s">
        <v>154</v>
      </c>
      <c r="E50" s="6"/>
      <c r="F50" s="57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30"/>
    </row>
    <row r="51" spans="2:20" ht="17.25" thickBot="1" thickTop="1">
      <c r="B51" s="572"/>
      <c r="C51" s="573" t="s">
        <v>155</v>
      </c>
      <c r="D51" s="1" t="s">
        <v>156</v>
      </c>
      <c r="H51" s="574" t="s">
        <v>157</v>
      </c>
      <c r="I51" s="575"/>
      <c r="J51" s="576">
        <f>S49</f>
        <v>6.353540747149357</v>
      </c>
      <c r="K51" s="577" t="s">
        <v>158</v>
      </c>
      <c r="L51" s="577"/>
      <c r="M51" s="578"/>
      <c r="N51" s="1"/>
      <c r="O51" s="1"/>
      <c r="P51" s="1"/>
      <c r="Q51" s="1"/>
      <c r="R51" s="1"/>
      <c r="S51" s="1"/>
      <c r="T51" s="530"/>
    </row>
    <row r="52" spans="2:20" ht="18.75" customHeight="1" thickBot="1">
      <c r="B52" s="579"/>
      <c r="C52" s="580"/>
      <c r="D52" s="40"/>
      <c r="E52" s="40"/>
      <c r="F52" s="581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3"/>
    </row>
    <row r="53" spans="2:20" ht="15" customHeight="1" thickTop="1">
      <c r="B53" s="584"/>
      <c r="C53" s="1"/>
      <c r="D53" s="1"/>
      <c r="E53" s="1"/>
      <c r="F53" s="58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22.5" customHeight="1">
      <c r="B54" s="586"/>
      <c r="C54" s="587"/>
      <c r="D54" s="1"/>
      <c r="E54" s="1"/>
      <c r="F54" s="58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22.5" customHeight="1">
      <c r="B55" s="587"/>
      <c r="C55" s="587"/>
      <c r="D55" s="589"/>
      <c r="E55" s="1"/>
      <c r="F55" s="59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22.5" customHeight="1">
      <c r="B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22.5" customHeight="1">
      <c r="B57" s="1"/>
      <c r="C57" s="1"/>
      <c r="D57" s="591"/>
      <c r="E57" s="591"/>
      <c r="F57" s="533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2"/>
      <c r="R57" s="592"/>
      <c r="S57" s="592"/>
      <c r="T57" s="592"/>
    </row>
    <row r="58" spans="2:20" ht="22.5" customHeight="1">
      <c r="B58" s="1"/>
      <c r="C58" s="1"/>
      <c r="D58" s="591"/>
      <c r="E58" s="591"/>
      <c r="F58" s="59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22.5" customHeight="1">
      <c r="B59" s="1"/>
      <c r="C59" s="1"/>
      <c r="D59" s="534"/>
      <c r="E59" s="534"/>
      <c r="F59" s="53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22.5" customHeight="1">
      <c r="B60" s="1"/>
      <c r="C60" s="1"/>
      <c r="D60" s="591"/>
      <c r="E60" s="591"/>
      <c r="F60" s="53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</sheetData>
  <printOptions horizontalCentered="1"/>
  <pageMargins left="0.3937007874015748" right="0.2" top="0.6692913385826772" bottom="0.6299212598425197" header="0.5118110236220472" footer="0.5118110236220472"/>
  <pageSetup horizontalDpi="300" verticalDpi="300" orientation="landscape" paperSize="9" scale="45" r:id="rId2"/>
  <headerFooter alignWithMargins="0">
    <oddFooter xml:space="preserve">&amp;L&amp;"Times New Roman,Normal"&amp;6&amp;F- TRANSPORTE de ENERGÍA ELÉCTRICA - PJL - &amp;P/&amp;N&amp;C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2010-06-29T18:42:07Z</cp:lastPrinted>
  <dcterms:created xsi:type="dcterms:W3CDTF">2000-10-04T19:31:04Z</dcterms:created>
  <dcterms:modified xsi:type="dcterms:W3CDTF">2011-09-22T18:51:48Z</dcterms:modified>
  <cp:category/>
  <cp:version/>
  <cp:contentType/>
  <cp:contentStatus/>
</cp:coreProperties>
</file>