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11" activeTab="0"/>
  </bookViews>
  <sheets>
    <sheet name="TOT-0513" sheetId="1" r:id="rId1"/>
    <sheet name="LI-05 (1)" sheetId="2" r:id="rId2"/>
    <sheet name="LI-EDERSA-05 (1)" sheetId="3" r:id="rId3"/>
    <sheet name="TR-05 (1)" sheetId="4" r:id="rId4"/>
    <sheet name="TR-EDERSA-05 (1)" sheetId="5" r:id="rId5"/>
    <sheet name="SA-EDERSA-05 (1)" sheetId="6" r:id="rId6"/>
    <sheet name="SUP-EDERSA" sheetId="7" r:id="rId7"/>
    <sheet name="TASA FALLA" sheetId="8" r:id="rId8"/>
  </sheets>
  <externalReferences>
    <externalReference r:id="rId11"/>
    <externalReference r:id="rId12"/>
    <externalReference r:id="rId13"/>
  </externalReferences>
  <definedNames>
    <definedName name="_xlnm.Print_Area" localSheetId="7">'TASA FALLA'!$A$1:$T$73</definedName>
    <definedName name="DD" localSheetId="7">'TASA FALLA'!DD</definedName>
    <definedName name="DD">[0]!DD</definedName>
    <definedName name="DDD" localSheetId="7">'TASA FALLA'!DDD</definedName>
    <definedName name="DDD">[0]!DDD</definedName>
    <definedName name="DISTROCUYO" localSheetId="7">'TASA FALLA'!DISTROCUYO</definedName>
    <definedName name="DISTROCUYO">[0]!DISTROCUYO</definedName>
    <definedName name="INICIO" localSheetId="7">'TASA FALLA'!INICIO</definedName>
    <definedName name="INICIO">[0]!INICIO</definedName>
    <definedName name="INICIOTI" localSheetId="7">'TASA FALLA'!INICIOTI</definedName>
    <definedName name="INICIOTI">[0]!INICIOTI</definedName>
    <definedName name="LINEAS" localSheetId="7">'TASA FALLA'!LINEAS</definedName>
    <definedName name="LINEAS">[0]!LINEAS</definedName>
    <definedName name="NAME_L" localSheetId="7">'TASA FALLA'!NAME_L</definedName>
    <definedName name="NAME_L">[0]!NAME_L</definedName>
    <definedName name="NAME_L_TI" localSheetId="7">'TASA FALLA'!NAME_L_TI</definedName>
    <definedName name="NAME_L_TI">[0]!NAME_L_TI</definedName>
    <definedName name="TRAN" localSheetId="7">'TASA FALLA'!TRAN</definedName>
    <definedName name="TRAN">[0]!TRAN</definedName>
    <definedName name="TRANSNOA" localSheetId="7">'TASA FALLA'!TRANSNOA</definedName>
    <definedName name="TRANSNOA">[0]!TRANSNOA</definedName>
    <definedName name="x" localSheetId="7">'TASA FALLA'!x</definedName>
    <definedName name="x">[0]!x</definedName>
    <definedName name="XX" localSheetId="7">'TASA FALLA'!XX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jmessina</author>
  </authors>
  <commentList>
    <comment ref="G15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<sst xmlns="http://schemas.openxmlformats.org/spreadsheetml/2006/main" count="360" uniqueCount="169">
  <si>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</si>
  <si>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</si>
  <si>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</si>
  <si>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</si>
  <si>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</si>
  <si>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</si>
  <si>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</si>
  <si>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</si>
  <si>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</si>
  <si>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</si>
  <si>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</si>
  <si>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</si>
  <si>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</si>
  <si>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</si>
  <si>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</si>
  <si>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</si>
  <si>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</si>
  <si>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</si>
  <si>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</si>
  <si>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</si>
  <si>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</si>
  <si>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</si>
  <si>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</si>
  <si>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</si>
  <si>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</si>
  <si>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</si>
  <si>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</si>
  <si>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</si>
  <si>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</si>
  <si>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</si>
  <si>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</si>
  <si>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</si>
  <si>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</si>
  <si>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</si>
  <si>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</si>
  <si>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</si>
  <si>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</si>
  <si>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</si>
  <si>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</si>
  <si>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</si>
  <si>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</si>
  <si>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</si>
  <si>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</si>
  <si>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</si>
  <si>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</si>
  <si>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</si>
  <si>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</si>
  <si>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</si>
  <si>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</si>
  <si>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</si>
  <si>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</si>
  <si>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</si>
  <si>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</si>
  <si>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</si>
  <si>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</si>
  <si>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</si>
  <si>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</si>
  <si>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</si>
  <si>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</si>
  <si>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</si>
  <si>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</si>
  <si>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</si>
  <si>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</si>
  <si>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</si>
  <si>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</si>
  <si>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</si>
  <si>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</si>
  <si>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</si>
  <si>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</si>
  <si>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</si>
  <si>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</si>
  <si>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</si>
  <si>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</si>
  <si>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</si>
  <si>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</si>
  <si>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</si>
  <si>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</si>
  <si>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</si>
  <si>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</si>
  <si>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</si>
  <si>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</si>
  <si>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</si>
  <si>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</si>
  <si>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</si>
  <si>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</si>
  <si>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</si>
  <si>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</si>
  <si>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</si>
  <si>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</si>
  <si>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</si>
  <si>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</si>
  <si>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</si>
  <si>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</si>
  <si>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</si>
  <si>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</si>
  <si>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</si>
  <si>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</si>
  <si>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</si>
  <si>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</si>
  <si>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</si>
  <si>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</si>
  <si>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</si>
  <si>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</si>
  <si>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</si>
  <si>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</si>
  <si>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</si>
  <si>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</si>
  <si>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</si>
  <si>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</si>
  <si>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</si>
  <si>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</si>
  <si>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</si>
  <si>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</si>
  <si>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</si>
  <si>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</si>
  <si>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</si>
  <si>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</si>
  <si>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</si>
  <si>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</si>
  <si>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</si>
  <si>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</si>
  <si>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</si>
  <si>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</si>
  <si>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</si>
  <si>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</si>
  <si>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</si>
  <si>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</si>
  <si>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</si>
  <si>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</si>
  <si>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</si>
  <si>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</si>
  <si>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31 de mayo de 2013</t>
  </si>
  <si>
    <t>CDORO. RIVADAVIA (A1) - ESTACION PATAGONIA</t>
  </si>
  <si>
    <t>P</t>
  </si>
  <si>
    <t>SI</t>
  </si>
  <si>
    <t>0,000</t>
  </si>
  <si>
    <t>TRELEW</t>
  </si>
  <si>
    <t>TRAFO 4</t>
  </si>
  <si>
    <t>132/33/13,2</t>
  </si>
  <si>
    <t>PICO TRUNCADO 1</t>
  </si>
  <si>
    <t>TRAFO 22</t>
  </si>
  <si>
    <t>TRAFO 23</t>
  </si>
  <si>
    <t>F</t>
  </si>
  <si>
    <t>132/33/6,6</t>
  </si>
  <si>
    <t>P. COLORADA</t>
  </si>
  <si>
    <t>SALIDA ALIM. 8 IDEVI</t>
  </si>
  <si>
    <t>SALIDA ALIM. 6 VIEDMA 1</t>
  </si>
  <si>
    <t>SALIDA ALIM. EL SALADO</t>
  </si>
  <si>
    <t>SALIDA ALIM. VIEDMA 4</t>
  </si>
  <si>
    <t>3.1.-</t>
  </si>
  <si>
    <t>35/10,4</t>
  </si>
  <si>
    <t>P - PROGRAMADA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</si>
  <si>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</si>
  <si>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</si>
  <si>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3.1.- SUPERVISIÓN - Transportista Independiente E.D.E.R.S.A.</t>
  </si>
  <si>
    <t>(DTE 0513)</t>
  </si>
  <si>
    <t>Valores remuneratorios Decreto PEN N° 1779/07 -  Res. ENRE N° 331/08 -  Res. ENRE N° 645/08</t>
  </si>
  <si>
    <t>TOTAL DE PENALIZACIONES A APLICAR</t>
  </si>
  <si>
    <t>ANEXO V al Memorándum  D.T.E.E.  N°           / 2014.-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</si>
  <si>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</si>
  <si>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</si>
  <si>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</si>
  <si>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</si>
  <si>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</si>
  <si>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</si>
  <si>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</si>
  <si>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</si>
  <si>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</si>
  <si>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Tasa de falla correspondiente al mes de mayo de 2013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</si>
</sst>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9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3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6" borderId="0" applyNumberFormat="0" applyBorder="0" applyAlignment="0" applyProtection="0"/>
    <xf numFmtId="0" fontId="73" fillId="3" borderId="0" applyNumberFormat="0" applyBorder="0" applyAlignment="0" applyProtection="0"/>
    <xf numFmtId="0" fontId="74" fillId="6" borderId="0" applyNumberFormat="0" applyBorder="0" applyAlignment="0" applyProtection="0"/>
    <xf numFmtId="0" fontId="75" fillId="11" borderId="1" applyNumberFormat="0" applyAlignment="0" applyProtection="0"/>
    <xf numFmtId="0" fontId="76" fillId="1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9" fillId="7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0" fillId="1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82" fillId="11" borderId="5" applyNumberFormat="0" applyAlignment="0" applyProtection="0"/>
    <xf numFmtId="0" fontId="7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8" fillId="0" borderId="8" applyNumberFormat="0" applyFill="0" applyAlignment="0" applyProtection="0"/>
    <xf numFmtId="0" fontId="87" fillId="0" borderId="9" applyNumberFormat="0" applyFill="0" applyAlignment="0" applyProtection="0"/>
  </cellStyleXfs>
  <cellXfs count="7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7" fontId="8" fillId="0" borderId="31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 quotePrefix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 quotePrefix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0" xfId="0" applyFont="1" applyBorder="1" applyAlignment="1" applyProtection="1">
      <alignment horizontal="left"/>
      <protection/>
    </xf>
    <xf numFmtId="171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171" fontId="25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0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8" xfId="0" applyNumberFormat="1" applyFont="1" applyFill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45" fillId="18" borderId="28" xfId="0" applyFont="1" applyFill="1" applyBorder="1" applyAlignment="1" applyProtection="1">
      <alignment horizontal="center" vertical="center"/>
      <protection/>
    </xf>
    <xf numFmtId="0" fontId="46" fillId="18" borderId="15" xfId="0" applyFont="1" applyFill="1" applyBorder="1" applyAlignment="1">
      <alignment/>
    </xf>
    <xf numFmtId="0" fontId="46" fillId="18" borderId="12" xfId="0" applyFont="1" applyFill="1" applyBorder="1" applyAlignment="1">
      <alignment/>
    </xf>
    <xf numFmtId="168" fontId="47" fillId="18" borderId="12" xfId="0" applyNumberFormat="1" applyFont="1" applyFill="1" applyBorder="1" applyAlignment="1" applyProtection="1">
      <alignment horizontal="center"/>
      <protection/>
    </xf>
    <xf numFmtId="168" fontId="47" fillId="18" borderId="13" xfId="0" applyNumberFormat="1" applyFont="1" applyFill="1" applyBorder="1" applyAlignment="1" applyProtection="1">
      <alignment horizontal="center"/>
      <protection/>
    </xf>
    <xf numFmtId="0" fontId="47" fillId="18" borderId="15" xfId="0" applyFont="1" applyFill="1" applyBorder="1" applyAlignment="1">
      <alignment/>
    </xf>
    <xf numFmtId="0" fontId="47" fillId="18" borderId="12" xfId="0" applyFont="1" applyFill="1" applyBorder="1" applyAlignment="1">
      <alignment/>
    </xf>
    <xf numFmtId="0" fontId="47" fillId="18" borderId="13" xfId="0" applyFont="1" applyFill="1" applyBorder="1" applyAlignment="1">
      <alignment/>
    </xf>
    <xf numFmtId="171" fontId="47" fillId="18" borderId="12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2" fillId="13" borderId="28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/>
    </xf>
    <xf numFmtId="0" fontId="53" fillId="13" borderId="12" xfId="0" applyFont="1" applyFill="1" applyBorder="1" applyAlignment="1">
      <alignment/>
    </xf>
    <xf numFmtId="0" fontId="52" fillId="14" borderId="28" xfId="0" applyFont="1" applyFill="1" applyBorder="1" applyAlignment="1">
      <alignment horizontal="center" vertical="center" wrapText="1"/>
    </xf>
    <xf numFmtId="0" fontId="53" fillId="14" borderId="15" xfId="0" applyFont="1" applyFill="1" applyBorder="1" applyAlignment="1">
      <alignment/>
    </xf>
    <xf numFmtId="0" fontId="53" fillId="14" borderId="12" xfId="0" applyFont="1" applyFill="1" applyBorder="1" applyAlignment="1">
      <alignment/>
    </xf>
    <xf numFmtId="0" fontId="27" fillId="2" borderId="28" xfId="0" applyFont="1" applyFill="1" applyBorder="1" applyAlignment="1" applyProtection="1">
      <alignment horizontal="centerContinuous" vertical="center" wrapText="1"/>
      <protection/>
    </xf>
    <xf numFmtId="0" fontId="25" fillId="2" borderId="29" xfId="0" applyFont="1" applyFill="1" applyBorder="1" applyAlignment="1">
      <alignment horizontal="centerContinuous"/>
    </xf>
    <xf numFmtId="0" fontId="27" fillId="2" borderId="31" xfId="0" applyFont="1" applyFill="1" applyBorder="1" applyAlignment="1">
      <alignment horizontal="centerContinuous" vertical="center"/>
    </xf>
    <xf numFmtId="0" fontId="55" fillId="2" borderId="34" xfId="0" applyFont="1" applyFill="1" applyBorder="1" applyAlignment="1">
      <alignment horizontal="center"/>
    </xf>
    <xf numFmtId="0" fontId="55" fillId="2" borderId="35" xfId="0" applyFont="1" applyFill="1" applyBorder="1" applyAlignment="1">
      <alignment/>
    </xf>
    <xf numFmtId="0" fontId="55" fillId="2" borderId="36" xfId="0" applyFont="1" applyFill="1" applyBorder="1" applyAlignment="1">
      <alignment/>
    </xf>
    <xf numFmtId="0" fontId="55" fillId="2" borderId="37" xfId="0" applyFont="1" applyFill="1" applyBorder="1" applyAlignment="1">
      <alignment horizontal="center"/>
    </xf>
    <xf numFmtId="0" fontId="55" fillId="2" borderId="38" xfId="0" applyFont="1" applyFill="1" applyBorder="1" applyAlignment="1">
      <alignment/>
    </xf>
    <xf numFmtId="0" fontId="55" fillId="2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8" borderId="28" xfId="0" applyFont="1" applyFill="1" applyBorder="1" applyAlignment="1" applyProtection="1">
      <alignment horizontal="centerContinuous" vertical="center" wrapText="1"/>
      <protection/>
    </xf>
    <xf numFmtId="0" fontId="25" fillId="8" borderId="29" xfId="0" applyFont="1" applyFill="1" applyBorder="1" applyAlignment="1">
      <alignment horizontal="centerContinuous"/>
    </xf>
    <xf numFmtId="0" fontId="27" fillId="8" borderId="31" xfId="0" applyFont="1" applyFill="1" applyBorder="1" applyAlignment="1">
      <alignment horizontal="centerContinuous" vertical="center"/>
    </xf>
    <xf numFmtId="0" fontId="55" fillId="8" borderId="34" xfId="0" applyFont="1" applyFill="1" applyBorder="1" applyAlignment="1">
      <alignment horizontal="center"/>
    </xf>
    <xf numFmtId="0" fontId="55" fillId="8" borderId="35" xfId="0" applyFont="1" applyFill="1" applyBorder="1" applyAlignment="1">
      <alignment/>
    </xf>
    <xf numFmtId="0" fontId="55" fillId="8" borderId="36" xfId="0" applyFont="1" applyFill="1" applyBorder="1" applyAlignment="1">
      <alignment/>
    </xf>
    <xf numFmtId="0" fontId="55" fillId="8" borderId="37" xfId="0" applyFont="1" applyFill="1" applyBorder="1" applyAlignment="1">
      <alignment horizontal="center"/>
    </xf>
    <xf numFmtId="0" fontId="55" fillId="8" borderId="38" xfId="0" applyFont="1" applyFill="1" applyBorder="1" applyAlignment="1">
      <alignment/>
    </xf>
    <xf numFmtId="0" fontId="55" fillId="8" borderId="16" xfId="0" applyFont="1" applyFill="1" applyBorder="1" applyAlignment="1">
      <alignment/>
    </xf>
    <xf numFmtId="0" fontId="27" fillId="2" borderId="2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center" vertical="center" wrapText="1"/>
    </xf>
    <xf numFmtId="0" fontId="55" fillId="19" borderId="15" xfId="0" applyFont="1" applyFill="1" applyBorder="1" applyAlignment="1">
      <alignment/>
    </xf>
    <xf numFmtId="0" fontId="55" fillId="19" borderId="12" xfId="0" applyFont="1" applyFill="1" applyBorder="1" applyAlignment="1">
      <alignment/>
    </xf>
    <xf numFmtId="0" fontId="52" fillId="20" borderId="28" xfId="0" applyFont="1" applyFill="1" applyBorder="1" applyAlignment="1">
      <alignment horizontal="center" vertical="center" wrapText="1"/>
    </xf>
    <xf numFmtId="0" fontId="53" fillId="20" borderId="15" xfId="0" applyFont="1" applyFill="1" applyBorder="1" applyAlignment="1">
      <alignment/>
    </xf>
    <xf numFmtId="0" fontId="53" fillId="20" borderId="12" xfId="0" applyFont="1" applyFill="1" applyBorder="1" applyAlignment="1">
      <alignment/>
    </xf>
    <xf numFmtId="2" fontId="51" fillId="13" borderId="28" xfId="0" applyNumberFormat="1" applyFont="1" applyFill="1" applyBorder="1" applyAlignment="1">
      <alignment horizontal="center"/>
    </xf>
    <xf numFmtId="2" fontId="51" fillId="14" borderId="28" xfId="0" applyNumberFormat="1" applyFont="1" applyFill="1" applyBorder="1" applyAlignment="1">
      <alignment horizontal="center"/>
    </xf>
    <xf numFmtId="168" fontId="56" fillId="2" borderId="28" xfId="0" applyNumberFormat="1" applyFont="1" applyFill="1" applyBorder="1" applyAlignment="1" applyProtection="1" quotePrefix="1">
      <alignment horizontal="center"/>
      <protection/>
    </xf>
    <xf numFmtId="4" fontId="56" fillId="2" borderId="28" xfId="0" applyNumberFormat="1" applyFont="1" applyFill="1" applyBorder="1" applyAlignment="1">
      <alignment horizontal="center"/>
    </xf>
    <xf numFmtId="168" fontId="56" fillId="8" borderId="28" xfId="0" applyNumberFormat="1" applyFont="1" applyFill="1" applyBorder="1" applyAlignment="1" applyProtection="1" quotePrefix="1">
      <alignment horizontal="center"/>
      <protection/>
    </xf>
    <xf numFmtId="4" fontId="56" fillId="8" borderId="28" xfId="0" applyNumberFormat="1" applyFont="1" applyFill="1" applyBorder="1" applyAlignment="1">
      <alignment horizontal="center"/>
    </xf>
    <xf numFmtId="168" fontId="56" fillId="19" borderId="28" xfId="0" applyNumberFormat="1" applyFont="1" applyFill="1" applyBorder="1" applyAlignment="1" applyProtection="1" quotePrefix="1">
      <alignment horizontal="center"/>
      <protection/>
    </xf>
    <xf numFmtId="4" fontId="51" fillId="20" borderId="28" xfId="0" applyNumberFormat="1" applyFont="1" applyFill="1" applyBorder="1" applyAlignment="1">
      <alignment horizontal="center"/>
    </xf>
    <xf numFmtId="0" fontId="52" fillId="20" borderId="28" xfId="0" applyFont="1" applyFill="1" applyBorder="1" applyAlignment="1" applyProtection="1">
      <alignment horizontal="center" vertical="center"/>
      <protection/>
    </xf>
    <xf numFmtId="0" fontId="51" fillId="20" borderId="15" xfId="0" applyFont="1" applyFill="1" applyBorder="1" applyAlignment="1">
      <alignment/>
    </xf>
    <xf numFmtId="0" fontId="51" fillId="20" borderId="12" xfId="0" applyFont="1" applyFill="1" applyBorder="1" applyAlignment="1">
      <alignment/>
    </xf>
    <xf numFmtId="4" fontId="51" fillId="20" borderId="12" xfId="0" applyNumberFormat="1" applyFont="1" applyFill="1" applyBorder="1" applyAlignment="1" applyProtection="1">
      <alignment horizontal="center"/>
      <protection/>
    </xf>
    <xf numFmtId="0" fontId="51" fillId="20" borderId="13" xfId="0" applyFont="1" applyFill="1" applyBorder="1" applyAlignment="1">
      <alignment/>
    </xf>
    <xf numFmtId="0" fontId="56" fillId="19" borderId="15" xfId="0" applyFont="1" applyFill="1" applyBorder="1" applyAlignment="1">
      <alignment/>
    </xf>
    <xf numFmtId="0" fontId="56" fillId="19" borderId="12" xfId="0" applyFont="1" applyFill="1" applyBorder="1" applyAlignment="1">
      <alignment/>
    </xf>
    <xf numFmtId="2" fontId="56" fillId="19" borderId="12" xfId="0" applyNumberFormat="1" applyFont="1" applyFill="1" applyBorder="1" applyAlignment="1">
      <alignment horizontal="center"/>
    </xf>
    <xf numFmtId="0" fontId="56" fillId="19" borderId="13" xfId="0" applyFont="1" applyFill="1" applyBorder="1" applyAlignment="1">
      <alignment/>
    </xf>
    <xf numFmtId="7" fontId="56" fillId="19" borderId="28" xfId="0" applyNumberFormat="1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 vertical="center" wrapText="1"/>
    </xf>
    <xf numFmtId="0" fontId="56" fillId="4" borderId="15" xfId="0" applyFont="1" applyFill="1" applyBorder="1" applyAlignment="1">
      <alignment/>
    </xf>
    <xf numFmtId="0" fontId="56" fillId="4" borderId="12" xfId="0" applyFont="1" applyFill="1" applyBorder="1" applyAlignment="1">
      <alignment/>
    </xf>
    <xf numFmtId="2" fontId="56" fillId="4" borderId="12" xfId="0" applyNumberFormat="1" applyFont="1" applyFill="1" applyBorder="1" applyAlignment="1">
      <alignment horizontal="center"/>
    </xf>
    <xf numFmtId="0" fontId="56" fillId="4" borderId="13" xfId="0" applyFont="1" applyFill="1" applyBorder="1" applyAlignment="1">
      <alignment/>
    </xf>
    <xf numFmtId="7" fontId="56" fillId="4" borderId="28" xfId="0" applyNumberFormat="1" applyFont="1" applyFill="1" applyBorder="1" applyAlignment="1">
      <alignment horizontal="center"/>
    </xf>
    <xf numFmtId="0" fontId="52" fillId="21" borderId="30" xfId="0" applyFont="1" applyFill="1" applyBorder="1" applyAlignment="1" applyProtection="1">
      <alignment horizontal="centerContinuous" vertical="center" wrapText="1"/>
      <protection/>
    </xf>
    <xf numFmtId="0" fontId="52" fillId="21" borderId="31" xfId="0" applyFont="1" applyFill="1" applyBorder="1" applyAlignment="1">
      <alignment horizontal="centerContinuous" vertical="center"/>
    </xf>
    <xf numFmtId="0" fontId="51" fillId="21" borderId="34" xfId="0" applyFont="1" applyFill="1" applyBorder="1" applyAlignment="1">
      <alignment horizontal="center"/>
    </xf>
    <xf numFmtId="0" fontId="51" fillId="21" borderId="36" xfId="0" applyFont="1" applyFill="1" applyBorder="1" applyAlignment="1">
      <alignment/>
    </xf>
    <xf numFmtId="0" fontId="51" fillId="21" borderId="37" xfId="0" applyFont="1" applyFill="1" applyBorder="1" applyAlignment="1">
      <alignment horizontal="center"/>
    </xf>
    <xf numFmtId="0" fontId="51" fillId="21" borderId="16" xfId="0" applyFont="1" applyFill="1" applyBorder="1" applyAlignment="1">
      <alignment/>
    </xf>
    <xf numFmtId="168" fontId="51" fillId="21" borderId="37" xfId="0" applyNumberFormat="1" applyFont="1" applyFill="1" applyBorder="1" applyAlignment="1" applyProtection="1" quotePrefix="1">
      <alignment horizontal="center"/>
      <protection/>
    </xf>
    <xf numFmtId="168" fontId="51" fillId="21" borderId="19" xfId="0" applyNumberFormat="1" applyFont="1" applyFill="1" applyBorder="1" applyAlignment="1" applyProtection="1" quotePrefix="1">
      <alignment horizontal="center"/>
      <protection/>
    </xf>
    <xf numFmtId="7" fontId="51" fillId="21" borderId="28" xfId="0" applyNumberFormat="1" applyFont="1" applyFill="1" applyBorder="1" applyAlignment="1">
      <alignment horizontal="center"/>
    </xf>
    <xf numFmtId="0" fontId="52" fillId="13" borderId="30" xfId="0" applyFont="1" applyFill="1" applyBorder="1" applyAlignment="1" applyProtection="1">
      <alignment horizontal="centerContinuous" vertical="center" wrapText="1"/>
      <protection/>
    </xf>
    <xf numFmtId="0" fontId="52" fillId="13" borderId="31" xfId="0" applyFont="1" applyFill="1" applyBorder="1" applyAlignment="1">
      <alignment horizontal="centerContinuous" vertical="center"/>
    </xf>
    <xf numFmtId="0" fontId="51" fillId="13" borderId="34" xfId="0" applyFont="1" applyFill="1" applyBorder="1" applyAlignment="1">
      <alignment horizontal="center"/>
    </xf>
    <xf numFmtId="0" fontId="51" fillId="13" borderId="36" xfId="0" applyFont="1" applyFill="1" applyBorder="1" applyAlignment="1">
      <alignment/>
    </xf>
    <xf numFmtId="0" fontId="51" fillId="13" borderId="37" xfId="0" applyFont="1" applyFill="1" applyBorder="1" applyAlignment="1">
      <alignment horizontal="center"/>
    </xf>
    <xf numFmtId="0" fontId="51" fillId="13" borderId="16" xfId="0" applyFont="1" applyFill="1" applyBorder="1" applyAlignment="1">
      <alignment/>
    </xf>
    <xf numFmtId="168" fontId="51" fillId="13" borderId="37" xfId="0" applyNumberFormat="1" applyFont="1" applyFill="1" applyBorder="1" applyAlignment="1" applyProtection="1" quotePrefix="1">
      <alignment horizontal="center"/>
      <protection/>
    </xf>
    <xf numFmtId="168" fontId="51" fillId="13" borderId="19" xfId="0" applyNumberFormat="1" applyFont="1" applyFill="1" applyBorder="1" applyAlignment="1" applyProtection="1" quotePrefix="1">
      <alignment horizontal="center"/>
      <protection/>
    </xf>
    <xf numFmtId="7" fontId="51" fillId="13" borderId="28" xfId="0" applyNumberFormat="1" applyFont="1" applyFill="1" applyBorder="1" applyAlignment="1">
      <alignment horizontal="center"/>
    </xf>
    <xf numFmtId="0" fontId="48" fillId="2" borderId="28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/>
    </xf>
    <xf numFmtId="0" fontId="49" fillId="2" borderId="12" xfId="0" applyFont="1" applyFill="1" applyBorder="1" applyAlignment="1">
      <alignment/>
    </xf>
    <xf numFmtId="168" fontId="49" fillId="2" borderId="12" xfId="0" applyNumberFormat="1" applyFont="1" applyFill="1" applyBorder="1" applyAlignment="1" applyProtection="1" quotePrefix="1">
      <alignment horizontal="center"/>
      <protection/>
    </xf>
    <xf numFmtId="0" fontId="49" fillId="2" borderId="13" xfId="0" applyFont="1" applyFill="1" applyBorder="1" applyAlignment="1">
      <alignment/>
    </xf>
    <xf numFmtId="7" fontId="49" fillId="2" borderId="28" xfId="0" applyNumberFormat="1" applyFont="1" applyFill="1" applyBorder="1" applyAlignment="1">
      <alignment horizontal="center"/>
    </xf>
    <xf numFmtId="0" fontId="27" fillId="8" borderId="28" xfId="0" applyFont="1" applyFill="1" applyBorder="1" applyAlignment="1">
      <alignment horizontal="center" vertical="center" wrapText="1"/>
    </xf>
    <xf numFmtId="0" fontId="56" fillId="8" borderId="15" xfId="0" applyFont="1" applyFill="1" applyBorder="1" applyAlignment="1">
      <alignment/>
    </xf>
    <xf numFmtId="0" fontId="56" fillId="8" borderId="12" xfId="0" applyFont="1" applyFill="1" applyBorder="1" applyAlignment="1">
      <alignment/>
    </xf>
    <xf numFmtId="168" fontId="56" fillId="8" borderId="12" xfId="0" applyNumberFormat="1" applyFont="1" applyFill="1" applyBorder="1" applyAlignment="1" applyProtection="1" quotePrefix="1">
      <alignment horizontal="center"/>
      <protection/>
    </xf>
    <xf numFmtId="0" fontId="56" fillId="8" borderId="13" xfId="0" applyFont="1" applyFill="1" applyBorder="1" applyAlignment="1">
      <alignment/>
    </xf>
    <xf numFmtId="7" fontId="56" fillId="8" borderId="28" xfId="0" applyNumberFormat="1" applyFont="1" applyFill="1" applyBorder="1" applyAlignment="1">
      <alignment horizontal="center"/>
    </xf>
    <xf numFmtId="0" fontId="51" fillId="21" borderId="39" xfId="0" applyFont="1" applyFill="1" applyBorder="1" applyAlignment="1">
      <alignment/>
    </xf>
    <xf numFmtId="0" fontId="51" fillId="21" borderId="40" xfId="0" applyFont="1" applyFill="1" applyBorder="1" applyAlignment="1">
      <alignment/>
    </xf>
    <xf numFmtId="0" fontId="51" fillId="13" borderId="39" xfId="0" applyFont="1" applyFill="1" applyBorder="1" applyAlignment="1">
      <alignment/>
    </xf>
    <xf numFmtId="0" fontId="51" fillId="13" borderId="40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2" fillId="8" borderId="28" xfId="0" applyFont="1" applyFill="1" applyBorder="1" applyAlignment="1" applyProtection="1">
      <alignment horizontal="center" vertical="center"/>
      <protection/>
    </xf>
    <xf numFmtId="164" fontId="51" fillId="8" borderId="12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1" fillId="8" borderId="15" xfId="0" applyNumberFormat="1" applyFont="1" applyFill="1" applyBorder="1" applyAlignment="1" applyProtection="1">
      <alignment horizontal="center"/>
      <protection/>
    </xf>
    <xf numFmtId="168" fontId="10" fillId="0" borderId="15" xfId="0" applyNumberFormat="1" applyFont="1" applyFill="1" applyBorder="1" applyAlignment="1">
      <alignment horizontal="center"/>
    </xf>
    <xf numFmtId="2" fontId="56" fillId="2" borderId="15" xfId="0" applyNumberFormat="1" applyFont="1" applyFill="1" applyBorder="1" applyAlignment="1">
      <alignment horizontal="center"/>
    </xf>
    <xf numFmtId="2" fontId="56" fillId="2" borderId="12" xfId="0" applyNumberFormat="1" applyFont="1" applyFill="1" applyBorder="1" applyAlignment="1">
      <alignment horizontal="center"/>
    </xf>
    <xf numFmtId="168" fontId="51" fillId="13" borderId="34" xfId="0" applyNumberFormat="1" applyFont="1" applyFill="1" applyBorder="1" applyAlignment="1" applyProtection="1" quotePrefix="1">
      <alignment horizontal="center"/>
      <protection/>
    </xf>
    <xf numFmtId="168" fontId="51" fillId="13" borderId="4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2" fillId="20" borderId="28" xfId="0" applyFont="1" applyFill="1" applyBorder="1" applyAlignment="1" applyProtection="1">
      <alignment horizontal="centerContinuous" vertical="center" wrapText="1"/>
      <protection/>
    </xf>
    <xf numFmtId="168" fontId="51" fillId="20" borderId="15" xfId="0" applyNumberFormat="1" applyFont="1" applyFill="1" applyBorder="1" applyAlignment="1" applyProtection="1" quotePrefix="1">
      <alignment horizontal="center"/>
      <protection/>
    </xf>
    <xf numFmtId="168" fontId="51" fillId="20" borderId="12" xfId="0" applyNumberFormat="1" applyFont="1" applyFill="1" applyBorder="1" applyAlignment="1" applyProtection="1" quotePrefix="1">
      <alignment horizontal="center"/>
      <protection/>
    </xf>
    <xf numFmtId="2" fontId="56" fillId="2" borderId="28" xfId="0" applyNumberFormat="1" applyFont="1" applyFill="1" applyBorder="1" applyAlignment="1">
      <alignment horizontal="center"/>
    </xf>
    <xf numFmtId="2" fontId="51" fillId="20" borderId="28" xfId="0" applyNumberFormat="1" applyFont="1" applyFill="1" applyBorder="1" applyAlignment="1">
      <alignment horizontal="center"/>
    </xf>
    <xf numFmtId="0" fontId="58" fillId="18" borderId="15" xfId="0" applyFont="1" applyFill="1" applyBorder="1" applyAlignment="1">
      <alignment/>
    </xf>
    <xf numFmtId="0" fontId="58" fillId="18" borderId="12" xfId="0" applyFont="1" applyFill="1" applyBorder="1" applyAlignment="1">
      <alignment/>
    </xf>
    <xf numFmtId="168" fontId="59" fillId="18" borderId="12" xfId="0" applyNumberFormat="1" applyFont="1" applyFill="1" applyBorder="1" applyAlignment="1" applyProtection="1">
      <alignment horizontal="center"/>
      <protection/>
    </xf>
    <xf numFmtId="168" fontId="59" fillId="18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57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0" fontId="60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2" xfId="0" applyFont="1" applyBorder="1" applyAlignment="1" applyProtection="1">
      <alignment horizontal="left"/>
      <protection/>
    </xf>
    <xf numFmtId="171" fontId="0" fillId="0" borderId="43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>
      <alignment horizontal="centerContinuous"/>
    </xf>
    <xf numFmtId="0" fontId="10" fillId="0" borderId="45" xfId="0" applyFont="1" applyFill="1" applyBorder="1" applyAlignment="1">
      <alignment/>
    </xf>
    <xf numFmtId="0" fontId="10" fillId="0" borderId="46" xfId="0" applyFont="1" applyBorder="1" applyAlignment="1" applyProtection="1">
      <alignment horizontal="right"/>
      <protection/>
    </xf>
    <xf numFmtId="173" fontId="1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171" fontId="25" fillId="0" borderId="49" xfId="0" applyNumberFormat="1" applyFont="1" applyBorder="1" applyAlignment="1">
      <alignment horizontal="centerContinuous"/>
    </xf>
    <xf numFmtId="0" fontId="10" fillId="0" borderId="50" xfId="0" applyFont="1" applyBorder="1" applyAlignment="1">
      <alignment horizontal="centerContinuous"/>
    </xf>
    <xf numFmtId="0" fontId="10" fillId="0" borderId="51" xfId="0" applyFont="1" applyFill="1" applyBorder="1" applyAlignment="1">
      <alignment/>
    </xf>
    <xf numFmtId="168" fontId="10" fillId="0" borderId="52" xfId="0" applyNumberFormat="1" applyFont="1" applyBorder="1" applyAlignment="1" applyProtection="1">
      <alignment horizontal="right"/>
      <protection/>
    </xf>
    <xf numFmtId="171" fontId="10" fillId="0" borderId="5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171" fontId="25" fillId="0" borderId="52" xfId="0" applyNumberFormat="1" applyFont="1" applyBorder="1" applyAlignment="1">
      <alignment horizontal="centerContinuous"/>
    </xf>
    <xf numFmtId="0" fontId="10" fillId="0" borderId="5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6" xfId="0" applyNumberFormat="1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7" fontId="19" fillId="0" borderId="58" xfId="0" applyNumberFormat="1" applyFont="1" applyBorder="1" applyAlignment="1">
      <alignment horizontal="center"/>
    </xf>
    <xf numFmtId="0" fontId="10" fillId="0" borderId="59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2" fontId="10" fillId="0" borderId="60" xfId="0" applyNumberFormat="1" applyFont="1" applyBorder="1" applyAlignment="1" applyProtection="1">
      <alignment horizontal="center"/>
      <protection/>
    </xf>
    <xf numFmtId="168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right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right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0" fillId="0" borderId="57" xfId="0" applyBorder="1" applyAlignment="1">
      <alignment horizontal="centerContinuous"/>
    </xf>
    <xf numFmtId="0" fontId="10" fillId="0" borderId="49" xfId="0" applyFont="1" applyBorder="1" applyAlignment="1" applyProtection="1">
      <alignment horizontal="centerContinuous"/>
      <protection/>
    </xf>
    <xf numFmtId="0" fontId="0" fillId="0" borderId="49" xfId="0" applyBorder="1" applyAlignment="1">
      <alignment horizontal="center"/>
    </xf>
    <xf numFmtId="168" fontId="10" fillId="0" borderId="57" xfId="0" applyNumberFormat="1" applyFont="1" applyBorder="1" applyAlignment="1" applyProtection="1">
      <alignment horizontal="centerContinuous"/>
      <protection/>
    </xf>
    <xf numFmtId="2" fontId="22" fillId="0" borderId="64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60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0" fontId="10" fillId="0" borderId="66" xfId="0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2" fontId="22" fillId="0" borderId="68" xfId="0" applyNumberFormat="1" applyFont="1" applyBorder="1" applyAlignment="1">
      <alignment horizontal="centerContinuous"/>
    </xf>
    <xf numFmtId="7" fontId="10" fillId="0" borderId="62" xfId="0" applyNumberFormat="1" applyFont="1" applyBorder="1" applyAlignment="1">
      <alignment horizontal="centerContinuous"/>
    </xf>
    <xf numFmtId="168" fontId="10" fillId="0" borderId="56" xfId="0" applyNumberFormat="1" applyFont="1" applyBorder="1" applyAlignment="1" applyProtection="1" quotePrefix="1">
      <alignment horizontal="center"/>
      <protection/>
    </xf>
    <xf numFmtId="7" fontId="10" fillId="0" borderId="62" xfId="0" applyNumberFormat="1" applyFont="1" applyBorder="1" applyAlignment="1" applyProtection="1">
      <alignment horizontal="centerContinuous"/>
      <protection/>
    </xf>
    <xf numFmtId="2" fontId="22" fillId="0" borderId="38" xfId="0" applyNumberFormat="1" applyFont="1" applyBorder="1" applyAlignment="1">
      <alignment horizontal="centerContinuous"/>
    </xf>
    <xf numFmtId="7" fontId="10" fillId="0" borderId="57" xfId="0" applyNumberFormat="1" applyFont="1" applyBorder="1" applyAlignment="1" applyProtection="1">
      <alignment horizontal="centerContinuous"/>
      <protection/>
    </xf>
    <xf numFmtId="5" fontId="8" fillId="0" borderId="30" xfId="0" applyNumberFormat="1" applyFont="1" applyBorder="1" applyAlignment="1" applyProtection="1">
      <alignment horizontal="center"/>
      <protection/>
    </xf>
    <xf numFmtId="7" fontId="8" fillId="0" borderId="31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4" fillId="0" borderId="3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9" xfId="0" applyNumberFormat="1" applyFont="1" applyBorder="1" applyAlignment="1" applyProtection="1">
      <alignment horizontal="centerContinuous"/>
      <protection/>
    </xf>
    <xf numFmtId="2" fontId="10" fillId="0" borderId="64" xfId="0" applyNumberFormat="1" applyFont="1" applyBorder="1" applyAlignment="1" applyProtection="1">
      <alignment horizontal="centerContinuous"/>
      <protection/>
    </xf>
    <xf numFmtId="2" fontId="10" fillId="0" borderId="6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8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0" fontId="60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173" fontId="0" fillId="0" borderId="30" xfId="0" applyNumberFormat="1" applyFont="1" applyBorder="1" applyAlignment="1">
      <alignment horizontal="centerContinuous" vertical="center"/>
    </xf>
    <xf numFmtId="0" fontId="1" fillId="0" borderId="31" xfId="0" applyFont="1" applyBorder="1" applyAlignment="1" applyProtection="1">
      <alignment horizontal="centerContinuous" vertical="center"/>
      <protection/>
    </xf>
    <xf numFmtId="167" fontId="0" fillId="0" borderId="31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2" fontId="7" fillId="0" borderId="7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1" fillId="13" borderId="13" xfId="0" applyNumberFormat="1" applyFont="1" applyFill="1" applyBorder="1" applyAlignment="1" applyProtection="1" quotePrefix="1">
      <alignment horizontal="center"/>
      <protection locked="0"/>
    </xf>
    <xf numFmtId="168" fontId="51" fillId="14" borderId="13" xfId="0" applyNumberFormat="1" applyFont="1" applyFill="1" applyBorder="1" applyAlignment="1" applyProtection="1" quotePrefix="1">
      <alignment horizontal="center"/>
      <protection locked="0"/>
    </xf>
    <xf numFmtId="168" fontId="56" fillId="2" borderId="39" xfId="0" applyNumberFormat="1" applyFont="1" applyFill="1" applyBorder="1" applyAlignment="1" applyProtection="1" quotePrefix="1">
      <alignment horizontal="center"/>
      <protection locked="0"/>
    </xf>
    <xf numFmtId="4" fontId="56" fillId="2" borderId="73" xfId="0" applyNumberFormat="1" applyFont="1" applyFill="1" applyBorder="1" applyAlignment="1" applyProtection="1">
      <alignment horizontal="center"/>
      <protection locked="0"/>
    </xf>
    <xf numFmtId="4" fontId="56" fillId="2" borderId="74" xfId="0" applyNumberFormat="1" applyFont="1" applyFill="1" applyBorder="1" applyAlignment="1" applyProtection="1">
      <alignment horizontal="center"/>
      <protection locked="0"/>
    </xf>
    <xf numFmtId="168" fontId="56" fillId="8" borderId="39" xfId="0" applyNumberFormat="1" applyFont="1" applyFill="1" applyBorder="1" applyAlignment="1" applyProtection="1" quotePrefix="1">
      <alignment horizontal="center"/>
      <protection locked="0"/>
    </xf>
    <xf numFmtId="4" fontId="56" fillId="8" borderId="73" xfId="0" applyNumberFormat="1" applyFont="1" applyFill="1" applyBorder="1" applyAlignment="1" applyProtection="1">
      <alignment horizontal="center"/>
      <protection locked="0"/>
    </xf>
    <xf numFmtId="4" fontId="56" fillId="8" borderId="74" xfId="0" applyNumberFormat="1" applyFont="1" applyFill="1" applyBorder="1" applyAlignment="1" applyProtection="1">
      <alignment horizontal="center"/>
      <protection locked="0"/>
    </xf>
    <xf numFmtId="4" fontId="56" fillId="19" borderId="13" xfId="0" applyNumberFormat="1" applyFont="1" applyFill="1" applyBorder="1" applyAlignment="1" applyProtection="1">
      <alignment horizontal="center"/>
      <protection locked="0"/>
    </xf>
    <xf numFmtId="4" fontId="51" fillId="20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3" fillId="13" borderId="12" xfId="0" applyFont="1" applyFill="1" applyBorder="1" applyAlignment="1" applyProtection="1">
      <alignment/>
      <protection locked="0"/>
    </xf>
    <xf numFmtId="0" fontId="53" fillId="14" borderId="12" xfId="0" applyFont="1" applyFill="1" applyBorder="1" applyAlignment="1" applyProtection="1">
      <alignment/>
      <protection locked="0"/>
    </xf>
    <xf numFmtId="0" fontId="55" fillId="2" borderId="37" xfId="0" applyFont="1" applyFill="1" applyBorder="1" applyAlignment="1" applyProtection="1">
      <alignment horizontal="center"/>
      <protection locked="0"/>
    </xf>
    <xf numFmtId="0" fontId="55" fillId="2" borderId="38" xfId="0" applyFont="1" applyFill="1" applyBorder="1" applyAlignment="1" applyProtection="1">
      <alignment/>
      <protection locked="0"/>
    </xf>
    <xf numFmtId="0" fontId="55" fillId="2" borderId="16" xfId="0" applyFont="1" applyFill="1" applyBorder="1" applyAlignment="1" applyProtection="1">
      <alignment/>
      <protection locked="0"/>
    </xf>
    <xf numFmtId="0" fontId="55" fillId="8" borderId="37" xfId="0" applyFont="1" applyFill="1" applyBorder="1" applyAlignment="1" applyProtection="1">
      <alignment horizontal="center"/>
      <protection locked="0"/>
    </xf>
    <xf numFmtId="0" fontId="55" fillId="8" borderId="38" xfId="0" applyFont="1" applyFill="1" applyBorder="1" applyAlignment="1" applyProtection="1">
      <alignment/>
      <protection locked="0"/>
    </xf>
    <xf numFmtId="0" fontId="55" fillId="8" borderId="16" xfId="0" applyFont="1" applyFill="1" applyBorder="1" applyAlignment="1" applyProtection="1">
      <alignment/>
      <protection locked="0"/>
    </xf>
    <xf numFmtId="0" fontId="55" fillId="19" borderId="12" xfId="0" applyFont="1" applyFill="1" applyBorder="1" applyAlignment="1" applyProtection="1">
      <alignment/>
      <protection locked="0"/>
    </xf>
    <xf numFmtId="0" fontId="53" fillId="20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27" fillId="19" borderId="28" xfId="0" applyFont="1" applyFill="1" applyBorder="1" applyAlignment="1" applyProtection="1">
      <alignment horizontal="center" vertical="center" wrapText="1"/>
      <protection/>
    </xf>
    <xf numFmtId="0" fontId="27" fillId="4" borderId="28" xfId="0" applyFont="1" applyFill="1" applyBorder="1" applyAlignment="1" applyProtection="1">
      <alignment horizontal="center" vertical="center" wrapText="1"/>
      <protection/>
    </xf>
    <xf numFmtId="0" fontId="52" fillId="21" borderId="31" xfId="0" applyFont="1" applyFill="1" applyBorder="1" applyAlignment="1" applyProtection="1">
      <alignment horizontal="centerContinuous" vertical="center"/>
      <protection/>
    </xf>
    <xf numFmtId="0" fontId="52" fillId="13" borderId="31" xfId="0" applyFont="1" applyFill="1" applyBorder="1" applyAlignment="1" applyProtection="1">
      <alignment horizontal="centerContinuous" vertical="center"/>
      <protection/>
    </xf>
    <xf numFmtId="0" fontId="48" fillId="2" borderId="28" xfId="0" applyFont="1" applyFill="1" applyBorder="1" applyAlignment="1" applyProtection="1">
      <alignment horizontal="center" vertical="center" wrapText="1"/>
      <protection/>
    </xf>
    <xf numFmtId="0" fontId="27" fillId="8" borderId="28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7" fillId="18" borderId="15" xfId="0" applyFont="1" applyFill="1" applyBorder="1" applyAlignment="1" applyProtection="1">
      <alignment/>
      <protection/>
    </xf>
    <xf numFmtId="0" fontId="51" fillId="20" borderId="15" xfId="0" applyFont="1" applyFill="1" applyBorder="1" applyAlignment="1" applyProtection="1">
      <alignment/>
      <protection/>
    </xf>
    <xf numFmtId="0" fontId="56" fillId="19" borderId="15" xfId="0" applyFont="1" applyFill="1" applyBorder="1" applyAlignment="1" applyProtection="1">
      <alignment/>
      <protection/>
    </xf>
    <xf numFmtId="0" fontId="56" fillId="4" borderId="15" xfId="0" applyFont="1" applyFill="1" applyBorder="1" applyAlignment="1" applyProtection="1">
      <alignment/>
      <protection/>
    </xf>
    <xf numFmtId="0" fontId="51" fillId="21" borderId="34" xfId="0" applyFont="1" applyFill="1" applyBorder="1" applyAlignment="1" applyProtection="1">
      <alignment horizontal="center"/>
      <protection/>
    </xf>
    <xf numFmtId="0" fontId="51" fillId="21" borderId="36" xfId="0" applyFont="1" applyFill="1" applyBorder="1" applyAlignment="1" applyProtection="1">
      <alignment/>
      <protection/>
    </xf>
    <xf numFmtId="0" fontId="51" fillId="13" borderId="34" xfId="0" applyFont="1" applyFill="1" applyBorder="1" applyAlignment="1" applyProtection="1">
      <alignment horizontal="center"/>
      <protection/>
    </xf>
    <xf numFmtId="0" fontId="51" fillId="13" borderId="36" xfId="0" applyFont="1" applyFill="1" applyBorder="1" applyAlignment="1" applyProtection="1">
      <alignment/>
      <protection/>
    </xf>
    <xf numFmtId="0" fontId="49" fillId="2" borderId="15" xfId="0" applyFont="1" applyFill="1" applyBorder="1" applyAlignment="1" applyProtection="1">
      <alignment/>
      <protection/>
    </xf>
    <xf numFmtId="0" fontId="56" fillId="8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7" fillId="18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1" fillId="20" borderId="12" xfId="0" applyFont="1" applyFill="1" applyBorder="1" applyAlignment="1" applyProtection="1">
      <alignment/>
      <protection/>
    </xf>
    <xf numFmtId="0" fontId="56" fillId="19" borderId="12" xfId="0" applyFont="1" applyFill="1" applyBorder="1" applyAlignment="1" applyProtection="1">
      <alignment/>
      <protection/>
    </xf>
    <xf numFmtId="0" fontId="56" fillId="4" borderId="12" xfId="0" applyFont="1" applyFill="1" applyBorder="1" applyAlignment="1" applyProtection="1">
      <alignment/>
      <protection/>
    </xf>
    <xf numFmtId="0" fontId="51" fillId="21" borderId="37" xfId="0" applyFont="1" applyFill="1" applyBorder="1" applyAlignment="1" applyProtection="1">
      <alignment horizontal="center"/>
      <protection/>
    </xf>
    <xf numFmtId="0" fontId="51" fillId="21" borderId="16" xfId="0" applyFont="1" applyFill="1" applyBorder="1" applyAlignment="1" applyProtection="1">
      <alignment/>
      <protection/>
    </xf>
    <xf numFmtId="0" fontId="51" fillId="13" borderId="37" xfId="0" applyFont="1" applyFill="1" applyBorder="1" applyAlignment="1" applyProtection="1">
      <alignment horizontal="center"/>
      <protection/>
    </xf>
    <xf numFmtId="0" fontId="51" fillId="13" borderId="16" xfId="0" applyFont="1" applyFill="1" applyBorder="1" applyAlignment="1" applyProtection="1">
      <alignment/>
      <protection/>
    </xf>
    <xf numFmtId="0" fontId="49" fillId="2" borderId="12" xfId="0" applyFont="1" applyFill="1" applyBorder="1" applyAlignment="1" applyProtection="1">
      <alignment/>
      <protection/>
    </xf>
    <xf numFmtId="0" fontId="56" fillId="8" borderId="12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7" fillId="18" borderId="13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7" fontId="56" fillId="19" borderId="28" xfId="0" applyNumberFormat="1" applyFont="1" applyFill="1" applyBorder="1" applyAlignment="1" applyProtection="1">
      <alignment horizontal="center"/>
      <protection/>
    </xf>
    <xf numFmtId="7" fontId="56" fillId="4" borderId="28" xfId="0" applyNumberFormat="1" applyFont="1" applyFill="1" applyBorder="1" applyAlignment="1" applyProtection="1">
      <alignment horizontal="center"/>
      <protection/>
    </xf>
    <xf numFmtId="7" fontId="51" fillId="21" borderId="28" xfId="0" applyNumberFormat="1" applyFont="1" applyFill="1" applyBorder="1" applyAlignment="1" applyProtection="1">
      <alignment horizontal="center"/>
      <protection/>
    </xf>
    <xf numFmtId="7" fontId="51" fillId="13" borderId="28" xfId="0" applyNumberFormat="1" applyFont="1" applyFill="1" applyBorder="1" applyAlignment="1" applyProtection="1">
      <alignment horizontal="center"/>
      <protection/>
    </xf>
    <xf numFmtId="7" fontId="49" fillId="2" borderId="28" xfId="0" applyNumberFormat="1" applyFont="1" applyFill="1" applyBorder="1" applyAlignment="1" applyProtection="1">
      <alignment horizontal="center"/>
      <protection/>
    </xf>
    <xf numFmtId="7" fontId="56" fillId="8" borderId="28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7" fontId="11" fillId="0" borderId="28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1" fillId="20" borderId="13" xfId="0" applyFont="1" applyFill="1" applyBorder="1" applyAlignment="1" applyProtection="1">
      <alignment/>
      <protection locked="0"/>
    </xf>
    <xf numFmtId="0" fontId="56" fillId="19" borderId="13" xfId="0" applyFont="1" applyFill="1" applyBorder="1" applyAlignment="1" applyProtection="1">
      <alignment/>
      <protection locked="0"/>
    </xf>
    <xf numFmtId="0" fontId="56" fillId="4" borderId="13" xfId="0" applyFont="1" applyFill="1" applyBorder="1" applyAlignment="1" applyProtection="1">
      <alignment/>
      <protection locked="0"/>
    </xf>
    <xf numFmtId="0" fontId="51" fillId="21" borderId="39" xfId="0" applyFont="1" applyFill="1" applyBorder="1" applyAlignment="1" applyProtection="1">
      <alignment/>
      <protection locked="0"/>
    </xf>
    <xf numFmtId="0" fontId="51" fillId="21" borderId="40" xfId="0" applyFont="1" applyFill="1" applyBorder="1" applyAlignment="1" applyProtection="1">
      <alignment/>
      <protection locked="0"/>
    </xf>
    <xf numFmtId="0" fontId="51" fillId="13" borderId="39" xfId="0" applyFont="1" applyFill="1" applyBorder="1" applyAlignment="1" applyProtection="1">
      <alignment/>
      <protection locked="0"/>
    </xf>
    <xf numFmtId="0" fontId="51" fillId="13" borderId="40" xfId="0" applyFont="1" applyFill="1" applyBorder="1" applyAlignment="1" applyProtection="1">
      <alignment/>
      <protection locked="0"/>
    </xf>
    <xf numFmtId="0" fontId="49" fillId="2" borderId="13" xfId="0" applyFont="1" applyFill="1" applyBorder="1" applyAlignment="1" applyProtection="1">
      <alignment/>
      <protection locked="0"/>
    </xf>
    <xf numFmtId="0" fontId="56" fillId="8" borderId="13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0" fontId="51" fillId="8" borderId="13" xfId="0" applyFont="1" applyFill="1" applyBorder="1" applyAlignment="1" applyProtection="1">
      <alignment/>
      <protection locked="0"/>
    </xf>
    <xf numFmtId="0" fontId="56" fillId="2" borderId="13" xfId="0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168" fontId="11" fillId="0" borderId="49" xfId="0" applyNumberFormat="1" applyFont="1" applyBorder="1" applyAlignment="1" applyProtection="1">
      <alignment horizontal="center"/>
      <protection/>
    </xf>
    <xf numFmtId="168" fontId="63" fillId="0" borderId="0" xfId="0" applyNumberFormat="1" applyFont="1" applyBorder="1" applyAlignment="1" applyProtection="1" quotePrefix="1">
      <alignment horizontal="left"/>
      <protection/>
    </xf>
    <xf numFmtId="168" fontId="63" fillId="0" borderId="60" xfId="0" applyNumberFormat="1" applyFont="1" applyBorder="1" applyAlignment="1" applyProtection="1" quotePrefix="1">
      <alignment horizontal="left"/>
      <protection/>
    </xf>
    <xf numFmtId="168" fontId="63" fillId="0" borderId="56" xfId="0" applyNumberFormat="1" applyFont="1" applyBorder="1" applyAlignment="1" applyProtection="1" quotePrefix="1">
      <alignment horizontal="left"/>
      <protection/>
    </xf>
    <xf numFmtId="168" fontId="11" fillId="0" borderId="49" xfId="0" applyNumberFormat="1" applyFont="1" applyBorder="1" applyAlignment="1" applyProtection="1">
      <alignment horizontal="lef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177" fontId="11" fillId="0" borderId="58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18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8" xfId="50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1" fillId="13" borderId="12" xfId="0" applyNumberFormat="1" applyFont="1" applyFill="1" applyBorder="1" applyAlignment="1" applyProtection="1">
      <alignment horizontal="center"/>
      <protection/>
    </xf>
    <xf numFmtId="2" fontId="51" fillId="14" borderId="12" xfId="0" applyNumberFormat="1" applyFont="1" applyFill="1" applyBorder="1" applyAlignment="1" applyProtection="1">
      <alignment horizontal="center"/>
      <protection/>
    </xf>
    <xf numFmtId="168" fontId="56" fillId="2" borderId="37" xfId="0" applyNumberFormat="1" applyFont="1" applyFill="1" applyBorder="1" applyAlignment="1" applyProtection="1" quotePrefix="1">
      <alignment horizontal="center"/>
      <protection/>
    </xf>
    <xf numFmtId="168" fontId="56" fillId="2" borderId="38" xfId="0" applyNumberFormat="1" applyFont="1" applyFill="1" applyBorder="1" applyAlignment="1" applyProtection="1" quotePrefix="1">
      <alignment horizontal="center"/>
      <protection/>
    </xf>
    <xf numFmtId="4" fontId="56" fillId="2" borderId="16" xfId="0" applyNumberFormat="1" applyFont="1" applyFill="1" applyBorder="1" applyAlignment="1" applyProtection="1">
      <alignment horizontal="center"/>
      <protection/>
    </xf>
    <xf numFmtId="168" fontId="56" fillId="8" borderId="37" xfId="0" applyNumberFormat="1" applyFont="1" applyFill="1" applyBorder="1" applyAlignment="1" applyProtection="1" quotePrefix="1">
      <alignment horizontal="center"/>
      <protection/>
    </xf>
    <xf numFmtId="168" fontId="56" fillId="8" borderId="38" xfId="0" applyNumberFormat="1" applyFont="1" applyFill="1" applyBorder="1" applyAlignment="1" applyProtection="1" quotePrefix="1">
      <alignment horizontal="center"/>
      <protection/>
    </xf>
    <xf numFmtId="4" fontId="56" fillId="8" borderId="16" xfId="0" applyNumberFormat="1" applyFont="1" applyFill="1" applyBorder="1" applyAlignment="1" applyProtection="1">
      <alignment horizontal="center"/>
      <protection/>
    </xf>
    <xf numFmtId="4" fontId="56" fillId="19" borderId="12" xfId="0" applyNumberFormat="1" applyFont="1" applyFill="1" applyBorder="1" applyAlignment="1" applyProtection="1">
      <alignment horizontal="center"/>
      <protection/>
    </xf>
    <xf numFmtId="4" fontId="51" fillId="2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6" fillId="19" borderId="12" xfId="0" applyNumberFormat="1" applyFont="1" applyFill="1" applyBorder="1" applyAlignment="1" applyProtection="1">
      <alignment horizontal="center"/>
      <protection/>
    </xf>
    <xf numFmtId="2" fontId="56" fillId="4" borderId="12" xfId="0" applyNumberFormat="1" applyFont="1" applyFill="1" applyBorder="1" applyAlignment="1" applyProtection="1">
      <alignment horizontal="center"/>
      <protection/>
    </xf>
    <xf numFmtId="2" fontId="56" fillId="2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75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75" xfId="0" applyFont="1" applyFill="1" applyBorder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75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70" fillId="0" borderId="32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32" xfId="0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left"/>
      <protection/>
    </xf>
    <xf numFmtId="0" fontId="88" fillId="0" borderId="0" xfId="0" applyFont="1" applyAlignment="1">
      <alignment/>
    </xf>
    <xf numFmtId="0" fontId="88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89" fillId="0" borderId="0" xfId="0" applyFont="1" applyBorder="1" applyAlignment="1">
      <alignment horizontal="centerContinuous"/>
    </xf>
    <xf numFmtId="0" fontId="90" fillId="0" borderId="0" xfId="0" applyFont="1" applyBorder="1" applyAlignment="1" applyProtection="1">
      <alignment horizontal="left"/>
      <protection/>
    </xf>
    <xf numFmtId="0" fontId="91" fillId="0" borderId="0" xfId="0" applyFont="1" applyBorder="1" applyAlignment="1" applyProtection="1">
      <alignment horizontal="centerContinuous"/>
      <protection/>
    </xf>
    <xf numFmtId="0" fontId="91" fillId="0" borderId="0" xfId="0" applyFont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2" fillId="0" borderId="21" xfId="0" applyFont="1" applyBorder="1" applyAlignment="1">
      <alignment/>
    </xf>
    <xf numFmtId="0" fontId="0" fillId="0" borderId="22" xfId="0" applyBorder="1" applyAlignment="1">
      <alignment/>
    </xf>
    <xf numFmtId="0" fontId="9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5" xfId="0" applyBorder="1" applyAlignment="1">
      <alignment/>
    </xf>
    <xf numFmtId="0" fontId="92" fillId="0" borderId="0" xfId="0" applyFont="1" applyBorder="1" applyAlignment="1" applyProtection="1">
      <alignment horizontal="center"/>
      <protection/>
    </xf>
    <xf numFmtId="0" fontId="92" fillId="0" borderId="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22" borderId="71" xfId="0" applyFont="1" applyFill="1" applyBorder="1" applyAlignment="1">
      <alignment horizontal="centerContinuous" vertical="center"/>
    </xf>
    <xf numFmtId="0" fontId="93" fillId="22" borderId="76" xfId="0" applyFont="1" applyFill="1" applyBorder="1" applyAlignment="1" applyProtection="1">
      <alignment horizontal="centerContinuous" vertical="center"/>
      <protection/>
    </xf>
    <xf numFmtId="0" fontId="93" fillId="22" borderId="76" xfId="0" applyFont="1" applyFill="1" applyBorder="1" applyAlignment="1" applyProtection="1">
      <alignment horizontal="centerContinuous" vertical="center" wrapText="1"/>
      <protection/>
    </xf>
    <xf numFmtId="168" fontId="93" fillId="22" borderId="28" xfId="0" applyNumberFormat="1" applyFont="1" applyFill="1" applyBorder="1" applyAlignment="1" applyProtection="1">
      <alignment horizontal="centerContinuous" vertical="center" wrapText="1"/>
      <protection/>
    </xf>
    <xf numFmtId="17" fontId="93" fillId="22" borderId="2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22" borderId="14" xfId="0" applyFont="1" applyFill="1" applyBorder="1" applyAlignment="1">
      <alignment/>
    </xf>
    <xf numFmtId="0" fontId="92" fillId="22" borderId="77" xfId="0" applyFont="1" applyFill="1" applyBorder="1" applyAlignment="1">
      <alignment/>
    </xf>
    <xf numFmtId="0" fontId="92" fillId="22" borderId="78" xfId="0" applyFont="1" applyFill="1" applyBorder="1" applyAlignment="1">
      <alignment/>
    </xf>
    <xf numFmtId="0" fontId="0" fillId="0" borderId="79" xfId="0" applyBorder="1" applyAlignment="1">
      <alignment/>
    </xf>
    <xf numFmtId="0" fontId="7" fillId="22" borderId="80" xfId="0" applyFont="1" applyFill="1" applyBorder="1" applyAlignment="1">
      <alignment horizontal="center"/>
    </xf>
    <xf numFmtId="0" fontId="7" fillId="22" borderId="81" xfId="0" applyFont="1" applyFill="1" applyBorder="1" applyAlignment="1" applyProtection="1">
      <alignment horizontal="center"/>
      <protection/>
    </xf>
    <xf numFmtId="2" fontId="7" fillId="22" borderId="82" xfId="0" applyNumberFormat="1" applyFont="1" applyFill="1" applyBorder="1" applyAlignment="1" applyProtection="1">
      <alignment horizontal="center"/>
      <protection/>
    </xf>
    <xf numFmtId="1" fontId="7" fillId="23" borderId="82" xfId="0" applyNumberFormat="1" applyFont="1" applyFill="1" applyBorder="1" applyAlignment="1">
      <alignment horizontal="center"/>
    </xf>
    <xf numFmtId="0" fontId="0" fillId="0" borderId="78" xfId="0" applyBorder="1" applyAlignment="1">
      <alignment/>
    </xf>
    <xf numFmtId="0" fontId="10" fillId="24" borderId="83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10" fillId="22" borderId="83" xfId="0" applyFont="1" applyFill="1" applyBorder="1" applyAlignment="1">
      <alignment horizontal="center"/>
    </xf>
    <xf numFmtId="0" fontId="10" fillId="22" borderId="18" xfId="0" applyFont="1" applyFill="1" applyBorder="1" applyAlignment="1">
      <alignment horizontal="center"/>
    </xf>
    <xf numFmtId="0" fontId="7" fillId="22" borderId="71" xfId="0" applyFont="1" applyFill="1" applyBorder="1" applyAlignment="1">
      <alignment horizontal="center"/>
    </xf>
    <xf numFmtId="0" fontId="7" fillId="22" borderId="84" xfId="0" applyFont="1" applyFill="1" applyBorder="1" applyAlignment="1" applyProtection="1">
      <alignment horizontal="left"/>
      <protection/>
    </xf>
    <xf numFmtId="0" fontId="7" fillId="22" borderId="84" xfId="0" applyFont="1" applyFill="1" applyBorder="1" applyAlignment="1" applyProtection="1">
      <alignment horizontal="center"/>
      <protection/>
    </xf>
    <xf numFmtId="2" fontId="7" fillId="22" borderId="72" xfId="0" applyNumberFormat="1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right"/>
      <protection/>
    </xf>
    <xf numFmtId="168" fontId="5" fillId="0" borderId="72" xfId="0" applyNumberFormat="1" applyFont="1" applyFill="1" applyBorder="1" applyAlignment="1" applyProtection="1">
      <alignment horizontal="center"/>
      <protection/>
    </xf>
    <xf numFmtId="1" fontId="0" fillId="2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22" borderId="28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22" borderId="28" xfId="0" applyNumberFormat="1" applyFont="1" applyFill="1" applyBorder="1" applyAlignment="1">
      <alignment horizontal="center"/>
    </xf>
    <xf numFmtId="0" fontId="7" fillId="22" borderId="85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9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95" fillId="0" borderId="29" xfId="0" applyNumberFormat="1" applyFont="1" applyBorder="1" applyAlignment="1">
      <alignment horizontal="center"/>
    </xf>
    <xf numFmtId="0" fontId="94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Y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I15">
            <v>41030</v>
          </cell>
          <cell r="HJ15">
            <v>41061</v>
          </cell>
          <cell r="HK15">
            <v>41091</v>
          </cell>
          <cell r="HL15">
            <v>41122</v>
          </cell>
          <cell r="HM15">
            <v>41153</v>
          </cell>
          <cell r="HN15">
            <v>41183</v>
          </cell>
          <cell r="HO15">
            <v>41214</v>
          </cell>
          <cell r="HP15">
            <v>41244</v>
          </cell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  <cell r="HU15">
            <v>41395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I17" t="str">
            <v>XXXX</v>
          </cell>
          <cell r="HJ17" t="str">
            <v>XXXX</v>
          </cell>
          <cell r="HK17" t="str">
            <v>XXXX</v>
          </cell>
          <cell r="HL17" t="str">
            <v>XXXX</v>
          </cell>
          <cell r="HM17" t="str">
            <v>XXXX</v>
          </cell>
          <cell r="HN17" t="str">
            <v>XXXX</v>
          </cell>
          <cell r="HO17" t="str">
            <v>XXXX</v>
          </cell>
          <cell r="HP17" t="str">
            <v>XXXX</v>
          </cell>
          <cell r="HQ17" t="str">
            <v>XXXX</v>
          </cell>
          <cell r="HR17" t="str">
            <v>XXXX</v>
          </cell>
          <cell r="HS17" t="str">
            <v>XXXX</v>
          </cell>
          <cell r="HT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P18">
            <v>1</v>
          </cell>
          <cell r="HT18">
            <v>2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R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I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J27">
            <v>1</v>
          </cell>
          <cell r="HQ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HO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I31" t="str">
            <v>XXXX</v>
          </cell>
          <cell r="HJ31" t="str">
            <v>XXXX</v>
          </cell>
          <cell r="HK31" t="str">
            <v>XXXX</v>
          </cell>
          <cell r="HL31" t="str">
            <v>XXXX</v>
          </cell>
          <cell r="HM31" t="str">
            <v>XXXX</v>
          </cell>
          <cell r="HN31" t="str">
            <v>XXXX</v>
          </cell>
          <cell r="HO31" t="str">
            <v>XXXX</v>
          </cell>
          <cell r="HP31" t="str">
            <v>XXXX</v>
          </cell>
          <cell r="HQ31" t="str">
            <v>XXXX</v>
          </cell>
          <cell r="HR31" t="str">
            <v>XXXX</v>
          </cell>
          <cell r="HS31" t="str">
            <v>XXXX</v>
          </cell>
          <cell r="HT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K33">
            <v>1</v>
          </cell>
          <cell r="HO33">
            <v>1</v>
          </cell>
          <cell r="HQ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I34" t="str">
            <v>XXXX</v>
          </cell>
          <cell r="HJ34" t="str">
            <v>XXXX</v>
          </cell>
          <cell r="HK34" t="str">
            <v>XXXX</v>
          </cell>
          <cell r="HL34" t="str">
            <v>XXXX</v>
          </cell>
          <cell r="HM34" t="str">
            <v>XXXX</v>
          </cell>
          <cell r="HN34" t="str">
            <v>XXXX</v>
          </cell>
          <cell r="HO34" t="str">
            <v>XXXX</v>
          </cell>
          <cell r="HP34" t="str">
            <v>XXXX</v>
          </cell>
          <cell r="HQ34" t="str">
            <v>XXXX</v>
          </cell>
          <cell r="HR34" t="str">
            <v>XXXX</v>
          </cell>
          <cell r="HS34" t="str">
            <v>XXXX</v>
          </cell>
          <cell r="HT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I35" t="str">
            <v>XXXX</v>
          </cell>
          <cell r="HJ35" t="str">
            <v>XXXX</v>
          </cell>
          <cell r="HK35" t="str">
            <v>XXXX</v>
          </cell>
          <cell r="HL35" t="str">
            <v>XXXX</v>
          </cell>
          <cell r="HM35" t="str">
            <v>XXXX</v>
          </cell>
          <cell r="HN35" t="str">
            <v>XXXX</v>
          </cell>
          <cell r="HO35" t="str">
            <v>XXXX</v>
          </cell>
          <cell r="HP35" t="str">
            <v>XXXX</v>
          </cell>
          <cell r="HQ35" t="str">
            <v>XXXX</v>
          </cell>
          <cell r="HR35" t="str">
            <v>XXXX</v>
          </cell>
          <cell r="HS35" t="str">
            <v>XXXX</v>
          </cell>
          <cell r="HT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R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  <cell r="HP42">
            <v>1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HL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I48" t="str">
            <v>XXXX</v>
          </cell>
          <cell r="HJ48" t="str">
            <v>XXXX</v>
          </cell>
          <cell r="HK48" t="str">
            <v>XXXX</v>
          </cell>
          <cell r="HL48" t="str">
            <v>XXXX</v>
          </cell>
          <cell r="HM48" t="str">
            <v>XXXX</v>
          </cell>
          <cell r="HN48" t="str">
            <v>XXXX</v>
          </cell>
          <cell r="HO48" t="str">
            <v>XXXX</v>
          </cell>
          <cell r="HP48" t="str">
            <v>XXXX</v>
          </cell>
          <cell r="HQ48" t="str">
            <v>XXXX</v>
          </cell>
          <cell r="HR48" t="str">
            <v>XXXX</v>
          </cell>
          <cell r="HS48" t="str">
            <v>XXXX</v>
          </cell>
          <cell r="HT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L51">
            <v>2</v>
          </cell>
          <cell r="HN51">
            <v>2</v>
          </cell>
          <cell r="HQ51">
            <v>2</v>
          </cell>
          <cell r="HS51">
            <v>1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I52" t="str">
            <v>XXXX</v>
          </cell>
          <cell r="HJ52" t="str">
            <v>XXXX</v>
          </cell>
          <cell r="HK52" t="str">
            <v>XXXX</v>
          </cell>
          <cell r="HL52" t="str">
            <v>XXXX</v>
          </cell>
          <cell r="HM52" t="str">
            <v>XXXX</v>
          </cell>
          <cell r="HN52" t="str">
            <v>XXXX</v>
          </cell>
          <cell r="HO52" t="str">
            <v>XXXX</v>
          </cell>
          <cell r="HP52" t="str">
            <v>XXXX</v>
          </cell>
          <cell r="HQ52" t="str">
            <v>XXXX</v>
          </cell>
          <cell r="HR52" t="str">
            <v>XXXX</v>
          </cell>
          <cell r="HS52" t="str">
            <v>XXXX</v>
          </cell>
          <cell r="HT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I54" t="str">
            <v>XXXX</v>
          </cell>
          <cell r="HJ54" t="str">
            <v>XXXX</v>
          </cell>
          <cell r="HK54" t="str">
            <v>XXXX</v>
          </cell>
          <cell r="HL54" t="str">
            <v>XXXX</v>
          </cell>
          <cell r="HM54" t="str">
            <v>XXXX</v>
          </cell>
          <cell r="HN54" t="str">
            <v>XXXX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  <cell r="HT56">
            <v>2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I58" t="str">
            <v>XXXX</v>
          </cell>
          <cell r="HJ58" t="str">
            <v>XXXX</v>
          </cell>
          <cell r="HK58" t="str">
            <v>XXXX</v>
          </cell>
          <cell r="HL58" t="str">
            <v>XXXX</v>
          </cell>
          <cell r="HM58" t="str">
            <v>XXXX</v>
          </cell>
          <cell r="HN58" t="str">
            <v>XXXX</v>
          </cell>
          <cell r="HO58" t="str">
            <v>XXXX</v>
          </cell>
          <cell r="HP58" t="str">
            <v>XXXX</v>
          </cell>
          <cell r="HQ58" t="str">
            <v>XXXX</v>
          </cell>
          <cell r="HR58" t="str">
            <v>XXXX</v>
          </cell>
          <cell r="HS58" t="str">
            <v>XXXX</v>
          </cell>
          <cell r="HT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  <cell r="HJ60">
            <v>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N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I63">
            <v>1</v>
          </cell>
        </row>
        <row r="73">
          <cell r="HI73">
            <v>1.1</v>
          </cell>
          <cell r="HJ73">
            <v>1.1</v>
          </cell>
          <cell r="HK73">
            <v>1.1</v>
          </cell>
          <cell r="HL73">
            <v>1.07</v>
          </cell>
          <cell r="HM73">
            <v>1.17</v>
          </cell>
          <cell r="HN73">
            <v>1.13</v>
          </cell>
          <cell r="HO73">
            <v>1.07</v>
          </cell>
          <cell r="HP73">
            <v>1</v>
          </cell>
          <cell r="HQ73">
            <v>0.87</v>
          </cell>
          <cell r="HR73">
            <v>0.83</v>
          </cell>
          <cell r="HS73">
            <v>0.77</v>
          </cell>
          <cell r="HT73">
            <v>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48"/>
  <sheetViews>
    <sheetView tabSelected="1" zoomScale="70" zoomScaleNormal="70" workbookViewId="0" topLeftCell="A4">
      <selection activeCell="H33" sqref="H3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10"/>
    </row>
    <row r="2" spans="2:10" s="109" customFormat="1" ht="26.25">
      <c r="B2" s="110" t="s">
        <v>158</v>
      </c>
      <c r="C2" s="127"/>
      <c r="D2" s="111"/>
      <c r="E2" s="111"/>
      <c r="F2" s="111"/>
      <c r="G2" s="111"/>
      <c r="H2" s="111"/>
      <c r="I2" s="111"/>
      <c r="J2" s="111"/>
    </row>
    <row r="3" spans="3:19" ht="12.75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8" t="s">
        <v>16</v>
      </c>
      <c r="B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2" customFormat="1" ht="11.25">
      <c r="A5" s="128" t="s">
        <v>17</v>
      </c>
      <c r="B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2:19" s="109" customFormat="1" ht="26.25">
      <c r="B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114" customFormat="1" ht="21">
      <c r="B7" s="168" t="s">
        <v>0</v>
      </c>
      <c r="C7" s="133"/>
      <c r="D7" s="134"/>
      <c r="E7" s="134"/>
      <c r="F7" s="135"/>
      <c r="G7" s="135"/>
      <c r="H7" s="135"/>
      <c r="I7" s="135"/>
      <c r="J7" s="135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8" t="s">
        <v>1</v>
      </c>
      <c r="C9" s="133"/>
      <c r="D9" s="134"/>
      <c r="E9" s="134"/>
      <c r="F9" s="134"/>
      <c r="G9" s="134"/>
      <c r="H9" s="134"/>
      <c r="I9" s="135"/>
      <c r="J9" s="135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6"/>
      <c r="E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8" t="s">
        <v>157</v>
      </c>
      <c r="C11" s="85"/>
      <c r="D11" s="40"/>
      <c r="E11" s="40"/>
      <c r="F11" s="134"/>
      <c r="G11" s="134"/>
      <c r="H11" s="134"/>
      <c r="I11" s="135"/>
      <c r="J11" s="135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7" customFormat="1" ht="16.5" thickBot="1">
      <c r="D12" s="7"/>
      <c r="E12" s="7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2:19" s="137" customFormat="1" ht="16.5" thickTop="1">
      <c r="B13" s="385">
        <v>1</v>
      </c>
      <c r="C13" s="407"/>
      <c r="D13" s="139"/>
      <c r="E13" s="139"/>
      <c r="F13" s="139"/>
      <c r="G13" s="139"/>
      <c r="H13" s="139"/>
      <c r="I13" s="139"/>
      <c r="J13" s="140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s="121" customFormat="1" ht="19.5">
      <c r="B14" s="237" t="s">
        <v>131</v>
      </c>
      <c r="C14" s="141"/>
      <c r="D14" s="142"/>
      <c r="E14" s="143"/>
      <c r="F14" s="143"/>
      <c r="G14" s="143"/>
      <c r="H14" s="143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4"/>
      <c r="C15" s="145"/>
      <c r="D15" s="145"/>
      <c r="E15" s="47"/>
      <c r="F15" s="146"/>
      <c r="G15" s="146"/>
      <c r="H15" s="146"/>
      <c r="I15" s="47"/>
      <c r="J15" s="147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7">
        <f>IF(B13=2,"Sanciones duplicadas por tasa de falla &gt; 4 Sal. x año/100km.","")</f>
      </c>
      <c r="C16" s="240"/>
      <c r="D16" s="240"/>
      <c r="E16" s="117"/>
      <c r="F16" s="143"/>
      <c r="G16" s="143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4"/>
      <c r="C17" s="145"/>
      <c r="D17" s="145"/>
      <c r="E17" s="47"/>
      <c r="F17" s="146"/>
      <c r="G17" s="146"/>
      <c r="H17" s="47"/>
      <c r="I17"/>
      <c r="J17" s="147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4"/>
      <c r="C18" s="148" t="s">
        <v>18</v>
      </c>
      <c r="D18" s="149" t="s">
        <v>19</v>
      </c>
      <c r="E18" s="47"/>
      <c r="F18" s="146"/>
      <c r="G18" s="146"/>
      <c r="H18" s="146"/>
      <c r="I18" s="46"/>
      <c r="J18" s="1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4"/>
      <c r="C19"/>
      <c r="D19" s="148" t="s">
        <v>20</v>
      </c>
      <c r="E19" s="149" t="s">
        <v>21</v>
      </c>
      <c r="F19" s="146"/>
      <c r="G19" s="146"/>
      <c r="H19" s="146"/>
      <c r="I19" s="46">
        <f>'LI-05 (1)'!AA43</f>
        <v>49.96</v>
      </c>
      <c r="J19" s="147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4"/>
      <c r="C20" s="148"/>
      <c r="D20" s="148" t="s">
        <v>22</v>
      </c>
      <c r="E20" s="149" t="s">
        <v>23</v>
      </c>
      <c r="F20" s="146"/>
      <c r="G20" s="146"/>
      <c r="H20" s="146"/>
      <c r="I20" s="46">
        <f>'LI-EDERSA-05 (1)'!AA43</f>
        <v>248.4</v>
      </c>
      <c r="J20" s="1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3.5">
      <c r="B21" s="44"/>
      <c r="C21" s="150"/>
      <c r="D21" s="151"/>
      <c r="E21" s="8"/>
      <c r="F21" s="152"/>
      <c r="G21" s="152"/>
      <c r="H21" s="152"/>
      <c r="I21" s="153"/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s="121" customFormat="1" ht="19.5">
      <c r="B22" s="144"/>
      <c r="C22" s="148" t="s">
        <v>24</v>
      </c>
      <c r="D22" s="149" t="s">
        <v>25</v>
      </c>
      <c r="E22" s="47"/>
      <c r="F22" s="146"/>
      <c r="G22" s="146"/>
      <c r="H22" s="146"/>
      <c r="I22" s="46"/>
      <c r="J22" s="147"/>
      <c r="K22" s="47"/>
      <c r="L22" s="47"/>
      <c r="M22" s="47"/>
      <c r="N22" s="47"/>
      <c r="O22" s="47"/>
      <c r="P22" s="47"/>
      <c r="Q22" s="47"/>
      <c r="R22" s="47"/>
      <c r="S22" s="47"/>
    </row>
    <row r="23" spans="2:19" ht="8.25" customHeight="1">
      <c r="B23" s="44"/>
      <c r="C23" s="150"/>
      <c r="D23" s="150"/>
      <c r="E23" s="8"/>
      <c r="F23" s="152"/>
      <c r="G23" s="152"/>
      <c r="H23" s="152"/>
      <c r="I23" s="154"/>
      <c r="J23" s="11"/>
      <c r="K23" s="8"/>
      <c r="L23" s="8"/>
      <c r="M23" s="8"/>
      <c r="N23" s="8"/>
      <c r="O23" s="8"/>
      <c r="P23" s="8"/>
      <c r="Q23" s="8"/>
      <c r="R23" s="8"/>
      <c r="S23" s="8"/>
    </row>
    <row r="24" spans="2:19" s="121" customFormat="1" ht="19.5">
      <c r="B24" s="144"/>
      <c r="C24" s="148"/>
      <c r="D24" s="148" t="s">
        <v>26</v>
      </c>
      <c r="E24" s="9" t="s">
        <v>27</v>
      </c>
      <c r="F24" s="146"/>
      <c r="G24" s="146"/>
      <c r="H24" s="146"/>
      <c r="I24" s="46"/>
      <c r="J24" s="147"/>
      <c r="K24" s="47"/>
      <c r="L24" s="47"/>
      <c r="M24" s="47"/>
      <c r="N24" s="47"/>
      <c r="O24" s="47"/>
      <c r="P24" s="47"/>
      <c r="Q24" s="47"/>
      <c r="R24" s="47"/>
      <c r="S24" s="47"/>
    </row>
    <row r="25" spans="2:19" s="121" customFormat="1" ht="19.5">
      <c r="B25" s="144"/>
      <c r="C25" s="148"/>
      <c r="D25" s="148"/>
      <c r="E25" s="148" t="s">
        <v>28</v>
      </c>
      <c r="F25" s="149" t="s">
        <v>21</v>
      </c>
      <c r="G25" s="146"/>
      <c r="H25" s="146"/>
      <c r="I25" s="46">
        <f>'TR-05 (1)'!AC45</f>
        <v>136.1</v>
      </c>
      <c r="J25" s="1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4"/>
      <c r="C26" s="148"/>
      <c r="D26" s="148"/>
      <c r="E26" s="148" t="s">
        <v>29</v>
      </c>
      <c r="F26" s="149" t="s">
        <v>23</v>
      </c>
      <c r="G26" s="146"/>
      <c r="H26" s="146"/>
      <c r="I26" s="46">
        <f>'TR-EDERSA-05 (1)'!AC45</f>
        <v>5.49</v>
      </c>
      <c r="J26" s="1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3.5">
      <c r="B27" s="44"/>
      <c r="C27" s="150"/>
      <c r="D27" s="150"/>
      <c r="E27" s="8"/>
      <c r="F27" s="152"/>
      <c r="G27" s="152"/>
      <c r="H27" s="152"/>
      <c r="I27" s="154"/>
      <c r="J27" s="11"/>
      <c r="K27" s="8"/>
      <c r="L27" s="8"/>
      <c r="M27" s="8"/>
      <c r="N27" s="8"/>
      <c r="O27" s="8"/>
      <c r="P27" s="8"/>
      <c r="Q27" s="8"/>
      <c r="R27" s="8"/>
      <c r="S27" s="8"/>
    </row>
    <row r="28" spans="2:19" s="121" customFormat="1" ht="19.5">
      <c r="B28" s="144"/>
      <c r="C28" s="148"/>
      <c r="D28" s="148" t="s">
        <v>30</v>
      </c>
      <c r="E28" s="9" t="s">
        <v>31</v>
      </c>
      <c r="F28" s="146"/>
      <c r="G28" s="146"/>
      <c r="H28" s="146"/>
      <c r="I28" s="46"/>
      <c r="J28" s="1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s="121" customFormat="1" ht="19.5">
      <c r="B29" s="144"/>
      <c r="C29" s="148"/>
      <c r="D29" s="148"/>
      <c r="E29" s="148" t="s">
        <v>32</v>
      </c>
      <c r="F29" s="149" t="s">
        <v>23</v>
      </c>
      <c r="G29" s="146"/>
      <c r="H29" s="146"/>
      <c r="I29" s="46">
        <f>'SA-EDERSA-05 (1)'!V45</f>
        <v>107.405583672</v>
      </c>
      <c r="J29" s="1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ht="13.5">
      <c r="B30" s="44"/>
      <c r="C30" s="150"/>
      <c r="D30" s="151"/>
      <c r="E30" s="8"/>
      <c r="F30" s="152"/>
      <c r="G30" s="152"/>
      <c r="H30" s="152"/>
      <c r="I30" s="153"/>
      <c r="J30" s="11"/>
      <c r="K30" s="8"/>
      <c r="L30" s="8"/>
      <c r="M30" s="8"/>
      <c r="N30" s="8"/>
      <c r="O30" s="8"/>
      <c r="P30" s="8"/>
      <c r="Q30" s="8"/>
      <c r="R30" s="8"/>
      <c r="S30" s="8"/>
    </row>
    <row r="31" spans="2:19" s="121" customFormat="1" ht="19.5">
      <c r="B31" s="144"/>
      <c r="C31" s="148" t="s">
        <v>33</v>
      </c>
      <c r="D31" s="9" t="s">
        <v>34</v>
      </c>
      <c r="E31" s="146"/>
      <c r="F31"/>
      <c r="G31" s="146"/>
      <c r="H31" s="146"/>
      <c r="I31" s="46"/>
      <c r="J31" s="147"/>
      <c r="K31" s="47"/>
      <c r="L31" s="47"/>
      <c r="M31" s="47"/>
      <c r="N31" s="47"/>
      <c r="O31" s="47"/>
      <c r="P31" s="47"/>
      <c r="Q31" s="47"/>
      <c r="R31" s="47"/>
      <c r="S31" s="47"/>
    </row>
    <row r="32" spans="2:19" s="121" customFormat="1" ht="19.5">
      <c r="B32" s="144"/>
      <c r="C32" s="148"/>
      <c r="D32" s="148" t="s">
        <v>149</v>
      </c>
      <c r="E32" s="149" t="s">
        <v>23</v>
      </c>
      <c r="F32"/>
      <c r="G32" s="146"/>
      <c r="H32" s="146"/>
      <c r="I32" s="46">
        <f>'SUP-EDERSA'!I57</f>
        <v>90.32389591800002</v>
      </c>
      <c r="J32" s="1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s="121" customFormat="1" ht="20.25" thickBot="1">
      <c r="B33" s="144"/>
      <c r="C33" s="145"/>
      <c r="D33" s="145"/>
      <c r="E33" s="47"/>
      <c r="F33" s="146"/>
      <c r="G33" s="146"/>
      <c r="H33" s="146"/>
      <c r="I33" s="47"/>
      <c r="J33" s="147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1" customFormat="1" ht="20.25" thickBot="1" thickTop="1">
      <c r="B34" s="144"/>
      <c r="C34" s="148"/>
      <c r="D34" s="148"/>
      <c r="F34" s="155" t="s">
        <v>35</v>
      </c>
      <c r="G34" s="156">
        <f>SUM(I19:I32)</f>
        <v>637.6794795900001</v>
      </c>
      <c r="H34" s="239"/>
      <c r="J34" s="147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8.25" customHeight="1" thickTop="1">
      <c r="B35" s="144"/>
      <c r="C35" s="148"/>
      <c r="D35" s="148"/>
      <c r="F35" s="664"/>
      <c r="G35" s="239"/>
      <c r="H35" s="239"/>
      <c r="J35" s="1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18.75">
      <c r="B36" s="144"/>
      <c r="C36" s="665" t="s">
        <v>156</v>
      </c>
      <c r="D36" s="148"/>
      <c r="F36" s="664"/>
      <c r="G36" s="239"/>
      <c r="H36" s="239"/>
      <c r="J36" s="1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37" customFormat="1" ht="6.75" customHeight="1" thickBot="1">
      <c r="B37" s="157"/>
      <c r="C37" s="158"/>
      <c r="D37" s="158"/>
      <c r="E37" s="159"/>
      <c r="F37" s="159"/>
      <c r="G37" s="159"/>
      <c r="H37" s="159"/>
      <c r="I37" s="159"/>
      <c r="J37" s="160"/>
      <c r="K37" s="138"/>
      <c r="L37" s="138"/>
      <c r="M37" s="84"/>
      <c r="N37" s="161"/>
      <c r="O37" s="161"/>
      <c r="P37" s="162"/>
      <c r="Q37" s="163"/>
      <c r="R37" s="138"/>
      <c r="S37" s="138"/>
    </row>
    <row r="38" spans="4:19" ht="13.5" thickTop="1">
      <c r="D38" s="8"/>
      <c r="F38" s="8"/>
      <c r="G38" s="8"/>
      <c r="H38" s="8"/>
      <c r="I38" s="8"/>
      <c r="J38" s="8"/>
      <c r="K38" s="8"/>
      <c r="L38" s="8"/>
      <c r="M38" s="30"/>
      <c r="N38" s="164"/>
      <c r="O38" s="164"/>
      <c r="P38" s="8"/>
      <c r="Q38" s="36"/>
      <c r="R38" s="8"/>
      <c r="S38" s="8"/>
    </row>
    <row r="39" spans="4:19" ht="12.75">
      <c r="D39" s="8"/>
      <c r="F39" s="8"/>
      <c r="G39" s="8"/>
      <c r="H39" s="8"/>
      <c r="I39" s="8"/>
      <c r="J39" s="8"/>
      <c r="K39" s="8"/>
      <c r="L39" s="8"/>
      <c r="M39" s="8"/>
      <c r="N39" s="165"/>
      <c r="O39" s="165"/>
      <c r="P39" s="166"/>
      <c r="Q39" s="36"/>
      <c r="R39" s="8"/>
      <c r="S39" s="8"/>
    </row>
    <row r="40" spans="4:19" ht="12.75">
      <c r="D40" s="8"/>
      <c r="E40" s="8"/>
      <c r="F40" s="8"/>
      <c r="G40" s="8"/>
      <c r="H40" s="8"/>
      <c r="I40" s="8"/>
      <c r="J40" s="8"/>
      <c r="K40" s="8"/>
      <c r="L40" s="8"/>
      <c r="M40" s="8"/>
      <c r="N40" s="165"/>
      <c r="O40" s="165"/>
      <c r="P40" s="166"/>
      <c r="Q40" s="36"/>
      <c r="R40" s="8"/>
      <c r="S40" s="8"/>
    </row>
    <row r="41" spans="4:19" ht="12.75">
      <c r="D41" s="8"/>
      <c r="E41" s="8"/>
      <c r="L41" s="8"/>
      <c r="M41" s="8"/>
      <c r="N41" s="8"/>
      <c r="O41" s="8"/>
      <c r="P41" s="8"/>
      <c r="Q41" s="8"/>
      <c r="R41" s="8"/>
      <c r="S41" s="8"/>
    </row>
    <row r="42" spans="4:19" ht="12.75">
      <c r="D42" s="8"/>
      <c r="E42" s="8"/>
      <c r="P42" s="8"/>
      <c r="Q42" s="8"/>
      <c r="R42" s="8"/>
      <c r="S42" s="8"/>
    </row>
    <row r="43" spans="4:19" ht="12.75">
      <c r="D43" s="8"/>
      <c r="E43" s="8"/>
      <c r="P43" s="8"/>
      <c r="Q43" s="8"/>
      <c r="R43" s="8"/>
      <c r="S43" s="8"/>
    </row>
    <row r="44" spans="4:19" ht="12.75">
      <c r="D44" s="8"/>
      <c r="E44" s="8"/>
      <c r="P44" s="8"/>
      <c r="Q44" s="8"/>
      <c r="R44" s="8"/>
      <c r="S44" s="8"/>
    </row>
    <row r="45" spans="4:19" ht="12.75">
      <c r="D45" s="8"/>
      <c r="E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16:19" ht="12.75">
      <c r="P47" s="8"/>
      <c r="Q47" s="8"/>
      <c r="R47" s="8"/>
      <c r="S47" s="8"/>
    </row>
    <row r="48" spans="16:19" ht="12.75">
      <c r="P48" s="8"/>
      <c r="Q48" s="8"/>
      <c r="R48" s="8"/>
      <c r="S48" s="8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80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A1">
      <selection activeCell="A22" sqref="A22:IV23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7.14062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9" customFormat="1" ht="26.25">
      <c r="AB1" s="410"/>
    </row>
    <row r="2" spans="2:28" s="109" customFormat="1" ht="26.25">
      <c r="B2" s="110" t="str">
        <f>+'TOT-0513'!B2</f>
        <v>ANEXO V al Memorándum  D.T.E.E.  N°           / 2014.-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684" t="s">
        <v>16</v>
      </c>
      <c r="C4" s="683"/>
    </row>
    <row r="5" spans="1:3" s="112" customFormat="1" ht="11.25">
      <c r="A5" s="684" t="s">
        <v>128</v>
      </c>
      <c r="C5" s="683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36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37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38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+'TOT-0513'!B14</f>
        <v>Desde el 01 al 31 de mayo de 2013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502" t="s">
        <v>39</v>
      </c>
      <c r="G16" s="503">
        <v>141.9753327</v>
      </c>
      <c r="H16" s="504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502" t="s">
        <v>40</v>
      </c>
      <c r="G17" s="503">
        <v>135.6652707</v>
      </c>
      <c r="H17" s="505"/>
      <c r="I17" s="91"/>
      <c r="K17" s="97" t="s">
        <v>41</v>
      </c>
      <c r="L17" s="98">
        <f>30*'TOT-0513'!B13</f>
        <v>30</v>
      </c>
      <c r="M17" s="238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07" customFormat="1" ht="14.25" thickBot="1" thickTop="1">
      <c r="A18" s="703"/>
      <c r="B18" s="704"/>
      <c r="C18" s="705">
        <v>3</v>
      </c>
      <c r="D18" s="705">
        <v>4</v>
      </c>
      <c r="E18" s="705">
        <v>5</v>
      </c>
      <c r="F18" s="705">
        <v>6</v>
      </c>
      <c r="G18" s="705">
        <v>7</v>
      </c>
      <c r="H18" s="705">
        <v>8</v>
      </c>
      <c r="I18" s="705">
        <v>9</v>
      </c>
      <c r="J18" s="705">
        <v>10</v>
      </c>
      <c r="K18" s="705">
        <v>11</v>
      </c>
      <c r="L18" s="705">
        <v>12</v>
      </c>
      <c r="M18" s="705">
        <v>13</v>
      </c>
      <c r="N18" s="705">
        <v>14</v>
      </c>
      <c r="O18" s="705">
        <v>15</v>
      </c>
      <c r="P18" s="705">
        <v>16</v>
      </c>
      <c r="Q18" s="705">
        <v>17</v>
      </c>
      <c r="R18" s="705">
        <v>18</v>
      </c>
      <c r="S18" s="705">
        <v>19</v>
      </c>
      <c r="T18" s="705">
        <v>20</v>
      </c>
      <c r="U18" s="705">
        <v>21</v>
      </c>
      <c r="V18" s="705">
        <v>22</v>
      </c>
      <c r="W18" s="705">
        <v>23</v>
      </c>
      <c r="X18" s="705">
        <v>24</v>
      </c>
      <c r="Y18" s="705">
        <v>25</v>
      </c>
      <c r="Z18" s="705">
        <v>26</v>
      </c>
      <c r="AA18" s="705">
        <v>27</v>
      </c>
      <c r="AB18" s="706"/>
    </row>
    <row r="19" spans="1:28" s="108" customFormat="1" ht="33.75" customHeight="1" thickBot="1" thickTop="1">
      <c r="A19" s="99"/>
      <c r="B19" s="100"/>
      <c r="C19" s="101" t="s">
        <v>42</v>
      </c>
      <c r="D19" s="101" t="s">
        <v>127</v>
      </c>
      <c r="E19" s="101" t="s">
        <v>126</v>
      </c>
      <c r="F19" s="102" t="s">
        <v>19</v>
      </c>
      <c r="G19" s="103" t="s">
        <v>43</v>
      </c>
      <c r="H19" s="104" t="s">
        <v>44</v>
      </c>
      <c r="I19" s="265" t="s">
        <v>45</v>
      </c>
      <c r="J19" s="102" t="s">
        <v>46</v>
      </c>
      <c r="K19" s="102" t="s">
        <v>47</v>
      </c>
      <c r="L19" s="103" t="s">
        <v>48</v>
      </c>
      <c r="M19" s="103" t="s">
        <v>49</v>
      </c>
      <c r="N19" s="105" t="s">
        <v>50</v>
      </c>
      <c r="O19" s="103" t="s">
        <v>51</v>
      </c>
      <c r="P19" s="294" t="s">
        <v>52</v>
      </c>
      <c r="Q19" s="297" t="s">
        <v>53</v>
      </c>
      <c r="R19" s="300" t="s">
        <v>54</v>
      </c>
      <c r="S19" s="301"/>
      <c r="T19" s="302"/>
      <c r="U19" s="311" t="s">
        <v>55</v>
      </c>
      <c r="V19" s="312"/>
      <c r="W19" s="313"/>
      <c r="X19" s="321" t="s">
        <v>56</v>
      </c>
      <c r="Y19" s="324" t="s">
        <v>57</v>
      </c>
      <c r="Z19" s="106" t="s">
        <v>58</v>
      </c>
      <c r="AA19" s="106" t="s">
        <v>59</v>
      </c>
      <c r="AB19" s="107"/>
    </row>
    <row r="20" spans="1:28" ht="16.5" customHeight="1" thickTop="1">
      <c r="A20" s="1"/>
      <c r="B20" s="2"/>
      <c r="C20" s="51"/>
      <c r="D20" s="682"/>
      <c r="E20" s="682"/>
      <c r="F20" s="408"/>
      <c r="G20" s="53"/>
      <c r="H20" s="53"/>
      <c r="I20" s="401"/>
      <c r="J20" s="53"/>
      <c r="K20" s="54"/>
      <c r="L20" s="54"/>
      <c r="M20" s="54"/>
      <c r="N20" s="52"/>
      <c r="O20" s="53"/>
      <c r="P20" s="295"/>
      <c r="Q20" s="298"/>
      <c r="R20" s="303"/>
      <c r="S20" s="304"/>
      <c r="T20" s="305"/>
      <c r="U20" s="314"/>
      <c r="V20" s="315"/>
      <c r="W20" s="316"/>
      <c r="X20" s="322"/>
      <c r="Y20" s="325"/>
      <c r="Z20" s="309"/>
      <c r="AA20" s="409"/>
      <c r="AB20" s="3"/>
    </row>
    <row r="21" spans="1:28" ht="16.5" customHeight="1">
      <c r="A21" s="1"/>
      <c r="B21" s="2"/>
      <c r="C21" s="528"/>
      <c r="D21" s="680"/>
      <c r="E21" s="680"/>
      <c r="F21" s="528"/>
      <c r="G21" s="529"/>
      <c r="H21" s="529"/>
      <c r="I21" s="402"/>
      <c r="J21" s="528"/>
      <c r="K21" s="530"/>
      <c r="L21" s="90"/>
      <c r="M21" s="90"/>
      <c r="N21" s="531"/>
      <c r="O21" s="528"/>
      <c r="P21" s="532"/>
      <c r="Q21" s="533"/>
      <c r="R21" s="534"/>
      <c r="S21" s="535"/>
      <c r="T21" s="536"/>
      <c r="U21" s="537"/>
      <c r="V21" s="538"/>
      <c r="W21" s="539"/>
      <c r="X21" s="540"/>
      <c r="Y21" s="541"/>
      <c r="Z21" s="542"/>
      <c r="AA21" s="90"/>
      <c r="AB21" s="3"/>
    </row>
    <row r="22" spans="1:28" ht="16.5" customHeight="1">
      <c r="A22" s="1"/>
      <c r="B22" s="2"/>
      <c r="C22" s="506">
        <v>1</v>
      </c>
      <c r="D22" s="506">
        <v>260764</v>
      </c>
      <c r="E22" s="506">
        <v>2035</v>
      </c>
      <c r="F22" s="507" t="s">
        <v>132</v>
      </c>
      <c r="G22" s="508">
        <v>132</v>
      </c>
      <c r="H22" s="509">
        <v>6.900000095367432</v>
      </c>
      <c r="I22" s="403">
        <f aca="true" t="shared" si="0" ref="I22:I41">IF(H22&gt;25,H22,25)*IF(G22=330,$G$16,$G$17)/100</f>
        <v>33.916317675</v>
      </c>
      <c r="J22" s="514">
        <v>41411.37291666667</v>
      </c>
      <c r="K22" s="514">
        <v>41411.39097222222</v>
      </c>
      <c r="L22" s="13">
        <f aca="true" t="shared" si="1" ref="L22:L41">IF(F22="","",(K22-J22)*24)</f>
        <v>0.4333333333488554</v>
      </c>
      <c r="M22" s="14">
        <f aca="true" t="shared" si="2" ref="M22:M41">IF(F22="","",ROUND((K22-J22)*24*60,0))</f>
        <v>26</v>
      </c>
      <c r="N22" s="515" t="s">
        <v>133</v>
      </c>
      <c r="O22" s="702" t="s">
        <v>135</v>
      </c>
      <c r="P22" s="687">
        <f aca="true" t="shared" si="3" ref="P22:P41">IF(N22="P",ROUND(M22/60,2)*I22*$L$17*0.01,"--")</f>
        <v>4.375204980075</v>
      </c>
      <c r="Q22" s="688" t="str">
        <f aca="true" t="shared" si="4" ref="Q22:Q41">IF(N22="RP",ROUND(M22/60,2)*I22*$L$17*0.01*O22/100,"--")</f>
        <v>--</v>
      </c>
      <c r="R22" s="689" t="str">
        <f aca="true" t="shared" si="5" ref="R22:R41">IF(N22="F",I22*$L$17,"--")</f>
        <v>--</v>
      </c>
      <c r="S22" s="690" t="str">
        <f aca="true" t="shared" si="6" ref="S22:S41">IF(AND(M22&gt;10,N22="F"),I22*$L$17*IF(M22&gt;180,3,ROUND(M22/60,2)),"--")</f>
        <v>--</v>
      </c>
      <c r="T22" s="691" t="str">
        <f aca="true" t="shared" si="7" ref="T22:T41">IF(AND(M22&gt;180,N22="F"),(ROUND(M22/60,2)-3)*I22*$L$17*0.1,"--")</f>
        <v>--</v>
      </c>
      <c r="U22" s="692" t="str">
        <f aca="true" t="shared" si="8" ref="U22:U41">IF(N22="R",I22*$L$17*O22/100,"--")</f>
        <v>--</v>
      </c>
      <c r="V22" s="693" t="str">
        <f aca="true" t="shared" si="9" ref="V22:V41">IF(AND(M22&gt;10,N22="R"),I22*$L$17*O22/100*IF(M22&gt;180,3,ROUND(M22/60,2)),"--")</f>
        <v>--</v>
      </c>
      <c r="W22" s="694" t="str">
        <f aca="true" t="shared" si="10" ref="W22:W41">IF(AND(M22&gt;180,N22="R"),(ROUND(M22/60,2)-3)*O22/100*I22*$L$17*0.1,"--")</f>
        <v>--</v>
      </c>
      <c r="X22" s="695" t="str">
        <f aca="true" t="shared" si="11" ref="X22:X41">IF(N22="RF",ROUND(M22/60,2)*I22*$L$17*0.1,"--")</f>
        <v>--</v>
      </c>
      <c r="Y22" s="696" t="str">
        <f aca="true" t="shared" si="12" ref="Y22:Y41">IF(N22="RR",ROUND(M22/60,2)*O22/100*I22*$L$17*0.1,"--")</f>
        <v>--</v>
      </c>
      <c r="Z22" s="697" t="s">
        <v>134</v>
      </c>
      <c r="AA22" s="55">
        <f aca="true" t="shared" si="13" ref="AA22:AA41">IF(F22="","",SUM(P22:Y22)*IF(Z22="SI",1,2))</f>
        <v>4.375204980075</v>
      </c>
      <c r="AB22" s="3"/>
    </row>
    <row r="23" spans="1:28" ht="16.5" customHeight="1">
      <c r="A23" s="1"/>
      <c r="B23" s="2"/>
      <c r="C23" s="506">
        <v>2</v>
      </c>
      <c r="D23" s="506">
        <v>261170</v>
      </c>
      <c r="E23" s="506">
        <v>2035</v>
      </c>
      <c r="F23" s="507" t="s">
        <v>132</v>
      </c>
      <c r="G23" s="508">
        <v>132</v>
      </c>
      <c r="H23" s="509">
        <v>6.900000095367432</v>
      </c>
      <c r="I23" s="403">
        <f t="shared" si="0"/>
        <v>33.916317675</v>
      </c>
      <c r="J23" s="514">
        <v>41424.37013888889</v>
      </c>
      <c r="K23" s="514">
        <v>41424.55694444444</v>
      </c>
      <c r="L23" s="13">
        <f t="shared" si="1"/>
        <v>4.483333333279006</v>
      </c>
      <c r="M23" s="14">
        <f t="shared" si="2"/>
        <v>269</v>
      </c>
      <c r="N23" s="515" t="s">
        <v>133</v>
      </c>
      <c r="O23" s="702" t="s">
        <v>135</v>
      </c>
      <c r="P23" s="687">
        <f t="shared" si="3"/>
        <v>45.58353095520001</v>
      </c>
      <c r="Q23" s="688" t="str">
        <f t="shared" si="4"/>
        <v>--</v>
      </c>
      <c r="R23" s="689" t="str">
        <f t="shared" si="5"/>
        <v>--</v>
      </c>
      <c r="S23" s="690" t="str">
        <f t="shared" si="6"/>
        <v>--</v>
      </c>
      <c r="T23" s="691" t="str">
        <f t="shared" si="7"/>
        <v>--</v>
      </c>
      <c r="U23" s="692" t="str">
        <f t="shared" si="8"/>
        <v>--</v>
      </c>
      <c r="V23" s="693" t="str">
        <f t="shared" si="9"/>
        <v>--</v>
      </c>
      <c r="W23" s="694" t="str">
        <f t="shared" si="10"/>
        <v>--</v>
      </c>
      <c r="X23" s="695" t="str">
        <f t="shared" si="11"/>
        <v>--</v>
      </c>
      <c r="Y23" s="696" t="str">
        <f t="shared" si="12"/>
        <v>--</v>
      </c>
      <c r="Z23" s="697" t="s">
        <v>134</v>
      </c>
      <c r="AA23" s="55">
        <f t="shared" si="13"/>
        <v>45.58353095520001</v>
      </c>
      <c r="AB23" s="3"/>
    </row>
    <row r="24" spans="1:28" ht="16.5" customHeight="1">
      <c r="A24" s="1"/>
      <c r="B24" s="2"/>
      <c r="C24" s="506"/>
      <c r="D24" s="506"/>
      <c r="E24" s="506"/>
      <c r="F24" s="507"/>
      <c r="G24" s="508"/>
      <c r="H24" s="509"/>
      <c r="I24" s="403">
        <f t="shared" si="0"/>
        <v>33.916317675</v>
      </c>
      <c r="J24" s="514"/>
      <c r="K24" s="514"/>
      <c r="L24" s="13">
        <f t="shared" si="1"/>
      </c>
      <c r="M24" s="14">
        <f t="shared" si="2"/>
      </c>
      <c r="N24" s="515"/>
      <c r="O24" s="686">
        <f aca="true" t="shared" si="14" ref="O24:O41">IF(F24="","","--")</f>
      </c>
      <c r="P24" s="687" t="str">
        <f t="shared" si="3"/>
        <v>--</v>
      </c>
      <c r="Q24" s="688" t="str">
        <f t="shared" si="4"/>
        <v>--</v>
      </c>
      <c r="R24" s="689" t="str">
        <f t="shared" si="5"/>
        <v>--</v>
      </c>
      <c r="S24" s="690" t="str">
        <f t="shared" si="6"/>
        <v>--</v>
      </c>
      <c r="T24" s="691" t="str">
        <f t="shared" si="7"/>
        <v>--</v>
      </c>
      <c r="U24" s="692" t="str">
        <f t="shared" si="8"/>
        <v>--</v>
      </c>
      <c r="V24" s="693" t="str">
        <f t="shared" si="9"/>
        <v>--</v>
      </c>
      <c r="W24" s="694" t="str">
        <f t="shared" si="10"/>
        <v>--</v>
      </c>
      <c r="X24" s="695" t="str">
        <f t="shared" si="11"/>
        <v>--</v>
      </c>
      <c r="Y24" s="696" t="str">
        <f t="shared" si="12"/>
        <v>--</v>
      </c>
      <c r="Z24" s="697">
        <f aca="true" t="shared" si="15" ref="Z24:Z41">IF(F24="","","SI")</f>
      </c>
      <c r="AA24" s="55">
        <f t="shared" si="13"/>
      </c>
      <c r="AB24" s="3"/>
    </row>
    <row r="25" spans="1:28" ht="16.5" customHeight="1">
      <c r="A25" s="1"/>
      <c r="B25" s="2"/>
      <c r="C25" s="506"/>
      <c r="D25" s="506"/>
      <c r="E25" s="506"/>
      <c r="F25" s="507"/>
      <c r="G25" s="508"/>
      <c r="H25" s="509"/>
      <c r="I25" s="403">
        <f t="shared" si="0"/>
        <v>33.916317675</v>
      </c>
      <c r="J25" s="514"/>
      <c r="K25" s="514"/>
      <c r="L25" s="13">
        <f t="shared" si="1"/>
      </c>
      <c r="M25" s="14">
        <f t="shared" si="2"/>
      </c>
      <c r="N25" s="515"/>
      <c r="O25" s="686">
        <f t="shared" si="14"/>
      </c>
      <c r="P25" s="687" t="str">
        <f t="shared" si="3"/>
        <v>--</v>
      </c>
      <c r="Q25" s="688" t="str">
        <f t="shared" si="4"/>
        <v>--</v>
      </c>
      <c r="R25" s="689" t="str">
        <f t="shared" si="5"/>
        <v>--</v>
      </c>
      <c r="S25" s="690" t="str">
        <f t="shared" si="6"/>
        <v>--</v>
      </c>
      <c r="T25" s="691" t="str">
        <f t="shared" si="7"/>
        <v>--</v>
      </c>
      <c r="U25" s="692" t="str">
        <f t="shared" si="8"/>
        <v>--</v>
      </c>
      <c r="V25" s="693" t="str">
        <f t="shared" si="9"/>
        <v>--</v>
      </c>
      <c r="W25" s="694" t="str">
        <f t="shared" si="10"/>
        <v>--</v>
      </c>
      <c r="X25" s="695" t="str">
        <f t="shared" si="11"/>
        <v>--</v>
      </c>
      <c r="Y25" s="696" t="str">
        <f t="shared" si="12"/>
        <v>--</v>
      </c>
      <c r="Z25" s="697">
        <f t="shared" si="15"/>
      </c>
      <c r="AA25" s="55">
        <f t="shared" si="13"/>
      </c>
      <c r="AB25" s="3"/>
    </row>
    <row r="26" spans="1:28" ht="16.5" customHeight="1">
      <c r="A26" s="1"/>
      <c r="B26" s="2"/>
      <c r="C26" s="506"/>
      <c r="D26" s="506"/>
      <c r="E26" s="506"/>
      <c r="F26" s="507"/>
      <c r="G26" s="508"/>
      <c r="H26" s="509"/>
      <c r="I26" s="403">
        <f t="shared" si="0"/>
        <v>33.916317675</v>
      </c>
      <c r="J26" s="514"/>
      <c r="K26" s="514"/>
      <c r="L26" s="13">
        <f t="shared" si="1"/>
      </c>
      <c r="M26" s="14">
        <f t="shared" si="2"/>
      </c>
      <c r="N26" s="515"/>
      <c r="O26" s="686">
        <f t="shared" si="14"/>
      </c>
      <c r="P26" s="687" t="str">
        <f t="shared" si="3"/>
        <v>--</v>
      </c>
      <c r="Q26" s="688" t="str">
        <f t="shared" si="4"/>
        <v>--</v>
      </c>
      <c r="R26" s="689" t="str">
        <f t="shared" si="5"/>
        <v>--</v>
      </c>
      <c r="S26" s="690" t="str">
        <f t="shared" si="6"/>
        <v>--</v>
      </c>
      <c r="T26" s="691" t="str">
        <f t="shared" si="7"/>
        <v>--</v>
      </c>
      <c r="U26" s="692" t="str">
        <f t="shared" si="8"/>
        <v>--</v>
      </c>
      <c r="V26" s="693" t="str">
        <f t="shared" si="9"/>
        <v>--</v>
      </c>
      <c r="W26" s="694" t="str">
        <f t="shared" si="10"/>
        <v>--</v>
      </c>
      <c r="X26" s="695" t="str">
        <f t="shared" si="11"/>
        <v>--</v>
      </c>
      <c r="Y26" s="696" t="str">
        <f t="shared" si="12"/>
        <v>--</v>
      </c>
      <c r="Z26" s="697">
        <f t="shared" si="15"/>
      </c>
      <c r="AA26" s="55">
        <f t="shared" si="13"/>
      </c>
      <c r="AB26" s="3"/>
    </row>
    <row r="27" spans="1:28" ht="16.5" customHeight="1">
      <c r="A27" s="1"/>
      <c r="B27" s="2"/>
      <c r="C27" s="506"/>
      <c r="D27" s="506"/>
      <c r="E27" s="506"/>
      <c r="F27" s="507"/>
      <c r="G27" s="508"/>
      <c r="H27" s="509"/>
      <c r="I27" s="403">
        <f t="shared" si="0"/>
        <v>33.916317675</v>
      </c>
      <c r="J27" s="514"/>
      <c r="K27" s="514"/>
      <c r="L27" s="13">
        <f t="shared" si="1"/>
      </c>
      <c r="M27" s="14">
        <f t="shared" si="2"/>
      </c>
      <c r="N27" s="515"/>
      <c r="O27" s="686">
        <f t="shared" si="14"/>
      </c>
      <c r="P27" s="687" t="str">
        <f t="shared" si="3"/>
        <v>--</v>
      </c>
      <c r="Q27" s="688" t="str">
        <f t="shared" si="4"/>
        <v>--</v>
      </c>
      <c r="R27" s="689" t="str">
        <f t="shared" si="5"/>
        <v>--</v>
      </c>
      <c r="S27" s="690" t="str">
        <f t="shared" si="6"/>
        <v>--</v>
      </c>
      <c r="T27" s="691" t="str">
        <f t="shared" si="7"/>
        <v>--</v>
      </c>
      <c r="U27" s="692" t="str">
        <f t="shared" si="8"/>
        <v>--</v>
      </c>
      <c r="V27" s="693" t="str">
        <f t="shared" si="9"/>
        <v>--</v>
      </c>
      <c r="W27" s="694" t="str">
        <f t="shared" si="10"/>
        <v>--</v>
      </c>
      <c r="X27" s="695" t="str">
        <f t="shared" si="11"/>
        <v>--</v>
      </c>
      <c r="Y27" s="696" t="str">
        <f t="shared" si="12"/>
        <v>--</v>
      </c>
      <c r="Z27" s="697">
        <f t="shared" si="15"/>
      </c>
      <c r="AA27" s="55">
        <f t="shared" si="13"/>
      </c>
      <c r="AB27" s="3"/>
    </row>
    <row r="28" spans="1:28" ht="16.5" customHeight="1">
      <c r="A28" s="1"/>
      <c r="B28" s="2"/>
      <c r="C28" s="506"/>
      <c r="D28" s="506"/>
      <c r="E28" s="506"/>
      <c r="F28" s="507"/>
      <c r="G28" s="508"/>
      <c r="H28" s="509"/>
      <c r="I28" s="403">
        <f t="shared" si="0"/>
        <v>33.916317675</v>
      </c>
      <c r="J28" s="514"/>
      <c r="K28" s="514"/>
      <c r="L28" s="13">
        <f t="shared" si="1"/>
      </c>
      <c r="M28" s="14">
        <f t="shared" si="2"/>
      </c>
      <c r="N28" s="515"/>
      <c r="O28" s="686">
        <f t="shared" si="14"/>
      </c>
      <c r="P28" s="687" t="str">
        <f t="shared" si="3"/>
        <v>--</v>
      </c>
      <c r="Q28" s="688" t="str">
        <f t="shared" si="4"/>
        <v>--</v>
      </c>
      <c r="R28" s="689" t="str">
        <f t="shared" si="5"/>
        <v>--</v>
      </c>
      <c r="S28" s="690" t="str">
        <f t="shared" si="6"/>
        <v>--</v>
      </c>
      <c r="T28" s="691" t="str">
        <f t="shared" si="7"/>
        <v>--</v>
      </c>
      <c r="U28" s="692" t="str">
        <f t="shared" si="8"/>
        <v>--</v>
      </c>
      <c r="V28" s="693" t="str">
        <f t="shared" si="9"/>
        <v>--</v>
      </c>
      <c r="W28" s="694" t="str">
        <f t="shared" si="10"/>
        <v>--</v>
      </c>
      <c r="X28" s="695" t="str">
        <f t="shared" si="11"/>
        <v>--</v>
      </c>
      <c r="Y28" s="696" t="str">
        <f t="shared" si="12"/>
        <v>--</v>
      </c>
      <c r="Z28" s="697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06"/>
      <c r="D29" s="506"/>
      <c r="E29" s="506"/>
      <c r="F29" s="507"/>
      <c r="G29" s="508"/>
      <c r="H29" s="509"/>
      <c r="I29" s="403">
        <f t="shared" si="0"/>
        <v>33.916317675</v>
      </c>
      <c r="J29" s="514"/>
      <c r="K29" s="514"/>
      <c r="L29" s="13">
        <f t="shared" si="1"/>
      </c>
      <c r="M29" s="14">
        <f t="shared" si="2"/>
      </c>
      <c r="N29" s="515"/>
      <c r="O29" s="686">
        <f t="shared" si="14"/>
      </c>
      <c r="P29" s="687" t="str">
        <f t="shared" si="3"/>
        <v>--</v>
      </c>
      <c r="Q29" s="688" t="str">
        <f t="shared" si="4"/>
        <v>--</v>
      </c>
      <c r="R29" s="689" t="str">
        <f t="shared" si="5"/>
        <v>--</v>
      </c>
      <c r="S29" s="690" t="str">
        <f t="shared" si="6"/>
        <v>--</v>
      </c>
      <c r="T29" s="691" t="str">
        <f t="shared" si="7"/>
        <v>--</v>
      </c>
      <c r="U29" s="692" t="str">
        <f t="shared" si="8"/>
        <v>--</v>
      </c>
      <c r="V29" s="693" t="str">
        <f t="shared" si="9"/>
        <v>--</v>
      </c>
      <c r="W29" s="694" t="str">
        <f t="shared" si="10"/>
        <v>--</v>
      </c>
      <c r="X29" s="695" t="str">
        <f t="shared" si="11"/>
        <v>--</v>
      </c>
      <c r="Y29" s="696" t="str">
        <f t="shared" si="12"/>
        <v>--</v>
      </c>
      <c r="Z29" s="697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06"/>
      <c r="D30" s="506"/>
      <c r="E30" s="506"/>
      <c r="F30" s="507"/>
      <c r="G30" s="508"/>
      <c r="H30" s="509"/>
      <c r="I30" s="403">
        <f t="shared" si="0"/>
        <v>33.916317675</v>
      </c>
      <c r="J30" s="514"/>
      <c r="K30" s="514"/>
      <c r="L30" s="13">
        <f t="shared" si="1"/>
      </c>
      <c r="M30" s="14">
        <f t="shared" si="2"/>
      </c>
      <c r="N30" s="515"/>
      <c r="O30" s="686">
        <f t="shared" si="14"/>
      </c>
      <c r="P30" s="687" t="str">
        <f t="shared" si="3"/>
        <v>--</v>
      </c>
      <c r="Q30" s="688" t="str">
        <f t="shared" si="4"/>
        <v>--</v>
      </c>
      <c r="R30" s="689" t="str">
        <f t="shared" si="5"/>
        <v>--</v>
      </c>
      <c r="S30" s="690" t="str">
        <f t="shared" si="6"/>
        <v>--</v>
      </c>
      <c r="T30" s="691" t="str">
        <f t="shared" si="7"/>
        <v>--</v>
      </c>
      <c r="U30" s="692" t="str">
        <f t="shared" si="8"/>
        <v>--</v>
      </c>
      <c r="V30" s="693" t="str">
        <f t="shared" si="9"/>
        <v>--</v>
      </c>
      <c r="W30" s="694" t="str">
        <f t="shared" si="10"/>
        <v>--</v>
      </c>
      <c r="X30" s="695" t="str">
        <f t="shared" si="11"/>
        <v>--</v>
      </c>
      <c r="Y30" s="696" t="str">
        <f t="shared" si="12"/>
        <v>--</v>
      </c>
      <c r="Z30" s="697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06"/>
      <c r="D31" s="506"/>
      <c r="E31" s="506"/>
      <c r="F31" s="507"/>
      <c r="G31" s="508"/>
      <c r="H31" s="509"/>
      <c r="I31" s="403">
        <f t="shared" si="0"/>
        <v>33.916317675</v>
      </c>
      <c r="J31" s="514"/>
      <c r="K31" s="514"/>
      <c r="L31" s="13">
        <f t="shared" si="1"/>
      </c>
      <c r="M31" s="14">
        <f t="shared" si="2"/>
      </c>
      <c r="N31" s="515"/>
      <c r="O31" s="686">
        <f t="shared" si="14"/>
      </c>
      <c r="P31" s="687" t="str">
        <f t="shared" si="3"/>
        <v>--</v>
      </c>
      <c r="Q31" s="688" t="str">
        <f t="shared" si="4"/>
        <v>--</v>
      </c>
      <c r="R31" s="689" t="str">
        <f t="shared" si="5"/>
        <v>--</v>
      </c>
      <c r="S31" s="690" t="str">
        <f t="shared" si="6"/>
        <v>--</v>
      </c>
      <c r="T31" s="691" t="str">
        <f t="shared" si="7"/>
        <v>--</v>
      </c>
      <c r="U31" s="692" t="str">
        <f t="shared" si="8"/>
        <v>--</v>
      </c>
      <c r="V31" s="693" t="str">
        <f t="shared" si="9"/>
        <v>--</v>
      </c>
      <c r="W31" s="694" t="str">
        <f t="shared" si="10"/>
        <v>--</v>
      </c>
      <c r="X31" s="695" t="str">
        <f t="shared" si="11"/>
        <v>--</v>
      </c>
      <c r="Y31" s="696" t="str">
        <f t="shared" si="12"/>
        <v>--</v>
      </c>
      <c r="Z31" s="697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06"/>
      <c r="D32" s="506"/>
      <c r="E32" s="506"/>
      <c r="F32" s="507"/>
      <c r="G32" s="508"/>
      <c r="H32" s="509"/>
      <c r="I32" s="403">
        <f t="shared" si="0"/>
        <v>33.916317675</v>
      </c>
      <c r="J32" s="514"/>
      <c r="K32" s="514"/>
      <c r="L32" s="13">
        <f t="shared" si="1"/>
      </c>
      <c r="M32" s="14">
        <f t="shared" si="2"/>
      </c>
      <c r="N32" s="515"/>
      <c r="O32" s="686">
        <f t="shared" si="14"/>
      </c>
      <c r="P32" s="687" t="str">
        <f t="shared" si="3"/>
        <v>--</v>
      </c>
      <c r="Q32" s="688" t="str">
        <f t="shared" si="4"/>
        <v>--</v>
      </c>
      <c r="R32" s="689" t="str">
        <f t="shared" si="5"/>
        <v>--</v>
      </c>
      <c r="S32" s="690" t="str">
        <f t="shared" si="6"/>
        <v>--</v>
      </c>
      <c r="T32" s="691" t="str">
        <f t="shared" si="7"/>
        <v>--</v>
      </c>
      <c r="U32" s="692" t="str">
        <f t="shared" si="8"/>
        <v>--</v>
      </c>
      <c r="V32" s="693" t="str">
        <f t="shared" si="9"/>
        <v>--</v>
      </c>
      <c r="W32" s="694" t="str">
        <f t="shared" si="10"/>
        <v>--</v>
      </c>
      <c r="X32" s="695" t="str">
        <f t="shared" si="11"/>
        <v>--</v>
      </c>
      <c r="Y32" s="696" t="str">
        <f t="shared" si="12"/>
        <v>--</v>
      </c>
      <c r="Z32" s="697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06"/>
      <c r="D33" s="506"/>
      <c r="E33" s="506"/>
      <c r="F33" s="507"/>
      <c r="G33" s="508"/>
      <c r="H33" s="509"/>
      <c r="I33" s="403">
        <f t="shared" si="0"/>
        <v>33.916317675</v>
      </c>
      <c r="J33" s="514"/>
      <c r="K33" s="514"/>
      <c r="L33" s="13">
        <f t="shared" si="1"/>
      </c>
      <c r="M33" s="14">
        <f t="shared" si="2"/>
      </c>
      <c r="N33" s="515"/>
      <c r="O33" s="686">
        <f t="shared" si="14"/>
      </c>
      <c r="P33" s="687" t="str">
        <f t="shared" si="3"/>
        <v>--</v>
      </c>
      <c r="Q33" s="688" t="str">
        <f t="shared" si="4"/>
        <v>--</v>
      </c>
      <c r="R33" s="689" t="str">
        <f t="shared" si="5"/>
        <v>--</v>
      </c>
      <c r="S33" s="690" t="str">
        <f t="shared" si="6"/>
        <v>--</v>
      </c>
      <c r="T33" s="691" t="str">
        <f t="shared" si="7"/>
        <v>--</v>
      </c>
      <c r="U33" s="692" t="str">
        <f t="shared" si="8"/>
        <v>--</v>
      </c>
      <c r="V33" s="693" t="str">
        <f t="shared" si="9"/>
        <v>--</v>
      </c>
      <c r="W33" s="694" t="str">
        <f t="shared" si="10"/>
        <v>--</v>
      </c>
      <c r="X33" s="695" t="str">
        <f t="shared" si="11"/>
        <v>--</v>
      </c>
      <c r="Y33" s="696" t="str">
        <f t="shared" si="12"/>
        <v>--</v>
      </c>
      <c r="Z33" s="697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06"/>
      <c r="D34" s="506"/>
      <c r="E34" s="506"/>
      <c r="F34" s="507"/>
      <c r="G34" s="508"/>
      <c r="H34" s="509"/>
      <c r="I34" s="403">
        <f t="shared" si="0"/>
        <v>33.916317675</v>
      </c>
      <c r="J34" s="514"/>
      <c r="K34" s="514"/>
      <c r="L34" s="13">
        <f t="shared" si="1"/>
      </c>
      <c r="M34" s="14">
        <f t="shared" si="2"/>
      </c>
      <c r="N34" s="515"/>
      <c r="O34" s="686">
        <f t="shared" si="14"/>
      </c>
      <c r="P34" s="687" t="str">
        <f t="shared" si="3"/>
        <v>--</v>
      </c>
      <c r="Q34" s="688" t="str">
        <f t="shared" si="4"/>
        <v>--</v>
      </c>
      <c r="R34" s="689" t="str">
        <f t="shared" si="5"/>
        <v>--</v>
      </c>
      <c r="S34" s="690" t="str">
        <f t="shared" si="6"/>
        <v>--</v>
      </c>
      <c r="T34" s="691" t="str">
        <f t="shared" si="7"/>
        <v>--</v>
      </c>
      <c r="U34" s="692" t="str">
        <f t="shared" si="8"/>
        <v>--</v>
      </c>
      <c r="V34" s="693" t="str">
        <f t="shared" si="9"/>
        <v>--</v>
      </c>
      <c r="W34" s="694" t="str">
        <f t="shared" si="10"/>
        <v>--</v>
      </c>
      <c r="X34" s="695" t="str">
        <f t="shared" si="11"/>
        <v>--</v>
      </c>
      <c r="Y34" s="696" t="str">
        <f t="shared" si="12"/>
        <v>--</v>
      </c>
      <c r="Z34" s="697">
        <f t="shared" si="15"/>
      </c>
      <c r="AA34" s="55">
        <f t="shared" si="13"/>
      </c>
      <c r="AB34" s="3"/>
    </row>
    <row r="35" spans="1:28" ht="16.5" customHeight="1">
      <c r="A35" s="1"/>
      <c r="B35" s="2"/>
      <c r="C35" s="506"/>
      <c r="D35" s="506"/>
      <c r="E35" s="506"/>
      <c r="F35" s="507"/>
      <c r="G35" s="508"/>
      <c r="H35" s="509"/>
      <c r="I35" s="403">
        <f t="shared" si="0"/>
        <v>33.916317675</v>
      </c>
      <c r="J35" s="514"/>
      <c r="K35" s="514"/>
      <c r="L35" s="13">
        <f t="shared" si="1"/>
      </c>
      <c r="M35" s="14">
        <f t="shared" si="2"/>
      </c>
      <c r="N35" s="515"/>
      <c r="O35" s="686">
        <f t="shared" si="14"/>
      </c>
      <c r="P35" s="687" t="str">
        <f t="shared" si="3"/>
        <v>--</v>
      </c>
      <c r="Q35" s="688" t="str">
        <f t="shared" si="4"/>
        <v>--</v>
      </c>
      <c r="R35" s="689" t="str">
        <f t="shared" si="5"/>
        <v>--</v>
      </c>
      <c r="S35" s="690" t="str">
        <f t="shared" si="6"/>
        <v>--</v>
      </c>
      <c r="T35" s="691" t="str">
        <f t="shared" si="7"/>
        <v>--</v>
      </c>
      <c r="U35" s="692" t="str">
        <f t="shared" si="8"/>
        <v>--</v>
      </c>
      <c r="V35" s="693" t="str">
        <f t="shared" si="9"/>
        <v>--</v>
      </c>
      <c r="W35" s="694" t="str">
        <f t="shared" si="10"/>
        <v>--</v>
      </c>
      <c r="X35" s="695" t="str">
        <f t="shared" si="11"/>
        <v>--</v>
      </c>
      <c r="Y35" s="696" t="str">
        <f t="shared" si="12"/>
        <v>--</v>
      </c>
      <c r="Z35" s="697">
        <f t="shared" si="15"/>
      </c>
      <c r="AA35" s="55">
        <f t="shared" si="13"/>
      </c>
      <c r="AB35" s="3"/>
    </row>
    <row r="36" spans="1:28" ht="16.5" customHeight="1">
      <c r="A36" s="1"/>
      <c r="B36" s="2"/>
      <c r="C36" s="506"/>
      <c r="D36" s="506"/>
      <c r="E36" s="506"/>
      <c r="F36" s="507"/>
      <c r="G36" s="508"/>
      <c r="H36" s="509"/>
      <c r="I36" s="403">
        <f t="shared" si="0"/>
        <v>33.916317675</v>
      </c>
      <c r="J36" s="514"/>
      <c r="K36" s="514"/>
      <c r="L36" s="13">
        <f t="shared" si="1"/>
      </c>
      <c r="M36" s="14">
        <f t="shared" si="2"/>
      </c>
      <c r="N36" s="515"/>
      <c r="O36" s="686">
        <f t="shared" si="14"/>
      </c>
      <c r="P36" s="687" t="str">
        <f t="shared" si="3"/>
        <v>--</v>
      </c>
      <c r="Q36" s="688" t="str">
        <f t="shared" si="4"/>
        <v>--</v>
      </c>
      <c r="R36" s="689" t="str">
        <f t="shared" si="5"/>
        <v>--</v>
      </c>
      <c r="S36" s="690" t="str">
        <f t="shared" si="6"/>
        <v>--</v>
      </c>
      <c r="T36" s="691" t="str">
        <f t="shared" si="7"/>
        <v>--</v>
      </c>
      <c r="U36" s="692" t="str">
        <f t="shared" si="8"/>
        <v>--</v>
      </c>
      <c r="V36" s="693" t="str">
        <f t="shared" si="9"/>
        <v>--</v>
      </c>
      <c r="W36" s="694" t="str">
        <f t="shared" si="10"/>
        <v>--</v>
      </c>
      <c r="X36" s="695" t="str">
        <f t="shared" si="11"/>
        <v>--</v>
      </c>
      <c r="Y36" s="696" t="str">
        <f t="shared" si="12"/>
        <v>--</v>
      </c>
      <c r="Z36" s="697">
        <f t="shared" si="15"/>
      </c>
      <c r="AA36" s="55">
        <f t="shared" si="13"/>
      </c>
      <c r="AB36" s="3"/>
    </row>
    <row r="37" spans="1:28" ht="16.5" customHeight="1">
      <c r="A37" s="1"/>
      <c r="B37" s="2"/>
      <c r="C37" s="506"/>
      <c r="D37" s="506"/>
      <c r="E37" s="506"/>
      <c r="F37" s="507"/>
      <c r="G37" s="508"/>
      <c r="H37" s="509"/>
      <c r="I37" s="403">
        <f t="shared" si="0"/>
        <v>33.916317675</v>
      </c>
      <c r="J37" s="514"/>
      <c r="K37" s="514"/>
      <c r="L37" s="13">
        <f t="shared" si="1"/>
      </c>
      <c r="M37" s="14">
        <f t="shared" si="2"/>
      </c>
      <c r="N37" s="515"/>
      <c r="O37" s="686">
        <f t="shared" si="14"/>
      </c>
      <c r="P37" s="687" t="str">
        <f t="shared" si="3"/>
        <v>--</v>
      </c>
      <c r="Q37" s="688" t="str">
        <f t="shared" si="4"/>
        <v>--</v>
      </c>
      <c r="R37" s="689" t="str">
        <f t="shared" si="5"/>
        <v>--</v>
      </c>
      <c r="S37" s="690" t="str">
        <f t="shared" si="6"/>
        <v>--</v>
      </c>
      <c r="T37" s="691" t="str">
        <f t="shared" si="7"/>
        <v>--</v>
      </c>
      <c r="U37" s="692" t="str">
        <f t="shared" si="8"/>
        <v>--</v>
      </c>
      <c r="V37" s="693" t="str">
        <f t="shared" si="9"/>
        <v>--</v>
      </c>
      <c r="W37" s="694" t="str">
        <f t="shared" si="10"/>
        <v>--</v>
      </c>
      <c r="X37" s="695" t="str">
        <f t="shared" si="11"/>
        <v>--</v>
      </c>
      <c r="Y37" s="696" t="str">
        <f t="shared" si="12"/>
        <v>--</v>
      </c>
      <c r="Z37" s="697">
        <f t="shared" si="15"/>
      </c>
      <c r="AA37" s="55">
        <f t="shared" si="13"/>
      </c>
      <c r="AB37" s="3"/>
    </row>
    <row r="38" spans="2:28" ht="16.5" customHeight="1">
      <c r="B38" s="56"/>
      <c r="C38" s="506"/>
      <c r="D38" s="506"/>
      <c r="E38" s="506"/>
      <c r="F38" s="507"/>
      <c r="G38" s="508"/>
      <c r="H38" s="509"/>
      <c r="I38" s="403">
        <f t="shared" si="0"/>
        <v>33.916317675</v>
      </c>
      <c r="J38" s="514"/>
      <c r="K38" s="514"/>
      <c r="L38" s="13">
        <f t="shared" si="1"/>
      </c>
      <c r="M38" s="14">
        <f t="shared" si="2"/>
      </c>
      <c r="N38" s="515"/>
      <c r="O38" s="686">
        <f t="shared" si="14"/>
      </c>
      <c r="P38" s="687" t="str">
        <f t="shared" si="3"/>
        <v>--</v>
      </c>
      <c r="Q38" s="688" t="str">
        <f t="shared" si="4"/>
        <v>--</v>
      </c>
      <c r="R38" s="689" t="str">
        <f t="shared" si="5"/>
        <v>--</v>
      </c>
      <c r="S38" s="690" t="str">
        <f t="shared" si="6"/>
        <v>--</v>
      </c>
      <c r="T38" s="691" t="str">
        <f t="shared" si="7"/>
        <v>--</v>
      </c>
      <c r="U38" s="692" t="str">
        <f t="shared" si="8"/>
        <v>--</v>
      </c>
      <c r="V38" s="693" t="str">
        <f t="shared" si="9"/>
        <v>--</v>
      </c>
      <c r="W38" s="694" t="str">
        <f t="shared" si="10"/>
        <v>--</v>
      </c>
      <c r="X38" s="695" t="str">
        <f t="shared" si="11"/>
        <v>--</v>
      </c>
      <c r="Y38" s="696" t="str">
        <f t="shared" si="12"/>
        <v>--</v>
      </c>
      <c r="Z38" s="697">
        <f t="shared" si="15"/>
      </c>
      <c r="AA38" s="55">
        <f t="shared" si="13"/>
      </c>
      <c r="AB38" s="3"/>
    </row>
    <row r="39" spans="2:28" ht="16.5" customHeight="1">
      <c r="B39" s="56"/>
      <c r="C39" s="506"/>
      <c r="D39" s="506"/>
      <c r="E39" s="506"/>
      <c r="F39" s="507"/>
      <c r="G39" s="508"/>
      <c r="H39" s="509"/>
      <c r="I39" s="403">
        <f t="shared" si="0"/>
        <v>33.916317675</v>
      </c>
      <c r="J39" s="514"/>
      <c r="K39" s="514"/>
      <c r="L39" s="13">
        <f t="shared" si="1"/>
      </c>
      <c r="M39" s="14">
        <f t="shared" si="2"/>
      </c>
      <c r="N39" s="515"/>
      <c r="O39" s="686">
        <f t="shared" si="14"/>
      </c>
      <c r="P39" s="687" t="str">
        <f t="shared" si="3"/>
        <v>--</v>
      </c>
      <c r="Q39" s="688" t="str">
        <f t="shared" si="4"/>
        <v>--</v>
      </c>
      <c r="R39" s="689" t="str">
        <f t="shared" si="5"/>
        <v>--</v>
      </c>
      <c r="S39" s="690" t="str">
        <f t="shared" si="6"/>
        <v>--</v>
      </c>
      <c r="T39" s="691" t="str">
        <f t="shared" si="7"/>
        <v>--</v>
      </c>
      <c r="U39" s="692" t="str">
        <f t="shared" si="8"/>
        <v>--</v>
      </c>
      <c r="V39" s="693" t="str">
        <f t="shared" si="9"/>
        <v>--</v>
      </c>
      <c r="W39" s="694" t="str">
        <f t="shared" si="10"/>
        <v>--</v>
      </c>
      <c r="X39" s="695" t="str">
        <f t="shared" si="11"/>
        <v>--</v>
      </c>
      <c r="Y39" s="696" t="str">
        <f t="shared" si="12"/>
        <v>--</v>
      </c>
      <c r="Z39" s="697">
        <f t="shared" si="15"/>
      </c>
      <c r="AA39" s="55">
        <f t="shared" si="13"/>
      </c>
      <c r="AB39" s="3"/>
    </row>
    <row r="40" spans="2:28" ht="16.5" customHeight="1">
      <c r="B40" s="56"/>
      <c r="C40" s="506"/>
      <c r="D40" s="506"/>
      <c r="E40" s="506"/>
      <c r="F40" s="507"/>
      <c r="G40" s="508"/>
      <c r="H40" s="509"/>
      <c r="I40" s="403">
        <f t="shared" si="0"/>
        <v>33.916317675</v>
      </c>
      <c r="J40" s="514"/>
      <c r="K40" s="514"/>
      <c r="L40" s="13">
        <f t="shared" si="1"/>
      </c>
      <c r="M40" s="14">
        <f t="shared" si="2"/>
      </c>
      <c r="N40" s="515"/>
      <c r="O40" s="686">
        <f t="shared" si="14"/>
      </c>
      <c r="P40" s="687" t="str">
        <f t="shared" si="3"/>
        <v>--</v>
      </c>
      <c r="Q40" s="688" t="str">
        <f t="shared" si="4"/>
        <v>--</v>
      </c>
      <c r="R40" s="689" t="str">
        <f t="shared" si="5"/>
        <v>--</v>
      </c>
      <c r="S40" s="690" t="str">
        <f t="shared" si="6"/>
        <v>--</v>
      </c>
      <c r="T40" s="691" t="str">
        <f t="shared" si="7"/>
        <v>--</v>
      </c>
      <c r="U40" s="692" t="str">
        <f t="shared" si="8"/>
        <v>--</v>
      </c>
      <c r="V40" s="693" t="str">
        <f t="shared" si="9"/>
        <v>--</v>
      </c>
      <c r="W40" s="694" t="str">
        <f t="shared" si="10"/>
        <v>--</v>
      </c>
      <c r="X40" s="695" t="str">
        <f t="shared" si="11"/>
        <v>--</v>
      </c>
      <c r="Y40" s="696" t="str">
        <f t="shared" si="12"/>
        <v>--</v>
      </c>
      <c r="Z40" s="697">
        <f t="shared" si="15"/>
      </c>
      <c r="AA40" s="55">
        <f t="shared" si="13"/>
      </c>
      <c r="AB40" s="3"/>
    </row>
    <row r="41" spans="2:28" ht="16.5" customHeight="1">
      <c r="B41" s="56"/>
      <c r="C41" s="506"/>
      <c r="D41" s="506"/>
      <c r="E41" s="506"/>
      <c r="F41" s="507"/>
      <c r="G41" s="508"/>
      <c r="H41" s="509"/>
      <c r="I41" s="403">
        <f t="shared" si="0"/>
        <v>33.916317675</v>
      </c>
      <c r="J41" s="514"/>
      <c r="K41" s="514"/>
      <c r="L41" s="13">
        <f t="shared" si="1"/>
      </c>
      <c r="M41" s="14">
        <f t="shared" si="2"/>
      </c>
      <c r="N41" s="515"/>
      <c r="O41" s="686">
        <f t="shared" si="14"/>
      </c>
      <c r="P41" s="687" t="str">
        <f t="shared" si="3"/>
        <v>--</v>
      </c>
      <c r="Q41" s="688" t="str">
        <f t="shared" si="4"/>
        <v>--</v>
      </c>
      <c r="R41" s="689" t="str">
        <f t="shared" si="5"/>
        <v>--</v>
      </c>
      <c r="S41" s="690" t="str">
        <f t="shared" si="6"/>
        <v>--</v>
      </c>
      <c r="T41" s="691" t="str">
        <f t="shared" si="7"/>
        <v>--</v>
      </c>
      <c r="U41" s="692" t="str">
        <f t="shared" si="8"/>
        <v>--</v>
      </c>
      <c r="V41" s="693" t="str">
        <f t="shared" si="9"/>
        <v>--</v>
      </c>
      <c r="W41" s="694" t="str">
        <f t="shared" si="10"/>
        <v>--</v>
      </c>
      <c r="X41" s="695" t="str">
        <f t="shared" si="11"/>
        <v>--</v>
      </c>
      <c r="Y41" s="696" t="str">
        <f t="shared" si="12"/>
        <v>--</v>
      </c>
      <c r="Z41" s="697">
        <f t="shared" si="15"/>
      </c>
      <c r="AA41" s="55">
        <f t="shared" si="13"/>
      </c>
      <c r="AB41" s="3"/>
    </row>
    <row r="42" spans="1:28" ht="16.5" customHeight="1" thickBot="1">
      <c r="A42" s="1"/>
      <c r="B42" s="2"/>
      <c r="C42" s="510"/>
      <c r="D42" s="510"/>
      <c r="E42" s="510"/>
      <c r="F42" s="511"/>
      <c r="G42" s="512"/>
      <c r="H42" s="513"/>
      <c r="I42" s="404"/>
      <c r="J42" s="513"/>
      <c r="K42" s="513"/>
      <c r="L42" s="15"/>
      <c r="M42" s="15"/>
      <c r="N42" s="513"/>
      <c r="O42" s="516"/>
      <c r="P42" s="517"/>
      <c r="Q42" s="518"/>
      <c r="R42" s="519"/>
      <c r="S42" s="520"/>
      <c r="T42" s="521"/>
      <c r="U42" s="522"/>
      <c r="V42" s="523"/>
      <c r="W42" s="524"/>
      <c r="X42" s="525"/>
      <c r="Y42" s="526"/>
      <c r="Z42" s="527"/>
      <c r="AA42" s="57"/>
      <c r="AB42" s="3"/>
    </row>
    <row r="43" spans="1:28" ht="16.5" customHeight="1" thickBot="1" thickTop="1">
      <c r="A43" s="1"/>
      <c r="B43" s="2"/>
      <c r="C43" s="718" t="s">
        <v>153</v>
      </c>
      <c r="D43" s="719" t="s">
        <v>151</v>
      </c>
      <c r="E43" s="681"/>
      <c r="F43" s="241"/>
      <c r="G43" s="16"/>
      <c r="H43" s="17"/>
      <c r="I43" s="58"/>
      <c r="J43" s="58"/>
      <c r="K43" s="58"/>
      <c r="L43" s="58"/>
      <c r="M43" s="58"/>
      <c r="N43" s="58"/>
      <c r="O43" s="59"/>
      <c r="P43" s="327">
        <f aca="true" t="shared" si="16" ref="P43:Y43">ROUND(SUM(P20:P42),2)</f>
        <v>49.96</v>
      </c>
      <c r="Q43" s="328">
        <f t="shared" si="16"/>
        <v>0</v>
      </c>
      <c r="R43" s="329">
        <f t="shared" si="16"/>
        <v>0</v>
      </c>
      <c r="S43" s="329">
        <f t="shared" si="16"/>
        <v>0</v>
      </c>
      <c r="T43" s="330">
        <f t="shared" si="16"/>
        <v>0</v>
      </c>
      <c r="U43" s="331">
        <f t="shared" si="16"/>
        <v>0</v>
      </c>
      <c r="V43" s="331">
        <f t="shared" si="16"/>
        <v>0</v>
      </c>
      <c r="W43" s="332">
        <f t="shared" si="16"/>
        <v>0</v>
      </c>
      <c r="X43" s="333">
        <f t="shared" si="16"/>
        <v>0</v>
      </c>
      <c r="Y43" s="334">
        <f t="shared" si="16"/>
        <v>0</v>
      </c>
      <c r="Z43" s="60"/>
      <c r="AA43" s="685">
        <f>ROUND(SUM(AA20:AA42),2)</f>
        <v>49.96</v>
      </c>
      <c r="AB43" s="61"/>
    </row>
    <row r="44" spans="1:28" s="255" customFormat="1" ht="9.75" thickTop="1">
      <c r="A44" s="244"/>
      <c r="B44" s="245"/>
      <c r="C44" s="242"/>
      <c r="D44" s="242"/>
      <c r="E44" s="242"/>
      <c r="F44" s="243"/>
      <c r="G44" s="246"/>
      <c r="H44" s="247"/>
      <c r="I44" s="248"/>
      <c r="J44" s="248"/>
      <c r="K44" s="248"/>
      <c r="L44" s="248"/>
      <c r="M44" s="248"/>
      <c r="N44" s="248"/>
      <c r="O44" s="249"/>
      <c r="P44" s="250"/>
      <c r="Q44" s="250"/>
      <c r="R44" s="251"/>
      <c r="S44" s="251"/>
      <c r="T44" s="252"/>
      <c r="U44" s="252"/>
      <c r="V44" s="252"/>
      <c r="W44" s="252"/>
      <c r="X44" s="252"/>
      <c r="Y44" s="252"/>
      <c r="Z44" s="252"/>
      <c r="AA44" s="253"/>
      <c r="AB44" s="254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0" zoomScaleNormal="70" workbookViewId="0" topLeftCell="A7">
      <selection activeCell="A22" sqref="A22:IV2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0"/>
    </row>
    <row r="2" spans="2:28" s="109" customFormat="1" ht="26.25">
      <c r="B2" s="110" t="str">
        <f>+'TOT-0513'!B2</f>
        <v>ANEXO V al Memorándum  D.T.E.E.  N°           / 2014.-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84" t="s">
        <v>16</v>
      </c>
      <c r="C4" s="683"/>
      <c r="D4" s="683"/>
    </row>
    <row r="5" spans="1:4" s="112" customFormat="1" ht="11.25">
      <c r="A5" s="684" t="s">
        <v>128</v>
      </c>
      <c r="C5" s="683"/>
      <c r="D5" s="683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36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125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+'TOT-0513'!B14</f>
        <v>Desde el 01 al 31 de mayo de 2013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02" t="s">
        <v>39</v>
      </c>
      <c r="G15" s="503">
        <v>141.9753327</v>
      </c>
      <c r="H15" s="504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02" t="s">
        <v>40</v>
      </c>
      <c r="G16" s="503">
        <v>135.6652707</v>
      </c>
      <c r="H16" s="505"/>
      <c r="I16" s="91"/>
      <c r="K16" s="97" t="s">
        <v>41</v>
      </c>
      <c r="L16" s="98">
        <f>30*'TOT-0513'!B13</f>
        <v>30</v>
      </c>
      <c r="M16" s="238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73"/>
      <c r="G17" s="674"/>
      <c r="H17" s="675"/>
      <c r="I17" s="91"/>
      <c r="K17" s="97"/>
      <c r="L17" s="98"/>
      <c r="M17" s="238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07" customFormat="1" ht="15" customHeight="1" thickBot="1">
      <c r="A18" s="703"/>
      <c r="B18" s="704"/>
      <c r="C18" s="705">
        <v>3</v>
      </c>
      <c r="D18" s="705">
        <v>4</v>
      </c>
      <c r="E18" s="705">
        <v>5</v>
      </c>
      <c r="F18" s="705">
        <v>6</v>
      </c>
      <c r="G18" s="705">
        <v>7</v>
      </c>
      <c r="H18" s="705">
        <v>8</v>
      </c>
      <c r="I18" s="705">
        <v>9</v>
      </c>
      <c r="J18" s="705">
        <v>10</v>
      </c>
      <c r="K18" s="705">
        <v>11</v>
      </c>
      <c r="L18" s="705">
        <v>12</v>
      </c>
      <c r="M18" s="705">
        <v>13</v>
      </c>
      <c r="N18" s="705">
        <v>14</v>
      </c>
      <c r="O18" s="705">
        <v>15</v>
      </c>
      <c r="P18" s="705">
        <v>16</v>
      </c>
      <c r="Q18" s="705">
        <v>17</v>
      </c>
      <c r="R18" s="705">
        <v>18</v>
      </c>
      <c r="S18" s="705">
        <v>19</v>
      </c>
      <c r="T18" s="705">
        <v>20</v>
      </c>
      <c r="U18" s="705">
        <v>21</v>
      </c>
      <c r="V18" s="705">
        <v>22</v>
      </c>
      <c r="W18" s="705">
        <v>23</v>
      </c>
      <c r="X18" s="705">
        <v>24</v>
      </c>
      <c r="Y18" s="705">
        <v>25</v>
      </c>
      <c r="Z18" s="705">
        <v>26</v>
      </c>
      <c r="AA18" s="705">
        <v>27</v>
      </c>
      <c r="AB18" s="706"/>
    </row>
    <row r="19" spans="1:28" s="108" customFormat="1" ht="33.75" customHeight="1" thickBot="1" thickTop="1">
      <c r="A19" s="99"/>
      <c r="B19" s="100"/>
      <c r="C19" s="101" t="s">
        <v>42</v>
      </c>
      <c r="D19" s="101" t="s">
        <v>127</v>
      </c>
      <c r="E19" s="101" t="s">
        <v>126</v>
      </c>
      <c r="F19" s="102" t="s">
        <v>19</v>
      </c>
      <c r="G19" s="103" t="s">
        <v>43</v>
      </c>
      <c r="H19" s="104" t="s">
        <v>44</v>
      </c>
      <c r="I19" s="265" t="s">
        <v>45</v>
      </c>
      <c r="J19" s="102" t="s">
        <v>46</v>
      </c>
      <c r="K19" s="102" t="s">
        <v>47</v>
      </c>
      <c r="L19" s="103" t="s">
        <v>48</v>
      </c>
      <c r="M19" s="103" t="s">
        <v>49</v>
      </c>
      <c r="N19" s="105" t="s">
        <v>50</v>
      </c>
      <c r="O19" s="103" t="s">
        <v>51</v>
      </c>
      <c r="P19" s="294" t="s">
        <v>52</v>
      </c>
      <c r="Q19" s="297" t="s">
        <v>53</v>
      </c>
      <c r="R19" s="300" t="s">
        <v>54</v>
      </c>
      <c r="S19" s="301"/>
      <c r="T19" s="302"/>
      <c r="U19" s="311" t="s">
        <v>55</v>
      </c>
      <c r="V19" s="312"/>
      <c r="W19" s="313"/>
      <c r="X19" s="321" t="s">
        <v>56</v>
      </c>
      <c r="Y19" s="324" t="s">
        <v>57</v>
      </c>
      <c r="Z19" s="106" t="s">
        <v>58</v>
      </c>
      <c r="AA19" s="106" t="s">
        <v>59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6"/>
      <c r="J20" s="53"/>
      <c r="K20" s="54"/>
      <c r="L20" s="54"/>
      <c r="M20" s="54"/>
      <c r="N20" s="52"/>
      <c r="O20" s="53"/>
      <c r="P20" s="295"/>
      <c r="Q20" s="298"/>
      <c r="R20" s="303"/>
      <c r="S20" s="304"/>
      <c r="T20" s="305"/>
      <c r="U20" s="314"/>
      <c r="V20" s="315"/>
      <c r="W20" s="316"/>
      <c r="X20" s="322"/>
      <c r="Y20" s="325"/>
      <c r="Z20" s="309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67"/>
      <c r="J21" s="51"/>
      <c r="K21" s="90"/>
      <c r="L21" s="90"/>
      <c r="M21" s="90"/>
      <c r="N21" s="88"/>
      <c r="O21" s="51"/>
      <c r="P21" s="296"/>
      <c r="Q21" s="299"/>
      <c r="R21" s="306"/>
      <c r="S21" s="307"/>
      <c r="T21" s="308"/>
      <c r="U21" s="317"/>
      <c r="V21" s="318"/>
      <c r="W21" s="319"/>
      <c r="X21" s="323"/>
      <c r="Y21" s="326"/>
      <c r="Z21" s="310"/>
      <c r="AA21" s="90"/>
      <c r="AB21" s="3"/>
    </row>
    <row r="22" spans="1:28" ht="16.5" customHeight="1">
      <c r="A22" s="1"/>
      <c r="B22" s="2"/>
      <c r="C22" s="506">
        <v>3</v>
      </c>
      <c r="D22" s="506">
        <v>260946</v>
      </c>
      <c r="E22" s="506">
        <v>1636</v>
      </c>
      <c r="F22" s="507" t="s">
        <v>7</v>
      </c>
      <c r="G22" s="508">
        <v>132</v>
      </c>
      <c r="H22" s="509">
        <v>4.400000095367432</v>
      </c>
      <c r="I22" s="268">
        <f aca="true" t="shared" si="0" ref="I22:I41">IF(H22&gt;25,H22,25)*IF(G22=330,$G$15,$G$16)/100</f>
        <v>33.916317675</v>
      </c>
      <c r="J22" s="514">
        <v>41415.356944444444</v>
      </c>
      <c r="K22" s="514">
        <v>41415.65555555555</v>
      </c>
      <c r="L22" s="13">
        <f aca="true" t="shared" si="1" ref="L22:L41">IF(F22="","",(K22-J22)*24)</f>
        <v>7.166666666627862</v>
      </c>
      <c r="M22" s="14">
        <f aca="true" t="shared" si="2" ref="M22:M41">IF(F22="","",ROUND((K22-J22)*24*60,0))</f>
        <v>430</v>
      </c>
      <c r="N22" s="515" t="s">
        <v>133</v>
      </c>
      <c r="O22" s="702" t="s">
        <v>135</v>
      </c>
      <c r="P22" s="687">
        <f aca="true" t="shared" si="3" ref="P22:P41">IF(N22="P",ROUND(M22/60,2)*I22*$L$16*0.01,"--")</f>
        <v>72.953999318925</v>
      </c>
      <c r="Q22" s="688" t="str">
        <f aca="true" t="shared" si="4" ref="Q22:Q41">IF(N22="RP",ROUND(M22/60,2)*I22*$L$16*0.01*O22/100,"--")</f>
        <v>--</v>
      </c>
      <c r="R22" s="689" t="str">
        <f aca="true" t="shared" si="5" ref="R22:R41">IF(N22="F",I22*$L$16,"--")</f>
        <v>--</v>
      </c>
      <c r="S22" s="690" t="str">
        <f aca="true" t="shared" si="6" ref="S22:S41">IF(AND(M22&gt;10,N22="F"),I22*$L$16*IF(M22&gt;180,3,ROUND(M22/60,2)),"--")</f>
        <v>--</v>
      </c>
      <c r="T22" s="691" t="str">
        <f aca="true" t="shared" si="7" ref="T22:T41">IF(AND(M22&gt;180,N22="F"),(ROUND(M22/60,2)-3)*I22*$L$16*0.1,"--")</f>
        <v>--</v>
      </c>
      <c r="U22" s="692" t="str">
        <f aca="true" t="shared" si="8" ref="U22:U41">IF(N22="R",I22*$L$16*O22/100,"--")</f>
        <v>--</v>
      </c>
      <c r="V22" s="693" t="str">
        <f aca="true" t="shared" si="9" ref="V22:V41">IF(AND(M22&gt;10,N22="R"),I22*$L$16*O22/100*IF(M22&gt;180,3,ROUND(M22/60,2)),"--")</f>
        <v>--</v>
      </c>
      <c r="W22" s="694" t="str">
        <f aca="true" t="shared" si="10" ref="W22:W41">IF(AND(M22&gt;180,N22="R"),(ROUND(M22/60,2)-3)*O22/100*I22*$L$16*0.1,"--")</f>
        <v>--</v>
      </c>
      <c r="X22" s="695" t="str">
        <f aca="true" t="shared" si="11" ref="X22:X41">IF(N22="RF",ROUND(M22/60,2)*I22*$L$16*0.1,"--")</f>
        <v>--</v>
      </c>
      <c r="Y22" s="696" t="str">
        <f aca="true" t="shared" si="12" ref="Y22:Y41">IF(N22="RR",ROUND(M22/60,2)*O22/100*I22*$L$16*0.1,"--")</f>
        <v>--</v>
      </c>
      <c r="Z22" s="697" t="s">
        <v>134</v>
      </c>
      <c r="AA22" s="55">
        <f aca="true" t="shared" si="13" ref="AA22:AA41">IF(F22="","",SUM(P22:Y22)*IF(Z22="SI",1,2))</f>
        <v>72.953999318925</v>
      </c>
      <c r="AB22" s="3"/>
    </row>
    <row r="23" spans="1:28" ht="16.5" customHeight="1">
      <c r="A23" s="1"/>
      <c r="B23" s="2"/>
      <c r="C23" s="506">
        <v>4</v>
      </c>
      <c r="D23" s="506">
        <v>260948</v>
      </c>
      <c r="E23" s="506">
        <v>1632</v>
      </c>
      <c r="F23" s="507" t="s">
        <v>4</v>
      </c>
      <c r="G23" s="508">
        <v>132</v>
      </c>
      <c r="H23" s="509">
        <v>31</v>
      </c>
      <c r="I23" s="268">
        <f t="shared" si="0"/>
        <v>42.056233917</v>
      </c>
      <c r="J23" s="514">
        <v>41415.48402777778</v>
      </c>
      <c r="K23" s="514">
        <v>41415.52291666667</v>
      </c>
      <c r="L23" s="13">
        <f t="shared" si="1"/>
        <v>0.933333333407063</v>
      </c>
      <c r="M23" s="14">
        <f t="shared" si="2"/>
        <v>56</v>
      </c>
      <c r="N23" s="515" t="s">
        <v>133</v>
      </c>
      <c r="O23" s="702" t="s">
        <v>135</v>
      </c>
      <c r="P23" s="687">
        <f t="shared" si="3"/>
        <v>11.733689262843003</v>
      </c>
      <c r="Q23" s="688" t="str">
        <f t="shared" si="4"/>
        <v>--</v>
      </c>
      <c r="R23" s="689" t="str">
        <f t="shared" si="5"/>
        <v>--</v>
      </c>
      <c r="S23" s="690" t="str">
        <f t="shared" si="6"/>
        <v>--</v>
      </c>
      <c r="T23" s="691" t="str">
        <f t="shared" si="7"/>
        <v>--</v>
      </c>
      <c r="U23" s="692" t="str">
        <f t="shared" si="8"/>
        <v>--</v>
      </c>
      <c r="V23" s="693" t="str">
        <f t="shared" si="9"/>
        <v>--</v>
      </c>
      <c r="W23" s="694" t="str">
        <f t="shared" si="10"/>
        <v>--</v>
      </c>
      <c r="X23" s="695" t="str">
        <f t="shared" si="11"/>
        <v>--</v>
      </c>
      <c r="Y23" s="696" t="str">
        <f t="shared" si="12"/>
        <v>--</v>
      </c>
      <c r="Z23" s="697" t="s">
        <v>134</v>
      </c>
      <c r="AA23" s="55">
        <f t="shared" si="13"/>
        <v>11.733689262843003</v>
      </c>
      <c r="AB23" s="3"/>
    </row>
    <row r="24" spans="1:28" ht="16.5" customHeight="1">
      <c r="A24" s="1"/>
      <c r="B24" s="2"/>
      <c r="C24" s="506">
        <v>5</v>
      </c>
      <c r="D24" s="506">
        <v>260950</v>
      </c>
      <c r="E24" s="506">
        <v>1636</v>
      </c>
      <c r="F24" s="507" t="s">
        <v>7</v>
      </c>
      <c r="G24" s="508">
        <v>132</v>
      </c>
      <c r="H24" s="509">
        <v>4.400000095367432</v>
      </c>
      <c r="I24" s="268">
        <f t="shared" si="0"/>
        <v>33.916317675</v>
      </c>
      <c r="J24" s="514">
        <v>41416.37986111111</v>
      </c>
      <c r="K24" s="514">
        <v>41416.63055555556</v>
      </c>
      <c r="L24" s="13">
        <f t="shared" si="1"/>
        <v>6.016666666720994</v>
      </c>
      <c r="M24" s="14">
        <f t="shared" si="2"/>
        <v>361</v>
      </c>
      <c r="N24" s="515" t="s">
        <v>133</v>
      </c>
      <c r="O24" s="702" t="s">
        <v>135</v>
      </c>
      <c r="P24" s="687">
        <f t="shared" si="3"/>
        <v>61.252869721050004</v>
      </c>
      <c r="Q24" s="688" t="str">
        <f t="shared" si="4"/>
        <v>--</v>
      </c>
      <c r="R24" s="689" t="str">
        <f t="shared" si="5"/>
        <v>--</v>
      </c>
      <c r="S24" s="690" t="str">
        <f t="shared" si="6"/>
        <v>--</v>
      </c>
      <c r="T24" s="691" t="str">
        <f t="shared" si="7"/>
        <v>--</v>
      </c>
      <c r="U24" s="692" t="str">
        <f t="shared" si="8"/>
        <v>--</v>
      </c>
      <c r="V24" s="693" t="str">
        <f t="shared" si="9"/>
        <v>--</v>
      </c>
      <c r="W24" s="694" t="str">
        <f t="shared" si="10"/>
        <v>--</v>
      </c>
      <c r="X24" s="695" t="str">
        <f t="shared" si="11"/>
        <v>--</v>
      </c>
      <c r="Y24" s="696" t="str">
        <f t="shared" si="12"/>
        <v>--</v>
      </c>
      <c r="Z24" s="697" t="s">
        <v>134</v>
      </c>
      <c r="AA24" s="55">
        <f t="shared" si="13"/>
        <v>61.252869721050004</v>
      </c>
      <c r="AB24" s="3"/>
    </row>
    <row r="25" spans="1:28" ht="16.5" customHeight="1">
      <c r="A25" s="1"/>
      <c r="B25" s="2"/>
      <c r="C25" s="506">
        <v>6</v>
      </c>
      <c r="D25" s="506">
        <v>260952</v>
      </c>
      <c r="E25" s="506">
        <v>1636</v>
      </c>
      <c r="F25" s="507" t="s">
        <v>7</v>
      </c>
      <c r="G25" s="508">
        <v>132</v>
      </c>
      <c r="H25" s="509">
        <v>4.400000095367432</v>
      </c>
      <c r="I25" s="268">
        <f t="shared" si="0"/>
        <v>33.916317675</v>
      </c>
      <c r="J25" s="514">
        <v>41417.36041666667</v>
      </c>
      <c r="K25" s="514">
        <v>41417.61944444444</v>
      </c>
      <c r="L25" s="13">
        <f t="shared" si="1"/>
        <v>6.216666666499805</v>
      </c>
      <c r="M25" s="14">
        <f t="shared" si="2"/>
        <v>373</v>
      </c>
      <c r="N25" s="515" t="s">
        <v>133</v>
      </c>
      <c r="O25" s="702" t="s">
        <v>135</v>
      </c>
      <c r="P25" s="687">
        <f t="shared" si="3"/>
        <v>63.287848781550004</v>
      </c>
      <c r="Q25" s="688" t="str">
        <f t="shared" si="4"/>
        <v>--</v>
      </c>
      <c r="R25" s="689" t="str">
        <f t="shared" si="5"/>
        <v>--</v>
      </c>
      <c r="S25" s="690" t="str">
        <f t="shared" si="6"/>
        <v>--</v>
      </c>
      <c r="T25" s="691" t="str">
        <f t="shared" si="7"/>
        <v>--</v>
      </c>
      <c r="U25" s="692" t="str">
        <f t="shared" si="8"/>
        <v>--</v>
      </c>
      <c r="V25" s="693" t="str">
        <f t="shared" si="9"/>
        <v>--</v>
      </c>
      <c r="W25" s="694" t="str">
        <f t="shared" si="10"/>
        <v>--</v>
      </c>
      <c r="X25" s="695" t="str">
        <f t="shared" si="11"/>
        <v>--</v>
      </c>
      <c r="Y25" s="696" t="str">
        <f t="shared" si="12"/>
        <v>--</v>
      </c>
      <c r="Z25" s="697" t="s">
        <v>134</v>
      </c>
      <c r="AA25" s="55">
        <f t="shared" si="13"/>
        <v>63.287848781550004</v>
      </c>
      <c r="AB25" s="3"/>
    </row>
    <row r="26" spans="1:28" ht="16.5" customHeight="1">
      <c r="A26" s="1"/>
      <c r="B26" s="2"/>
      <c r="C26" s="506">
        <v>7</v>
      </c>
      <c r="D26" s="506">
        <v>260953</v>
      </c>
      <c r="E26" s="506">
        <v>1636</v>
      </c>
      <c r="F26" s="507" t="s">
        <v>7</v>
      </c>
      <c r="G26" s="508">
        <v>132</v>
      </c>
      <c r="H26" s="509">
        <v>4.400000095367432</v>
      </c>
      <c r="I26" s="268">
        <f t="shared" si="0"/>
        <v>33.916317675</v>
      </c>
      <c r="J26" s="514">
        <v>41418.37708333333</v>
      </c>
      <c r="K26" s="514">
        <v>41418.5375</v>
      </c>
      <c r="L26" s="13">
        <f t="shared" si="1"/>
        <v>3.849999999976717</v>
      </c>
      <c r="M26" s="14">
        <f t="shared" si="2"/>
        <v>231</v>
      </c>
      <c r="N26" s="515" t="s">
        <v>133</v>
      </c>
      <c r="O26" s="702" t="s">
        <v>135</v>
      </c>
      <c r="P26" s="687">
        <f t="shared" si="3"/>
        <v>39.17334691462501</v>
      </c>
      <c r="Q26" s="688" t="str">
        <f t="shared" si="4"/>
        <v>--</v>
      </c>
      <c r="R26" s="689" t="str">
        <f t="shared" si="5"/>
        <v>--</v>
      </c>
      <c r="S26" s="690" t="str">
        <f t="shared" si="6"/>
        <v>--</v>
      </c>
      <c r="T26" s="691" t="str">
        <f t="shared" si="7"/>
        <v>--</v>
      </c>
      <c r="U26" s="692" t="str">
        <f t="shared" si="8"/>
        <v>--</v>
      </c>
      <c r="V26" s="693" t="str">
        <f t="shared" si="9"/>
        <v>--</v>
      </c>
      <c r="W26" s="694" t="str">
        <f t="shared" si="10"/>
        <v>--</v>
      </c>
      <c r="X26" s="695" t="str">
        <f t="shared" si="11"/>
        <v>--</v>
      </c>
      <c r="Y26" s="696" t="str">
        <f t="shared" si="12"/>
        <v>--</v>
      </c>
      <c r="Z26" s="697" t="s">
        <v>134</v>
      </c>
      <c r="AA26" s="55">
        <f t="shared" si="13"/>
        <v>39.17334691462501</v>
      </c>
      <c r="AB26" s="3"/>
    </row>
    <row r="27" spans="1:28" ht="16.5" customHeight="1">
      <c r="A27" s="1"/>
      <c r="B27" s="2"/>
      <c r="C27" s="506"/>
      <c r="D27" s="506"/>
      <c r="E27" s="506"/>
      <c r="F27" s="507"/>
      <c r="G27" s="508"/>
      <c r="H27" s="509"/>
      <c r="I27" s="268">
        <f t="shared" si="0"/>
        <v>33.916317675</v>
      </c>
      <c r="J27" s="514"/>
      <c r="K27" s="514"/>
      <c r="L27" s="13">
        <f t="shared" si="1"/>
      </c>
      <c r="M27" s="14">
        <f t="shared" si="2"/>
      </c>
      <c r="N27" s="515"/>
      <c r="O27" s="686">
        <f aca="true" t="shared" si="14" ref="O27:O41">IF(F27="","","--")</f>
      </c>
      <c r="P27" s="687" t="str">
        <f t="shared" si="3"/>
        <v>--</v>
      </c>
      <c r="Q27" s="688" t="str">
        <f t="shared" si="4"/>
        <v>--</v>
      </c>
      <c r="R27" s="689" t="str">
        <f t="shared" si="5"/>
        <v>--</v>
      </c>
      <c r="S27" s="690" t="str">
        <f t="shared" si="6"/>
        <v>--</v>
      </c>
      <c r="T27" s="691" t="str">
        <f t="shared" si="7"/>
        <v>--</v>
      </c>
      <c r="U27" s="692" t="str">
        <f t="shared" si="8"/>
        <v>--</v>
      </c>
      <c r="V27" s="693" t="str">
        <f t="shared" si="9"/>
        <v>--</v>
      </c>
      <c r="W27" s="694" t="str">
        <f t="shared" si="10"/>
        <v>--</v>
      </c>
      <c r="X27" s="695" t="str">
        <f t="shared" si="11"/>
        <v>--</v>
      </c>
      <c r="Y27" s="696" t="str">
        <f t="shared" si="12"/>
        <v>--</v>
      </c>
      <c r="Z27" s="697">
        <f aca="true" t="shared" si="15" ref="Z27:Z41">IF(F27="","","SI")</f>
      </c>
      <c r="AA27" s="55">
        <f t="shared" si="13"/>
      </c>
      <c r="AB27" s="3"/>
    </row>
    <row r="28" spans="1:28" ht="16.5" customHeight="1">
      <c r="A28" s="1"/>
      <c r="B28" s="2"/>
      <c r="C28" s="506"/>
      <c r="D28" s="506"/>
      <c r="E28" s="506"/>
      <c r="F28" s="507"/>
      <c r="G28" s="508"/>
      <c r="H28" s="509"/>
      <c r="I28" s="268">
        <f t="shared" si="0"/>
        <v>33.916317675</v>
      </c>
      <c r="J28" s="514"/>
      <c r="K28" s="514"/>
      <c r="L28" s="13">
        <f t="shared" si="1"/>
      </c>
      <c r="M28" s="14">
        <f t="shared" si="2"/>
      </c>
      <c r="N28" s="515"/>
      <c r="O28" s="686">
        <f t="shared" si="14"/>
      </c>
      <c r="P28" s="687" t="str">
        <f t="shared" si="3"/>
        <v>--</v>
      </c>
      <c r="Q28" s="688" t="str">
        <f t="shared" si="4"/>
        <v>--</v>
      </c>
      <c r="R28" s="689" t="str">
        <f t="shared" si="5"/>
        <v>--</v>
      </c>
      <c r="S28" s="690" t="str">
        <f t="shared" si="6"/>
        <v>--</v>
      </c>
      <c r="T28" s="691" t="str">
        <f t="shared" si="7"/>
        <v>--</v>
      </c>
      <c r="U28" s="692" t="str">
        <f t="shared" si="8"/>
        <v>--</v>
      </c>
      <c r="V28" s="693" t="str">
        <f t="shared" si="9"/>
        <v>--</v>
      </c>
      <c r="W28" s="694" t="str">
        <f t="shared" si="10"/>
        <v>--</v>
      </c>
      <c r="X28" s="695" t="str">
        <f t="shared" si="11"/>
        <v>--</v>
      </c>
      <c r="Y28" s="696" t="str">
        <f t="shared" si="12"/>
        <v>--</v>
      </c>
      <c r="Z28" s="697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06"/>
      <c r="D29" s="506"/>
      <c r="E29" s="506"/>
      <c r="F29" s="507"/>
      <c r="G29" s="508"/>
      <c r="H29" s="509"/>
      <c r="I29" s="268">
        <f t="shared" si="0"/>
        <v>33.916317675</v>
      </c>
      <c r="J29" s="514"/>
      <c r="K29" s="514"/>
      <c r="L29" s="13">
        <f t="shared" si="1"/>
      </c>
      <c r="M29" s="14">
        <f t="shared" si="2"/>
      </c>
      <c r="N29" s="515"/>
      <c r="O29" s="686">
        <f t="shared" si="14"/>
      </c>
      <c r="P29" s="687" t="str">
        <f t="shared" si="3"/>
        <v>--</v>
      </c>
      <c r="Q29" s="688" t="str">
        <f t="shared" si="4"/>
        <v>--</v>
      </c>
      <c r="R29" s="689" t="str">
        <f t="shared" si="5"/>
        <v>--</v>
      </c>
      <c r="S29" s="690" t="str">
        <f t="shared" si="6"/>
        <v>--</v>
      </c>
      <c r="T29" s="691" t="str">
        <f t="shared" si="7"/>
        <v>--</v>
      </c>
      <c r="U29" s="692" t="str">
        <f t="shared" si="8"/>
        <v>--</v>
      </c>
      <c r="V29" s="693" t="str">
        <f t="shared" si="9"/>
        <v>--</v>
      </c>
      <c r="W29" s="694" t="str">
        <f t="shared" si="10"/>
        <v>--</v>
      </c>
      <c r="X29" s="695" t="str">
        <f t="shared" si="11"/>
        <v>--</v>
      </c>
      <c r="Y29" s="696" t="str">
        <f t="shared" si="12"/>
        <v>--</v>
      </c>
      <c r="Z29" s="697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06"/>
      <c r="D30" s="506"/>
      <c r="E30" s="506"/>
      <c r="F30" s="507"/>
      <c r="G30" s="508"/>
      <c r="H30" s="509"/>
      <c r="I30" s="268">
        <f t="shared" si="0"/>
        <v>33.916317675</v>
      </c>
      <c r="J30" s="514"/>
      <c r="K30" s="514"/>
      <c r="L30" s="13">
        <f t="shared" si="1"/>
      </c>
      <c r="M30" s="14">
        <f t="shared" si="2"/>
      </c>
      <c r="N30" s="515"/>
      <c r="O30" s="686">
        <f t="shared" si="14"/>
      </c>
      <c r="P30" s="687" t="str">
        <f t="shared" si="3"/>
        <v>--</v>
      </c>
      <c r="Q30" s="688" t="str">
        <f t="shared" si="4"/>
        <v>--</v>
      </c>
      <c r="R30" s="689" t="str">
        <f t="shared" si="5"/>
        <v>--</v>
      </c>
      <c r="S30" s="690" t="str">
        <f t="shared" si="6"/>
        <v>--</v>
      </c>
      <c r="T30" s="691" t="str">
        <f t="shared" si="7"/>
        <v>--</v>
      </c>
      <c r="U30" s="692" t="str">
        <f t="shared" si="8"/>
        <v>--</v>
      </c>
      <c r="V30" s="693" t="str">
        <f t="shared" si="9"/>
        <v>--</v>
      </c>
      <c r="W30" s="694" t="str">
        <f t="shared" si="10"/>
        <v>--</v>
      </c>
      <c r="X30" s="695" t="str">
        <f t="shared" si="11"/>
        <v>--</v>
      </c>
      <c r="Y30" s="696" t="str">
        <f t="shared" si="12"/>
        <v>--</v>
      </c>
      <c r="Z30" s="697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06"/>
      <c r="D31" s="506"/>
      <c r="E31" s="506"/>
      <c r="F31" s="507"/>
      <c r="G31" s="508"/>
      <c r="H31" s="509"/>
      <c r="I31" s="268">
        <f t="shared" si="0"/>
        <v>33.916317675</v>
      </c>
      <c r="J31" s="514"/>
      <c r="K31" s="514"/>
      <c r="L31" s="13">
        <f t="shared" si="1"/>
      </c>
      <c r="M31" s="14">
        <f t="shared" si="2"/>
      </c>
      <c r="N31" s="515"/>
      <c r="O31" s="686">
        <f t="shared" si="14"/>
      </c>
      <c r="P31" s="687" t="str">
        <f t="shared" si="3"/>
        <v>--</v>
      </c>
      <c r="Q31" s="688" t="str">
        <f t="shared" si="4"/>
        <v>--</v>
      </c>
      <c r="R31" s="689" t="str">
        <f t="shared" si="5"/>
        <v>--</v>
      </c>
      <c r="S31" s="690" t="str">
        <f t="shared" si="6"/>
        <v>--</v>
      </c>
      <c r="T31" s="691" t="str">
        <f t="shared" si="7"/>
        <v>--</v>
      </c>
      <c r="U31" s="692" t="str">
        <f t="shared" si="8"/>
        <v>--</v>
      </c>
      <c r="V31" s="693" t="str">
        <f t="shared" si="9"/>
        <v>--</v>
      </c>
      <c r="W31" s="694" t="str">
        <f t="shared" si="10"/>
        <v>--</v>
      </c>
      <c r="X31" s="695" t="str">
        <f t="shared" si="11"/>
        <v>--</v>
      </c>
      <c r="Y31" s="696" t="str">
        <f t="shared" si="12"/>
        <v>--</v>
      </c>
      <c r="Z31" s="697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06"/>
      <c r="D32" s="506"/>
      <c r="E32" s="506"/>
      <c r="F32" s="507"/>
      <c r="G32" s="508"/>
      <c r="H32" s="509"/>
      <c r="I32" s="268">
        <f t="shared" si="0"/>
        <v>33.916317675</v>
      </c>
      <c r="J32" s="514"/>
      <c r="K32" s="514"/>
      <c r="L32" s="13">
        <f t="shared" si="1"/>
      </c>
      <c r="M32" s="14">
        <f t="shared" si="2"/>
      </c>
      <c r="N32" s="515"/>
      <c r="O32" s="686">
        <f t="shared" si="14"/>
      </c>
      <c r="P32" s="687" t="str">
        <f t="shared" si="3"/>
        <v>--</v>
      </c>
      <c r="Q32" s="688" t="str">
        <f t="shared" si="4"/>
        <v>--</v>
      </c>
      <c r="R32" s="689" t="str">
        <f t="shared" si="5"/>
        <v>--</v>
      </c>
      <c r="S32" s="690" t="str">
        <f t="shared" si="6"/>
        <v>--</v>
      </c>
      <c r="T32" s="691" t="str">
        <f t="shared" si="7"/>
        <v>--</v>
      </c>
      <c r="U32" s="692" t="str">
        <f t="shared" si="8"/>
        <v>--</v>
      </c>
      <c r="V32" s="693" t="str">
        <f t="shared" si="9"/>
        <v>--</v>
      </c>
      <c r="W32" s="694" t="str">
        <f t="shared" si="10"/>
        <v>--</v>
      </c>
      <c r="X32" s="695" t="str">
        <f t="shared" si="11"/>
        <v>--</v>
      </c>
      <c r="Y32" s="696" t="str">
        <f t="shared" si="12"/>
        <v>--</v>
      </c>
      <c r="Z32" s="697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06"/>
      <c r="D33" s="506"/>
      <c r="E33" s="506"/>
      <c r="F33" s="507"/>
      <c r="G33" s="508"/>
      <c r="H33" s="509"/>
      <c r="I33" s="268">
        <f t="shared" si="0"/>
        <v>33.916317675</v>
      </c>
      <c r="J33" s="514"/>
      <c r="K33" s="514"/>
      <c r="L33" s="13">
        <f t="shared" si="1"/>
      </c>
      <c r="M33" s="14">
        <f t="shared" si="2"/>
      </c>
      <c r="N33" s="515"/>
      <c r="O33" s="686">
        <f t="shared" si="14"/>
      </c>
      <c r="P33" s="687" t="str">
        <f t="shared" si="3"/>
        <v>--</v>
      </c>
      <c r="Q33" s="688" t="str">
        <f t="shared" si="4"/>
        <v>--</v>
      </c>
      <c r="R33" s="689" t="str">
        <f t="shared" si="5"/>
        <v>--</v>
      </c>
      <c r="S33" s="690" t="str">
        <f t="shared" si="6"/>
        <v>--</v>
      </c>
      <c r="T33" s="691" t="str">
        <f t="shared" si="7"/>
        <v>--</v>
      </c>
      <c r="U33" s="692" t="str">
        <f t="shared" si="8"/>
        <v>--</v>
      </c>
      <c r="V33" s="693" t="str">
        <f t="shared" si="9"/>
        <v>--</v>
      </c>
      <c r="W33" s="694" t="str">
        <f t="shared" si="10"/>
        <v>--</v>
      </c>
      <c r="X33" s="695" t="str">
        <f t="shared" si="11"/>
        <v>--</v>
      </c>
      <c r="Y33" s="696" t="str">
        <f t="shared" si="12"/>
        <v>--</v>
      </c>
      <c r="Z33" s="697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06"/>
      <c r="D34" s="506"/>
      <c r="E34" s="506"/>
      <c r="F34" s="507"/>
      <c r="G34" s="508"/>
      <c r="H34" s="509"/>
      <c r="I34" s="268">
        <f t="shared" si="0"/>
        <v>33.916317675</v>
      </c>
      <c r="J34" s="514"/>
      <c r="K34" s="514"/>
      <c r="L34" s="13">
        <f t="shared" si="1"/>
      </c>
      <c r="M34" s="14">
        <f t="shared" si="2"/>
      </c>
      <c r="N34" s="515"/>
      <c r="O34" s="686">
        <f t="shared" si="14"/>
      </c>
      <c r="P34" s="687" t="str">
        <f t="shared" si="3"/>
        <v>--</v>
      </c>
      <c r="Q34" s="688" t="str">
        <f t="shared" si="4"/>
        <v>--</v>
      </c>
      <c r="R34" s="689" t="str">
        <f t="shared" si="5"/>
        <v>--</v>
      </c>
      <c r="S34" s="690" t="str">
        <f t="shared" si="6"/>
        <v>--</v>
      </c>
      <c r="T34" s="691" t="str">
        <f t="shared" si="7"/>
        <v>--</v>
      </c>
      <c r="U34" s="692" t="str">
        <f t="shared" si="8"/>
        <v>--</v>
      </c>
      <c r="V34" s="693" t="str">
        <f t="shared" si="9"/>
        <v>--</v>
      </c>
      <c r="W34" s="694" t="str">
        <f t="shared" si="10"/>
        <v>--</v>
      </c>
      <c r="X34" s="695" t="str">
        <f t="shared" si="11"/>
        <v>--</v>
      </c>
      <c r="Y34" s="696" t="str">
        <f t="shared" si="12"/>
        <v>--</v>
      </c>
      <c r="Z34" s="697">
        <f t="shared" si="15"/>
      </c>
      <c r="AA34" s="55">
        <f t="shared" si="13"/>
      </c>
      <c r="AB34" s="3"/>
    </row>
    <row r="35" spans="1:28" ht="16.5" customHeight="1">
      <c r="A35" s="1"/>
      <c r="B35" s="2"/>
      <c r="C35" s="506"/>
      <c r="D35" s="506"/>
      <c r="E35" s="506"/>
      <c r="F35" s="507"/>
      <c r="G35" s="508"/>
      <c r="H35" s="509"/>
      <c r="I35" s="268">
        <f t="shared" si="0"/>
        <v>33.916317675</v>
      </c>
      <c r="J35" s="514"/>
      <c r="K35" s="514"/>
      <c r="L35" s="13">
        <f t="shared" si="1"/>
      </c>
      <c r="M35" s="14">
        <f t="shared" si="2"/>
      </c>
      <c r="N35" s="515"/>
      <c r="O35" s="686">
        <f t="shared" si="14"/>
      </c>
      <c r="P35" s="687" t="str">
        <f t="shared" si="3"/>
        <v>--</v>
      </c>
      <c r="Q35" s="688" t="str">
        <f t="shared" si="4"/>
        <v>--</v>
      </c>
      <c r="R35" s="689" t="str">
        <f t="shared" si="5"/>
        <v>--</v>
      </c>
      <c r="S35" s="690" t="str">
        <f t="shared" si="6"/>
        <v>--</v>
      </c>
      <c r="T35" s="691" t="str">
        <f t="shared" si="7"/>
        <v>--</v>
      </c>
      <c r="U35" s="692" t="str">
        <f t="shared" si="8"/>
        <v>--</v>
      </c>
      <c r="V35" s="693" t="str">
        <f t="shared" si="9"/>
        <v>--</v>
      </c>
      <c r="W35" s="694" t="str">
        <f t="shared" si="10"/>
        <v>--</v>
      </c>
      <c r="X35" s="695" t="str">
        <f t="shared" si="11"/>
        <v>--</v>
      </c>
      <c r="Y35" s="696" t="str">
        <f t="shared" si="12"/>
        <v>--</v>
      </c>
      <c r="Z35" s="697">
        <f t="shared" si="15"/>
      </c>
      <c r="AA35" s="55">
        <f t="shared" si="13"/>
      </c>
      <c r="AB35" s="3"/>
    </row>
    <row r="36" spans="1:28" ht="16.5" customHeight="1">
      <c r="A36" s="1"/>
      <c r="B36" s="2"/>
      <c r="C36" s="506"/>
      <c r="D36" s="506"/>
      <c r="E36" s="506"/>
      <c r="F36" s="507"/>
      <c r="G36" s="508"/>
      <c r="H36" s="509"/>
      <c r="I36" s="268">
        <f t="shared" si="0"/>
        <v>33.916317675</v>
      </c>
      <c r="J36" s="514"/>
      <c r="K36" s="514"/>
      <c r="L36" s="13">
        <f t="shared" si="1"/>
      </c>
      <c r="M36" s="14">
        <f t="shared" si="2"/>
      </c>
      <c r="N36" s="515"/>
      <c r="O36" s="686">
        <f t="shared" si="14"/>
      </c>
      <c r="P36" s="687" t="str">
        <f t="shared" si="3"/>
        <v>--</v>
      </c>
      <c r="Q36" s="688" t="str">
        <f t="shared" si="4"/>
        <v>--</v>
      </c>
      <c r="R36" s="689" t="str">
        <f t="shared" si="5"/>
        <v>--</v>
      </c>
      <c r="S36" s="690" t="str">
        <f t="shared" si="6"/>
        <v>--</v>
      </c>
      <c r="T36" s="691" t="str">
        <f t="shared" si="7"/>
        <v>--</v>
      </c>
      <c r="U36" s="692" t="str">
        <f t="shared" si="8"/>
        <v>--</v>
      </c>
      <c r="V36" s="693" t="str">
        <f t="shared" si="9"/>
        <v>--</v>
      </c>
      <c r="W36" s="694" t="str">
        <f t="shared" si="10"/>
        <v>--</v>
      </c>
      <c r="X36" s="695" t="str">
        <f t="shared" si="11"/>
        <v>--</v>
      </c>
      <c r="Y36" s="696" t="str">
        <f t="shared" si="12"/>
        <v>--</v>
      </c>
      <c r="Z36" s="697">
        <f t="shared" si="15"/>
      </c>
      <c r="AA36" s="55">
        <f t="shared" si="13"/>
      </c>
      <c r="AB36" s="3"/>
    </row>
    <row r="37" spans="1:28" ht="16.5" customHeight="1">
      <c r="A37" s="1"/>
      <c r="B37" s="2"/>
      <c r="C37" s="506"/>
      <c r="D37" s="506"/>
      <c r="E37" s="506"/>
      <c r="F37" s="507"/>
      <c r="G37" s="508"/>
      <c r="H37" s="509"/>
      <c r="I37" s="268">
        <f t="shared" si="0"/>
        <v>33.916317675</v>
      </c>
      <c r="J37" s="514"/>
      <c r="K37" s="514"/>
      <c r="L37" s="13">
        <f t="shared" si="1"/>
      </c>
      <c r="M37" s="14">
        <f t="shared" si="2"/>
      </c>
      <c r="N37" s="515"/>
      <c r="O37" s="686">
        <f t="shared" si="14"/>
      </c>
      <c r="P37" s="687" t="str">
        <f t="shared" si="3"/>
        <v>--</v>
      </c>
      <c r="Q37" s="688" t="str">
        <f t="shared" si="4"/>
        <v>--</v>
      </c>
      <c r="R37" s="689" t="str">
        <f t="shared" si="5"/>
        <v>--</v>
      </c>
      <c r="S37" s="690" t="str">
        <f t="shared" si="6"/>
        <v>--</v>
      </c>
      <c r="T37" s="691" t="str">
        <f t="shared" si="7"/>
        <v>--</v>
      </c>
      <c r="U37" s="692" t="str">
        <f t="shared" si="8"/>
        <v>--</v>
      </c>
      <c r="V37" s="693" t="str">
        <f t="shared" si="9"/>
        <v>--</v>
      </c>
      <c r="W37" s="694" t="str">
        <f t="shared" si="10"/>
        <v>--</v>
      </c>
      <c r="X37" s="695" t="str">
        <f t="shared" si="11"/>
        <v>--</v>
      </c>
      <c r="Y37" s="696" t="str">
        <f t="shared" si="12"/>
        <v>--</v>
      </c>
      <c r="Z37" s="697">
        <f t="shared" si="15"/>
      </c>
      <c r="AA37" s="55">
        <f t="shared" si="13"/>
      </c>
      <c r="AB37" s="3"/>
    </row>
    <row r="38" spans="2:28" ht="16.5" customHeight="1">
      <c r="B38" s="56"/>
      <c r="C38" s="506"/>
      <c r="D38" s="506"/>
      <c r="E38" s="506"/>
      <c r="F38" s="507"/>
      <c r="G38" s="508"/>
      <c r="H38" s="509"/>
      <c r="I38" s="268">
        <f t="shared" si="0"/>
        <v>33.916317675</v>
      </c>
      <c r="J38" s="514"/>
      <c r="K38" s="514"/>
      <c r="L38" s="13">
        <f t="shared" si="1"/>
      </c>
      <c r="M38" s="14">
        <f t="shared" si="2"/>
      </c>
      <c r="N38" s="515"/>
      <c r="O38" s="686">
        <f t="shared" si="14"/>
      </c>
      <c r="P38" s="687" t="str">
        <f t="shared" si="3"/>
        <v>--</v>
      </c>
      <c r="Q38" s="688" t="str">
        <f t="shared" si="4"/>
        <v>--</v>
      </c>
      <c r="R38" s="689" t="str">
        <f t="shared" si="5"/>
        <v>--</v>
      </c>
      <c r="S38" s="690" t="str">
        <f t="shared" si="6"/>
        <v>--</v>
      </c>
      <c r="T38" s="691" t="str">
        <f t="shared" si="7"/>
        <v>--</v>
      </c>
      <c r="U38" s="692" t="str">
        <f t="shared" si="8"/>
        <v>--</v>
      </c>
      <c r="V38" s="693" t="str">
        <f t="shared" si="9"/>
        <v>--</v>
      </c>
      <c r="W38" s="694" t="str">
        <f t="shared" si="10"/>
        <v>--</v>
      </c>
      <c r="X38" s="695" t="str">
        <f t="shared" si="11"/>
        <v>--</v>
      </c>
      <c r="Y38" s="696" t="str">
        <f t="shared" si="12"/>
        <v>--</v>
      </c>
      <c r="Z38" s="697">
        <f t="shared" si="15"/>
      </c>
      <c r="AA38" s="55">
        <f t="shared" si="13"/>
      </c>
      <c r="AB38" s="3"/>
    </row>
    <row r="39" spans="2:28" ht="16.5" customHeight="1">
      <c r="B39" s="56"/>
      <c r="C39" s="506"/>
      <c r="D39" s="506"/>
      <c r="E39" s="506"/>
      <c r="F39" s="507"/>
      <c r="G39" s="508"/>
      <c r="H39" s="509"/>
      <c r="I39" s="268">
        <f t="shared" si="0"/>
        <v>33.916317675</v>
      </c>
      <c r="J39" s="514"/>
      <c r="K39" s="514"/>
      <c r="L39" s="13">
        <f t="shared" si="1"/>
      </c>
      <c r="M39" s="14">
        <f t="shared" si="2"/>
      </c>
      <c r="N39" s="515"/>
      <c r="O39" s="686">
        <f t="shared" si="14"/>
      </c>
      <c r="P39" s="687" t="str">
        <f t="shared" si="3"/>
        <v>--</v>
      </c>
      <c r="Q39" s="688" t="str">
        <f t="shared" si="4"/>
        <v>--</v>
      </c>
      <c r="R39" s="689" t="str">
        <f t="shared" si="5"/>
        <v>--</v>
      </c>
      <c r="S39" s="690" t="str">
        <f t="shared" si="6"/>
        <v>--</v>
      </c>
      <c r="T39" s="691" t="str">
        <f t="shared" si="7"/>
        <v>--</v>
      </c>
      <c r="U39" s="692" t="str">
        <f t="shared" si="8"/>
        <v>--</v>
      </c>
      <c r="V39" s="693" t="str">
        <f t="shared" si="9"/>
        <v>--</v>
      </c>
      <c r="W39" s="694" t="str">
        <f t="shared" si="10"/>
        <v>--</v>
      </c>
      <c r="X39" s="695" t="str">
        <f t="shared" si="11"/>
        <v>--</v>
      </c>
      <c r="Y39" s="696" t="str">
        <f t="shared" si="12"/>
        <v>--</v>
      </c>
      <c r="Z39" s="697">
        <f t="shared" si="15"/>
      </c>
      <c r="AA39" s="55">
        <f t="shared" si="13"/>
      </c>
      <c r="AB39" s="3"/>
    </row>
    <row r="40" spans="2:28" ht="16.5" customHeight="1">
      <c r="B40" s="56"/>
      <c r="C40" s="506"/>
      <c r="D40" s="506"/>
      <c r="E40" s="506"/>
      <c r="F40" s="507"/>
      <c r="G40" s="508"/>
      <c r="H40" s="509"/>
      <c r="I40" s="268">
        <f t="shared" si="0"/>
        <v>33.916317675</v>
      </c>
      <c r="J40" s="514"/>
      <c r="K40" s="514"/>
      <c r="L40" s="13">
        <f t="shared" si="1"/>
      </c>
      <c r="M40" s="14">
        <f t="shared" si="2"/>
      </c>
      <c r="N40" s="515"/>
      <c r="O40" s="686">
        <f t="shared" si="14"/>
      </c>
      <c r="P40" s="687" t="str">
        <f t="shared" si="3"/>
        <v>--</v>
      </c>
      <c r="Q40" s="688" t="str">
        <f t="shared" si="4"/>
        <v>--</v>
      </c>
      <c r="R40" s="689" t="str">
        <f t="shared" si="5"/>
        <v>--</v>
      </c>
      <c r="S40" s="690" t="str">
        <f t="shared" si="6"/>
        <v>--</v>
      </c>
      <c r="T40" s="691" t="str">
        <f t="shared" si="7"/>
        <v>--</v>
      </c>
      <c r="U40" s="692" t="str">
        <f t="shared" si="8"/>
        <v>--</v>
      </c>
      <c r="V40" s="693" t="str">
        <f t="shared" si="9"/>
        <v>--</v>
      </c>
      <c r="W40" s="694" t="str">
        <f t="shared" si="10"/>
        <v>--</v>
      </c>
      <c r="X40" s="695" t="str">
        <f t="shared" si="11"/>
        <v>--</v>
      </c>
      <c r="Y40" s="696" t="str">
        <f t="shared" si="12"/>
        <v>--</v>
      </c>
      <c r="Z40" s="697">
        <f t="shared" si="15"/>
      </c>
      <c r="AA40" s="55">
        <f t="shared" si="13"/>
      </c>
      <c r="AB40" s="3"/>
    </row>
    <row r="41" spans="2:28" ht="16.5" customHeight="1">
      <c r="B41" s="56"/>
      <c r="C41" s="506"/>
      <c r="D41" s="506"/>
      <c r="E41" s="506"/>
      <c r="F41" s="507"/>
      <c r="G41" s="508"/>
      <c r="H41" s="509"/>
      <c r="I41" s="268">
        <f t="shared" si="0"/>
        <v>33.916317675</v>
      </c>
      <c r="J41" s="514"/>
      <c r="K41" s="514"/>
      <c r="L41" s="13">
        <f t="shared" si="1"/>
      </c>
      <c r="M41" s="14">
        <f t="shared" si="2"/>
      </c>
      <c r="N41" s="515"/>
      <c r="O41" s="686">
        <f t="shared" si="14"/>
      </c>
      <c r="P41" s="687" t="str">
        <f t="shared" si="3"/>
        <v>--</v>
      </c>
      <c r="Q41" s="688" t="str">
        <f t="shared" si="4"/>
        <v>--</v>
      </c>
      <c r="R41" s="689" t="str">
        <f t="shared" si="5"/>
        <v>--</v>
      </c>
      <c r="S41" s="690" t="str">
        <f t="shared" si="6"/>
        <v>--</v>
      </c>
      <c r="T41" s="691" t="str">
        <f t="shared" si="7"/>
        <v>--</v>
      </c>
      <c r="U41" s="692" t="str">
        <f t="shared" si="8"/>
        <v>--</v>
      </c>
      <c r="V41" s="693" t="str">
        <f t="shared" si="9"/>
        <v>--</v>
      </c>
      <c r="W41" s="694" t="str">
        <f t="shared" si="10"/>
        <v>--</v>
      </c>
      <c r="X41" s="695" t="str">
        <f t="shared" si="11"/>
        <v>--</v>
      </c>
      <c r="Y41" s="696" t="str">
        <f t="shared" si="12"/>
        <v>--</v>
      </c>
      <c r="Z41" s="697">
        <f t="shared" si="15"/>
      </c>
      <c r="AA41" s="55">
        <f t="shared" si="13"/>
      </c>
      <c r="AB41" s="3"/>
    </row>
    <row r="42" spans="1:28" ht="16.5" customHeight="1" thickBot="1">
      <c r="A42" s="1"/>
      <c r="B42" s="2"/>
      <c r="C42" s="510"/>
      <c r="D42" s="510"/>
      <c r="E42" s="510"/>
      <c r="F42" s="511"/>
      <c r="G42" s="512"/>
      <c r="H42" s="513"/>
      <c r="I42" s="269"/>
      <c r="J42" s="513"/>
      <c r="K42" s="513"/>
      <c r="L42" s="15"/>
      <c r="M42" s="15"/>
      <c r="N42" s="513"/>
      <c r="O42" s="516"/>
      <c r="P42" s="517"/>
      <c r="Q42" s="518"/>
      <c r="R42" s="519"/>
      <c r="S42" s="520"/>
      <c r="T42" s="521"/>
      <c r="U42" s="522"/>
      <c r="V42" s="523"/>
      <c r="W42" s="524"/>
      <c r="X42" s="525"/>
      <c r="Y42" s="526"/>
      <c r="Z42" s="527"/>
      <c r="AA42" s="57"/>
      <c r="AB42" s="3"/>
    </row>
    <row r="43" spans="1:28" ht="16.5" customHeight="1" thickBot="1" thickTop="1">
      <c r="A43" s="1"/>
      <c r="B43" s="2"/>
      <c r="C43" s="718" t="s">
        <v>153</v>
      </c>
      <c r="D43" s="719" t="s">
        <v>151</v>
      </c>
      <c r="E43" s="681"/>
      <c r="F43" s="241"/>
      <c r="G43" s="16"/>
      <c r="H43" s="17"/>
      <c r="I43" s="58"/>
      <c r="J43" s="58"/>
      <c r="K43" s="58"/>
      <c r="L43" s="58"/>
      <c r="M43" s="58"/>
      <c r="N43" s="58"/>
      <c r="O43" s="59"/>
      <c r="P43" s="327">
        <f aca="true" t="shared" si="16" ref="P43:Y43">ROUND(SUM(P20:P42),2)</f>
        <v>248.4</v>
      </c>
      <c r="Q43" s="328">
        <f t="shared" si="16"/>
        <v>0</v>
      </c>
      <c r="R43" s="329">
        <f t="shared" si="16"/>
        <v>0</v>
      </c>
      <c r="S43" s="329">
        <f t="shared" si="16"/>
        <v>0</v>
      </c>
      <c r="T43" s="330">
        <f t="shared" si="16"/>
        <v>0</v>
      </c>
      <c r="U43" s="331">
        <f t="shared" si="16"/>
        <v>0</v>
      </c>
      <c r="V43" s="331">
        <f t="shared" si="16"/>
        <v>0</v>
      </c>
      <c r="W43" s="332">
        <f t="shared" si="16"/>
        <v>0</v>
      </c>
      <c r="X43" s="333">
        <f t="shared" si="16"/>
        <v>0</v>
      </c>
      <c r="Y43" s="334">
        <f t="shared" si="16"/>
        <v>0</v>
      </c>
      <c r="Z43" s="60"/>
      <c r="AA43" s="685">
        <f>ROUND(SUM(AA20:AA42),2)</f>
        <v>248.4</v>
      </c>
      <c r="AB43" s="61"/>
    </row>
    <row r="44" spans="1:28" s="255" customFormat="1" ht="9.75" thickTop="1">
      <c r="A44" s="244"/>
      <c r="B44" s="245"/>
      <c r="C44" s="242"/>
      <c r="D44" s="242"/>
      <c r="E44" s="242"/>
      <c r="F44" s="243"/>
      <c r="G44" s="246"/>
      <c r="H44" s="247"/>
      <c r="I44" s="248"/>
      <c r="J44" s="248"/>
      <c r="K44" s="248"/>
      <c r="L44" s="248"/>
      <c r="M44" s="248"/>
      <c r="N44" s="248"/>
      <c r="O44" s="249"/>
      <c r="P44" s="250"/>
      <c r="Q44" s="250"/>
      <c r="R44" s="251"/>
      <c r="S44" s="251"/>
      <c r="T44" s="252"/>
      <c r="U44" s="252"/>
      <c r="V44" s="252"/>
      <c r="W44" s="252"/>
      <c r="X44" s="252"/>
      <c r="Y44" s="252"/>
      <c r="Z44" s="252"/>
      <c r="AA44" s="253"/>
      <c r="AB44" s="254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A1">
      <selection activeCell="A24" sqref="A24:IV30"/>
    </sheetView>
  </sheetViews>
  <sheetFormatPr defaultColWidth="11.421875" defaultRowHeight="12.75"/>
  <cols>
    <col min="1" max="2" width="4.140625" style="638" customWidth="1"/>
    <col min="3" max="3" width="5.57421875" style="638" customWidth="1"/>
    <col min="4" max="5" width="13.7109375" style="638" customWidth="1"/>
    <col min="6" max="7" width="25.7109375" style="638" customWidth="1"/>
    <col min="8" max="8" width="7.7109375" style="638" customWidth="1"/>
    <col min="9" max="9" width="12.7109375" style="638" customWidth="1"/>
    <col min="10" max="10" width="11.8515625" style="638" hidden="1" customWidth="1"/>
    <col min="11" max="12" width="15.7109375" style="638" customWidth="1"/>
    <col min="13" max="15" width="9.7109375" style="638" customWidth="1"/>
    <col min="16" max="16" width="5.8515625" style="638" customWidth="1"/>
    <col min="17" max="18" width="7.00390625" style="638" customWidth="1"/>
    <col min="19" max="19" width="11.7109375" style="638" hidden="1" customWidth="1"/>
    <col min="20" max="21" width="14.00390625" style="638" hidden="1" customWidth="1"/>
    <col min="22" max="22" width="14.28125" style="638" hidden="1" customWidth="1"/>
    <col min="23" max="27" width="14.140625" style="638" hidden="1" customWidth="1"/>
    <col min="28" max="28" width="9.00390625" style="638" customWidth="1"/>
    <col min="29" max="29" width="15.7109375" style="638" customWidth="1"/>
    <col min="30" max="30" width="4.140625" style="638" customWidth="1"/>
    <col min="31" max="16384" width="11.421875" style="638" customWidth="1"/>
  </cols>
  <sheetData>
    <row r="1" spans="1:30" s="545" customFormat="1" ht="26.25">
      <c r="A1" s="109"/>
      <c r="B1" s="109"/>
      <c r="C1" s="109"/>
      <c r="D1" s="109"/>
      <c r="E1" s="109"/>
      <c r="F1" s="109"/>
      <c r="G1" s="109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4"/>
    </row>
    <row r="2" spans="1:30" s="545" customFormat="1" ht="26.25">
      <c r="A2" s="109"/>
      <c r="B2" s="110" t="str">
        <f>+'TOT-0513'!B2</f>
        <v>ANEXO V al Memorándum  D.T.E.E.  N°           / 2014.-</v>
      </c>
      <c r="C2" s="111"/>
      <c r="D2" s="111"/>
      <c r="E2" s="111"/>
      <c r="F2" s="111"/>
      <c r="G2" s="111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</row>
    <row r="3" spans="1:30" s="548" customFormat="1" ht="12.75">
      <c r="A3" s="10"/>
      <c r="B3" s="10"/>
      <c r="C3" s="10"/>
      <c r="D3" s="10"/>
      <c r="E3" s="10"/>
      <c r="F3" s="10"/>
      <c r="G3" s="10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</row>
    <row r="4" spans="1:30" s="550" customFormat="1" ht="11.25">
      <c r="A4" s="684" t="s">
        <v>16</v>
      </c>
      <c r="B4" s="112"/>
      <c r="C4" s="683"/>
      <c r="D4" s="683"/>
      <c r="E4" s="683"/>
      <c r="F4" s="112"/>
      <c r="G4" s="112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</row>
    <row r="5" spans="1:30" s="550" customFormat="1" ht="11.25">
      <c r="A5" s="684" t="s">
        <v>128</v>
      </c>
      <c r="B5" s="112"/>
      <c r="C5" s="683"/>
      <c r="D5" s="683"/>
      <c r="E5" s="683"/>
      <c r="F5" s="112"/>
      <c r="G5" s="112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</row>
    <row r="6" spans="1:30" s="548" customFormat="1" ht="13.5" thickBot="1">
      <c r="A6" s="547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</row>
    <row r="7" spans="1:30" s="548" customFormat="1" ht="13.5" thickTop="1">
      <c r="A7" s="547"/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3"/>
    </row>
    <row r="8" spans="1:30" s="557" customFormat="1" ht="20.25">
      <c r="A8" s="554"/>
      <c r="B8" s="555"/>
      <c r="C8" s="191"/>
      <c r="D8" s="191"/>
      <c r="E8" s="191"/>
      <c r="F8" s="556" t="s">
        <v>36</v>
      </c>
      <c r="H8" s="191"/>
      <c r="I8" s="554"/>
      <c r="J8" s="554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558"/>
    </row>
    <row r="9" spans="1:30" s="548" customFormat="1" ht="12.75">
      <c r="A9" s="547"/>
      <c r="B9" s="559"/>
      <c r="C9" s="178"/>
      <c r="D9" s="178"/>
      <c r="E9" s="178"/>
      <c r="F9" s="178"/>
      <c r="G9" s="178"/>
      <c r="H9" s="178"/>
      <c r="I9" s="547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560"/>
    </row>
    <row r="10" spans="1:30" s="557" customFormat="1" ht="20.25">
      <c r="A10" s="554"/>
      <c r="B10" s="555"/>
      <c r="C10" s="191"/>
      <c r="D10" s="191"/>
      <c r="E10" s="191"/>
      <c r="F10" s="556" t="s">
        <v>60</v>
      </c>
      <c r="G10" s="191"/>
      <c r="H10" s="191"/>
      <c r="I10" s="554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558"/>
    </row>
    <row r="11" spans="1:30" s="548" customFormat="1" ht="12.75">
      <c r="A11" s="547"/>
      <c r="B11" s="559"/>
      <c r="C11" s="178"/>
      <c r="D11" s="178"/>
      <c r="E11" s="178"/>
      <c r="F11" s="561"/>
      <c r="G11" s="178"/>
      <c r="H11" s="178"/>
      <c r="I11" s="54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560"/>
    </row>
    <row r="12" spans="1:30" s="557" customFormat="1" ht="20.25">
      <c r="A12" s="554"/>
      <c r="B12" s="555"/>
      <c r="C12" s="191"/>
      <c r="D12" s="191"/>
      <c r="E12" s="191"/>
      <c r="F12" s="556" t="s">
        <v>61</v>
      </c>
      <c r="G12" s="562"/>
      <c r="H12" s="554"/>
      <c r="I12" s="554"/>
      <c r="J12" s="191"/>
      <c r="K12" s="191"/>
      <c r="L12" s="554"/>
      <c r="M12" s="554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558"/>
    </row>
    <row r="13" spans="1:30" s="548" customFormat="1" ht="12.75">
      <c r="A13" s="547"/>
      <c r="B13" s="559"/>
      <c r="C13" s="178"/>
      <c r="D13" s="178"/>
      <c r="E13" s="178"/>
      <c r="F13" s="563"/>
      <c r="G13" s="564"/>
      <c r="H13" s="547"/>
      <c r="I13" s="547"/>
      <c r="J13" s="178"/>
      <c r="K13" s="178"/>
      <c r="L13" s="547"/>
      <c r="M13" s="547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560"/>
    </row>
    <row r="14" spans="1:30" s="557" customFormat="1" ht="20.25">
      <c r="A14" s="554"/>
      <c r="B14" s="555"/>
      <c r="C14" s="191"/>
      <c r="D14" s="191"/>
      <c r="E14" s="191"/>
      <c r="F14" s="556" t="s">
        <v>62</v>
      </c>
      <c r="G14" s="192"/>
      <c r="H14" s="192"/>
      <c r="I14" s="193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558"/>
    </row>
    <row r="15" spans="1:30" s="548" customFormat="1" ht="12.75">
      <c r="A15" s="547"/>
      <c r="B15" s="559"/>
      <c r="C15" s="178"/>
      <c r="D15" s="178"/>
      <c r="E15" s="178"/>
      <c r="F15" s="565"/>
      <c r="G15" s="179"/>
      <c r="H15" s="179"/>
      <c r="I15" s="180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560"/>
    </row>
    <row r="16" spans="1:30" s="571" customFormat="1" ht="19.5">
      <c r="A16" s="566"/>
      <c r="B16" s="87" t="str">
        <f>+'TOT-0513'!B14</f>
        <v>Desde el 01 al 31 de mayo de 2013</v>
      </c>
      <c r="C16" s="567"/>
      <c r="D16" s="567"/>
      <c r="E16" s="567"/>
      <c r="F16" s="567"/>
      <c r="G16" s="567"/>
      <c r="H16" s="567"/>
      <c r="I16" s="568"/>
      <c r="J16" s="567"/>
      <c r="K16" s="569"/>
      <c r="L16" s="569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70"/>
    </row>
    <row r="17" spans="1:30" s="548" customFormat="1" ht="14.25" thickBot="1">
      <c r="A17" s="547"/>
      <c r="B17" s="559"/>
      <c r="C17" s="178"/>
      <c r="D17" s="178"/>
      <c r="E17" s="178"/>
      <c r="F17" s="178"/>
      <c r="G17" s="178"/>
      <c r="H17" s="178"/>
      <c r="I17" s="37"/>
      <c r="J17" s="178"/>
      <c r="K17" s="572"/>
      <c r="L17" s="573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560"/>
    </row>
    <row r="18" spans="1:30" s="548" customFormat="1" ht="16.5" customHeight="1" thickBot="1" thickTop="1">
      <c r="A18" s="547"/>
      <c r="B18" s="559"/>
      <c r="C18" s="178"/>
      <c r="D18" s="178"/>
      <c r="E18" s="178"/>
      <c r="F18" s="198" t="s">
        <v>63</v>
      </c>
      <c r="G18" s="199"/>
      <c r="H18" s="574"/>
      <c r="I18" s="575">
        <v>0.473</v>
      </c>
      <c r="J18" s="547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560"/>
    </row>
    <row r="19" spans="1:30" s="548" customFormat="1" ht="16.5" customHeight="1" thickBot="1" thickTop="1">
      <c r="A19" s="547"/>
      <c r="B19" s="559"/>
      <c r="C19" s="178"/>
      <c r="D19" s="178"/>
      <c r="E19" s="178"/>
      <c r="F19" s="202" t="s">
        <v>64</v>
      </c>
      <c r="G19" s="203"/>
      <c r="H19" s="203"/>
      <c r="I19" s="204">
        <v>30</v>
      </c>
      <c r="J19" s="178"/>
      <c r="K19" s="238" t="str">
        <f>IF(I19=30," ",IF(I19=60,"Coeficiente duplicado por tasa de falla &gt;4 Sal. x año/100 km.","REVISAR COEFICIENTE"))</f>
        <v> 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576"/>
      <c r="X19" s="576"/>
      <c r="Y19" s="576"/>
      <c r="Z19" s="576"/>
      <c r="AA19" s="576"/>
      <c r="AB19" s="576"/>
      <c r="AC19" s="576"/>
      <c r="AD19" s="560"/>
    </row>
    <row r="20" spans="1:30" s="712" customFormat="1" ht="16.5" customHeight="1" thickBot="1" thickTop="1">
      <c r="A20" s="708"/>
      <c r="B20" s="709"/>
      <c r="C20" s="710">
        <v>3</v>
      </c>
      <c r="D20" s="710">
        <v>4</v>
      </c>
      <c r="E20" s="710">
        <v>5</v>
      </c>
      <c r="F20" s="710">
        <v>6</v>
      </c>
      <c r="G20" s="710">
        <v>7</v>
      </c>
      <c r="H20" s="710">
        <v>8</v>
      </c>
      <c r="I20" s="710">
        <v>9</v>
      </c>
      <c r="J20" s="710">
        <v>10</v>
      </c>
      <c r="K20" s="710">
        <v>11</v>
      </c>
      <c r="L20" s="710">
        <v>12</v>
      </c>
      <c r="M20" s="710">
        <v>13</v>
      </c>
      <c r="N20" s="710">
        <v>14</v>
      </c>
      <c r="O20" s="710">
        <v>15</v>
      </c>
      <c r="P20" s="710">
        <v>16</v>
      </c>
      <c r="Q20" s="710">
        <v>17</v>
      </c>
      <c r="R20" s="710">
        <v>18</v>
      </c>
      <c r="S20" s="710">
        <v>19</v>
      </c>
      <c r="T20" s="710">
        <v>20</v>
      </c>
      <c r="U20" s="710">
        <v>21</v>
      </c>
      <c r="V20" s="710">
        <v>22</v>
      </c>
      <c r="W20" s="710">
        <v>23</v>
      </c>
      <c r="X20" s="710">
        <v>24</v>
      </c>
      <c r="Y20" s="710">
        <v>25</v>
      </c>
      <c r="Z20" s="710">
        <v>26</v>
      </c>
      <c r="AA20" s="710">
        <v>27</v>
      </c>
      <c r="AB20" s="710">
        <v>28</v>
      </c>
      <c r="AC20" s="710">
        <v>29</v>
      </c>
      <c r="AD20" s="711"/>
    </row>
    <row r="21" spans="1:30" s="586" customFormat="1" ht="33.75" customHeight="1" thickBot="1" thickTop="1">
      <c r="A21" s="577"/>
      <c r="B21" s="578"/>
      <c r="C21" s="214" t="s">
        <v>42</v>
      </c>
      <c r="D21" s="101" t="s">
        <v>127</v>
      </c>
      <c r="E21" s="101" t="s">
        <v>126</v>
      </c>
      <c r="F21" s="213" t="s">
        <v>65</v>
      </c>
      <c r="G21" s="209" t="s">
        <v>14</v>
      </c>
      <c r="H21" s="210" t="s">
        <v>66</v>
      </c>
      <c r="I21" s="213" t="s">
        <v>43</v>
      </c>
      <c r="J21" s="265" t="s">
        <v>45</v>
      </c>
      <c r="K21" s="212" t="s">
        <v>67</v>
      </c>
      <c r="L21" s="212" t="s">
        <v>68</v>
      </c>
      <c r="M21" s="213" t="s">
        <v>69</v>
      </c>
      <c r="N21" s="213" t="s">
        <v>70</v>
      </c>
      <c r="O21" s="105" t="s">
        <v>50</v>
      </c>
      <c r="P21" s="214" t="s">
        <v>71</v>
      </c>
      <c r="Q21" s="213" t="s">
        <v>72</v>
      </c>
      <c r="R21" s="209" t="s">
        <v>73</v>
      </c>
      <c r="S21" s="335" t="s">
        <v>74</v>
      </c>
      <c r="T21" s="579" t="s">
        <v>52</v>
      </c>
      <c r="U21" s="580" t="s">
        <v>53</v>
      </c>
      <c r="V21" s="351" t="s">
        <v>75</v>
      </c>
      <c r="W21" s="581"/>
      <c r="X21" s="360" t="s">
        <v>75</v>
      </c>
      <c r="Y21" s="582"/>
      <c r="Z21" s="583" t="s">
        <v>56</v>
      </c>
      <c r="AA21" s="584" t="s">
        <v>57</v>
      </c>
      <c r="AB21" s="213" t="s">
        <v>58</v>
      </c>
      <c r="AC21" s="213" t="s">
        <v>59</v>
      </c>
      <c r="AD21" s="585"/>
    </row>
    <row r="22" spans="1:30" s="548" customFormat="1" ht="16.5" customHeight="1" thickTop="1">
      <c r="A22" s="547"/>
      <c r="B22" s="559"/>
      <c r="C22" s="587"/>
      <c r="D22" s="587"/>
      <c r="E22" s="587"/>
      <c r="F22" s="588"/>
      <c r="G22" s="589"/>
      <c r="H22" s="589"/>
      <c r="I22" s="589"/>
      <c r="J22" s="590"/>
      <c r="K22" s="588"/>
      <c r="L22" s="589"/>
      <c r="M22" s="588"/>
      <c r="N22" s="588"/>
      <c r="O22" s="589"/>
      <c r="P22" s="589"/>
      <c r="Q22" s="589"/>
      <c r="R22" s="589"/>
      <c r="S22" s="591"/>
      <c r="T22" s="592"/>
      <c r="U22" s="593"/>
      <c r="V22" s="594"/>
      <c r="W22" s="595"/>
      <c r="X22" s="596"/>
      <c r="Y22" s="597"/>
      <c r="Z22" s="598"/>
      <c r="AA22" s="599"/>
      <c r="AB22" s="589"/>
      <c r="AC22" s="600"/>
      <c r="AD22" s="560"/>
    </row>
    <row r="23" spans="1:30" s="548" customFormat="1" ht="16.5" customHeight="1">
      <c r="A23" s="547"/>
      <c r="B23" s="559"/>
      <c r="C23" s="587"/>
      <c r="D23" s="587"/>
      <c r="E23" s="587"/>
      <c r="F23" s="601"/>
      <c r="G23" s="601"/>
      <c r="H23" s="601"/>
      <c r="I23" s="601"/>
      <c r="J23" s="602"/>
      <c r="K23" s="603"/>
      <c r="L23" s="601"/>
      <c r="M23" s="603"/>
      <c r="N23" s="603"/>
      <c r="O23" s="601"/>
      <c r="P23" s="601"/>
      <c r="Q23" s="601"/>
      <c r="R23" s="601"/>
      <c r="S23" s="604"/>
      <c r="T23" s="605"/>
      <c r="U23" s="606"/>
      <c r="V23" s="607"/>
      <c r="W23" s="608"/>
      <c r="X23" s="609"/>
      <c r="Y23" s="610"/>
      <c r="Z23" s="611"/>
      <c r="AA23" s="612"/>
      <c r="AB23" s="601"/>
      <c r="AC23" s="613"/>
      <c r="AD23" s="560"/>
    </row>
    <row r="24" spans="1:30" s="548" customFormat="1" ht="16.5" customHeight="1">
      <c r="A24" s="547"/>
      <c r="B24" s="559"/>
      <c r="C24" s="641">
        <v>8</v>
      </c>
      <c r="D24" s="641">
        <v>260565</v>
      </c>
      <c r="E24" s="641">
        <v>1809</v>
      </c>
      <c r="F24" s="507" t="s">
        <v>136</v>
      </c>
      <c r="G24" s="506" t="s">
        <v>137</v>
      </c>
      <c r="H24" s="642">
        <v>30</v>
      </c>
      <c r="I24" s="678" t="s">
        <v>138</v>
      </c>
      <c r="J24" s="268">
        <f aca="true" t="shared" si="0" ref="J24:J43">H24*$I$18</f>
        <v>14.19</v>
      </c>
      <c r="K24" s="645">
        <v>41406.368055555555</v>
      </c>
      <c r="L24" s="645">
        <v>41406.677083333336</v>
      </c>
      <c r="M24" s="26">
        <f aca="true" t="shared" si="1" ref="M24:M43">IF(F24="","",(L24-K24)*24)</f>
        <v>7.416666666744277</v>
      </c>
      <c r="N24" s="27">
        <f aca="true" t="shared" si="2" ref="N24:N43">IF(F24="","",ROUND((L24-K24)*24*60,0))</f>
        <v>445</v>
      </c>
      <c r="O24" s="646" t="s">
        <v>133</v>
      </c>
      <c r="P24" s="25" t="str">
        <f aca="true" t="shared" si="3" ref="P24:P43">IF(F24="","",IF(OR(O24="P",O24="RP"),"--","NO"))</f>
        <v>--</v>
      </c>
      <c r="Q24" s="698" t="str">
        <f aca="true" t="shared" si="4" ref="Q24:Q43">IF(F24="","","--")</f>
        <v>--</v>
      </c>
      <c r="R24" s="25" t="str">
        <f aca="true" t="shared" si="5" ref="R24:R43">IF(F24="","","NO")</f>
        <v>NO</v>
      </c>
      <c r="S24" s="338">
        <f aca="true" t="shared" si="6" ref="S24:S43">$I$19*IF(OR(O24="P",O24="RP"),0.1,1)*IF(R24="SI",1,0.1)</f>
        <v>0.30000000000000004</v>
      </c>
      <c r="T24" s="699">
        <f aca="true" t="shared" si="7" ref="T24:T43">IF(O24="P",J24*S24*ROUND(N24/60,2),"--")</f>
        <v>31.586940000000006</v>
      </c>
      <c r="U24" s="700" t="str">
        <f aca="true" t="shared" si="8" ref="U24:U43">IF(O24="RP",J24*S24*ROUND(N24/60,2)*Q24/100,"--")</f>
        <v>--</v>
      </c>
      <c r="V24" s="357" t="str">
        <f aca="true" t="shared" si="9" ref="V24:V43">IF(AND(O24="F",P24="NO"),J24*S24,"--")</f>
        <v>--</v>
      </c>
      <c r="W24" s="358" t="str">
        <f aca="true" t="shared" si="10" ref="W24:W43">IF(O24="F",J24*S24*ROUND(N24/60,2),"--")</f>
        <v>--</v>
      </c>
      <c r="X24" s="366" t="str">
        <f aca="true" t="shared" si="11" ref="X24:X43">IF(AND(O24="R",P24="NO"),J24*S24*Q24/100,"--")</f>
        <v>--</v>
      </c>
      <c r="Y24" s="367" t="str">
        <f aca="true" t="shared" si="12" ref="Y24:Y43">IF(O24="R",J24*S24*ROUND(N24/60,2)*Q24/100,"--")</f>
        <v>--</v>
      </c>
      <c r="Z24" s="372" t="str">
        <f aca="true" t="shared" si="13" ref="Z24:Z43">IF(O24="RF",J24*S24*ROUND(N24/60,2),"--")</f>
        <v>--</v>
      </c>
      <c r="AA24" s="378" t="str">
        <f aca="true" t="shared" si="14" ref="AA24:AA43">IF(O24="RR",J24*S24*ROUND(N24/60,2)*Q24/100,"--")</f>
        <v>--</v>
      </c>
      <c r="AB24" s="25" t="s">
        <v>134</v>
      </c>
      <c r="AC24" s="614">
        <f aca="true" t="shared" si="15" ref="AC24:AC43">IF(F24="","",SUM(T24:AA24)*IF(AB24="SI",1,2))</f>
        <v>31.586940000000006</v>
      </c>
      <c r="AD24" s="615"/>
    </row>
    <row r="25" spans="1:30" s="548" customFormat="1" ht="16.5" customHeight="1">
      <c r="A25" s="547"/>
      <c r="B25" s="559"/>
      <c r="C25" s="641">
        <v>9</v>
      </c>
      <c r="D25" s="641">
        <v>260756</v>
      </c>
      <c r="E25" s="641">
        <v>1795</v>
      </c>
      <c r="F25" s="507" t="s">
        <v>139</v>
      </c>
      <c r="G25" s="506" t="s">
        <v>140</v>
      </c>
      <c r="H25" s="642">
        <v>5</v>
      </c>
      <c r="I25" s="717" t="s">
        <v>150</v>
      </c>
      <c r="J25" s="268">
        <f t="shared" si="0"/>
        <v>2.3649999999999998</v>
      </c>
      <c r="K25" s="645">
        <v>41408.37291666667</v>
      </c>
      <c r="L25" s="645">
        <v>41408.57916666667</v>
      </c>
      <c r="M25" s="26">
        <f t="shared" si="1"/>
        <v>4.950000000069849</v>
      </c>
      <c r="N25" s="27">
        <f t="shared" si="2"/>
        <v>297</v>
      </c>
      <c r="O25" s="646" t="s">
        <v>133</v>
      </c>
      <c r="P25" s="25" t="str">
        <f t="shared" si="3"/>
        <v>--</v>
      </c>
      <c r="Q25" s="698" t="str">
        <f t="shared" si="4"/>
        <v>--</v>
      </c>
      <c r="R25" s="25" t="str">
        <f t="shared" si="5"/>
        <v>NO</v>
      </c>
      <c r="S25" s="338">
        <f t="shared" si="6"/>
        <v>0.30000000000000004</v>
      </c>
      <c r="T25" s="699">
        <f t="shared" si="7"/>
        <v>3.5120250000000004</v>
      </c>
      <c r="U25" s="700" t="str">
        <f t="shared" si="8"/>
        <v>--</v>
      </c>
      <c r="V25" s="357" t="str">
        <f t="shared" si="9"/>
        <v>--</v>
      </c>
      <c r="W25" s="358" t="str">
        <f t="shared" si="10"/>
        <v>--</v>
      </c>
      <c r="X25" s="366" t="str">
        <f t="shared" si="11"/>
        <v>--</v>
      </c>
      <c r="Y25" s="367" t="str">
        <f t="shared" si="12"/>
        <v>--</v>
      </c>
      <c r="Z25" s="372" t="str">
        <f t="shared" si="13"/>
        <v>--</v>
      </c>
      <c r="AA25" s="378" t="str">
        <f t="shared" si="14"/>
        <v>--</v>
      </c>
      <c r="AB25" s="25" t="s">
        <v>134</v>
      </c>
      <c r="AC25" s="614">
        <f t="shared" si="15"/>
        <v>3.5120250000000004</v>
      </c>
      <c r="AD25" s="615"/>
    </row>
    <row r="26" spans="1:30" s="548" customFormat="1" ht="16.5" customHeight="1">
      <c r="A26" s="547"/>
      <c r="B26" s="559"/>
      <c r="C26" s="641">
        <v>10</v>
      </c>
      <c r="D26" s="641">
        <v>260757</v>
      </c>
      <c r="E26" s="641">
        <v>1796</v>
      </c>
      <c r="F26" s="507" t="s">
        <v>139</v>
      </c>
      <c r="G26" s="506" t="s">
        <v>141</v>
      </c>
      <c r="H26" s="642">
        <v>5</v>
      </c>
      <c r="I26" s="717" t="s">
        <v>150</v>
      </c>
      <c r="J26" s="268">
        <f t="shared" si="0"/>
        <v>2.3649999999999998</v>
      </c>
      <c r="K26" s="645">
        <v>41408.37291666667</v>
      </c>
      <c r="L26" s="645">
        <v>41408.379166666666</v>
      </c>
      <c r="M26" s="26">
        <f t="shared" si="1"/>
        <v>0.1499999999650754</v>
      </c>
      <c r="N26" s="27">
        <f t="shared" si="2"/>
        <v>9</v>
      </c>
      <c r="O26" s="646" t="s">
        <v>142</v>
      </c>
      <c r="P26" s="25" t="str">
        <f t="shared" si="3"/>
        <v>NO</v>
      </c>
      <c r="Q26" s="698" t="str">
        <f t="shared" si="4"/>
        <v>--</v>
      </c>
      <c r="R26" s="25" t="s">
        <v>134</v>
      </c>
      <c r="S26" s="338">
        <f t="shared" si="6"/>
        <v>30</v>
      </c>
      <c r="T26" s="699" t="str">
        <f t="shared" si="7"/>
        <v>--</v>
      </c>
      <c r="U26" s="700" t="str">
        <f t="shared" si="8"/>
        <v>--</v>
      </c>
      <c r="V26" s="357">
        <f t="shared" si="9"/>
        <v>70.94999999999999</v>
      </c>
      <c r="W26" s="358">
        <f t="shared" si="10"/>
        <v>10.642499999999998</v>
      </c>
      <c r="X26" s="366" t="str">
        <f t="shared" si="11"/>
        <v>--</v>
      </c>
      <c r="Y26" s="367" t="str">
        <f t="shared" si="12"/>
        <v>--</v>
      </c>
      <c r="Z26" s="372" t="str">
        <f t="shared" si="13"/>
        <v>--</v>
      </c>
      <c r="AA26" s="378" t="str">
        <f t="shared" si="14"/>
        <v>--</v>
      </c>
      <c r="AB26" s="25" t="s">
        <v>134</v>
      </c>
      <c r="AC26" s="614">
        <f t="shared" si="15"/>
        <v>81.59249999999999</v>
      </c>
      <c r="AD26" s="615"/>
    </row>
    <row r="27" spans="1:30" s="548" customFormat="1" ht="16.5" customHeight="1">
      <c r="A27" s="547"/>
      <c r="B27" s="559"/>
      <c r="C27" s="641">
        <v>11</v>
      </c>
      <c r="D27" s="641">
        <v>260762</v>
      </c>
      <c r="E27" s="641">
        <v>1795</v>
      </c>
      <c r="F27" s="507" t="s">
        <v>139</v>
      </c>
      <c r="G27" s="506" t="s">
        <v>140</v>
      </c>
      <c r="H27" s="642">
        <v>5</v>
      </c>
      <c r="I27" s="717" t="s">
        <v>150</v>
      </c>
      <c r="J27" s="268">
        <f t="shared" si="0"/>
        <v>2.3649999999999998</v>
      </c>
      <c r="K27" s="645">
        <v>41409.36944444444</v>
      </c>
      <c r="L27" s="645">
        <v>41409.58611111111</v>
      </c>
      <c r="M27" s="26">
        <f t="shared" si="1"/>
        <v>5.2000000000116415</v>
      </c>
      <c r="N27" s="27">
        <f t="shared" si="2"/>
        <v>312</v>
      </c>
      <c r="O27" s="646" t="s">
        <v>133</v>
      </c>
      <c r="P27" s="25" t="str">
        <f t="shared" si="3"/>
        <v>--</v>
      </c>
      <c r="Q27" s="698" t="str">
        <f t="shared" si="4"/>
        <v>--</v>
      </c>
      <c r="R27" s="25" t="str">
        <f t="shared" si="5"/>
        <v>NO</v>
      </c>
      <c r="S27" s="338">
        <f t="shared" si="6"/>
        <v>0.30000000000000004</v>
      </c>
      <c r="T27" s="699">
        <f t="shared" si="7"/>
        <v>3.6894</v>
      </c>
      <c r="U27" s="700" t="str">
        <f t="shared" si="8"/>
        <v>--</v>
      </c>
      <c r="V27" s="357" t="str">
        <f t="shared" si="9"/>
        <v>--</v>
      </c>
      <c r="W27" s="358" t="str">
        <f t="shared" si="10"/>
        <v>--</v>
      </c>
      <c r="X27" s="366" t="str">
        <f t="shared" si="11"/>
        <v>--</v>
      </c>
      <c r="Y27" s="367" t="str">
        <f t="shared" si="12"/>
        <v>--</v>
      </c>
      <c r="Z27" s="372" t="str">
        <f t="shared" si="13"/>
        <v>--</v>
      </c>
      <c r="AA27" s="378" t="str">
        <f t="shared" si="14"/>
        <v>--</v>
      </c>
      <c r="AB27" s="25" t="s">
        <v>134</v>
      </c>
      <c r="AC27" s="614">
        <f t="shared" si="15"/>
        <v>3.6894</v>
      </c>
      <c r="AD27" s="615"/>
    </row>
    <row r="28" spans="1:30" s="548" customFormat="1" ht="16.5" customHeight="1">
      <c r="A28" s="547"/>
      <c r="B28" s="559"/>
      <c r="C28" s="641">
        <v>12</v>
      </c>
      <c r="D28" s="641">
        <v>260763</v>
      </c>
      <c r="E28" s="641">
        <v>1795</v>
      </c>
      <c r="F28" s="507" t="s">
        <v>139</v>
      </c>
      <c r="G28" s="506" t="s">
        <v>140</v>
      </c>
      <c r="H28" s="642">
        <v>5</v>
      </c>
      <c r="I28" s="717" t="s">
        <v>150</v>
      </c>
      <c r="J28" s="268">
        <f t="shared" si="0"/>
        <v>2.3649999999999998</v>
      </c>
      <c r="K28" s="645">
        <v>41410.21111111111</v>
      </c>
      <c r="L28" s="645">
        <v>41410.60625</v>
      </c>
      <c r="M28" s="26">
        <f t="shared" si="1"/>
        <v>9.483333333337214</v>
      </c>
      <c r="N28" s="27">
        <f t="shared" si="2"/>
        <v>569</v>
      </c>
      <c r="O28" s="646" t="s">
        <v>133</v>
      </c>
      <c r="P28" s="25" t="str">
        <f t="shared" si="3"/>
        <v>--</v>
      </c>
      <c r="Q28" s="698" t="str">
        <f t="shared" si="4"/>
        <v>--</v>
      </c>
      <c r="R28" s="25" t="str">
        <f t="shared" si="5"/>
        <v>NO</v>
      </c>
      <c r="S28" s="338">
        <f t="shared" si="6"/>
        <v>0.30000000000000004</v>
      </c>
      <c r="T28" s="699">
        <f t="shared" si="7"/>
        <v>6.72606</v>
      </c>
      <c r="U28" s="700" t="str">
        <f t="shared" si="8"/>
        <v>--</v>
      </c>
      <c r="V28" s="357" t="str">
        <f t="shared" si="9"/>
        <v>--</v>
      </c>
      <c r="W28" s="358" t="str">
        <f t="shared" si="10"/>
        <v>--</v>
      </c>
      <c r="X28" s="366" t="str">
        <f t="shared" si="11"/>
        <v>--</v>
      </c>
      <c r="Y28" s="367" t="str">
        <f t="shared" si="12"/>
        <v>--</v>
      </c>
      <c r="Z28" s="372" t="str">
        <f t="shared" si="13"/>
        <v>--</v>
      </c>
      <c r="AA28" s="378" t="str">
        <f t="shared" si="14"/>
        <v>--</v>
      </c>
      <c r="AB28" s="25" t="s">
        <v>134</v>
      </c>
      <c r="AC28" s="614">
        <f t="shared" si="15"/>
        <v>6.72606</v>
      </c>
      <c r="AD28" s="615"/>
    </row>
    <row r="29" spans="1:30" s="548" customFormat="1" ht="16.5" customHeight="1">
      <c r="A29" s="547"/>
      <c r="B29" s="559"/>
      <c r="C29" s="641">
        <v>13</v>
      </c>
      <c r="D29" s="641">
        <v>261168</v>
      </c>
      <c r="E29" s="641">
        <v>1796</v>
      </c>
      <c r="F29" s="507" t="s">
        <v>139</v>
      </c>
      <c r="G29" s="506" t="s">
        <v>141</v>
      </c>
      <c r="H29" s="642">
        <v>5</v>
      </c>
      <c r="I29" s="717" t="s">
        <v>150</v>
      </c>
      <c r="J29" s="268">
        <f t="shared" si="0"/>
        <v>2.3649999999999998</v>
      </c>
      <c r="K29" s="645">
        <v>41423.37569444445</v>
      </c>
      <c r="L29" s="645">
        <v>41423.54027777778</v>
      </c>
      <c r="M29" s="26">
        <f t="shared" si="1"/>
        <v>3.949999999953434</v>
      </c>
      <c r="N29" s="27">
        <f t="shared" si="2"/>
        <v>237</v>
      </c>
      <c r="O29" s="646" t="s">
        <v>133</v>
      </c>
      <c r="P29" s="25" t="str">
        <f t="shared" si="3"/>
        <v>--</v>
      </c>
      <c r="Q29" s="698" t="str">
        <f t="shared" si="4"/>
        <v>--</v>
      </c>
      <c r="R29" s="25" t="str">
        <f t="shared" si="5"/>
        <v>NO</v>
      </c>
      <c r="S29" s="338">
        <f t="shared" si="6"/>
        <v>0.30000000000000004</v>
      </c>
      <c r="T29" s="699">
        <f t="shared" si="7"/>
        <v>2.802525</v>
      </c>
      <c r="U29" s="700" t="str">
        <f t="shared" si="8"/>
        <v>--</v>
      </c>
      <c r="V29" s="357" t="str">
        <f t="shared" si="9"/>
        <v>--</v>
      </c>
      <c r="W29" s="358" t="str">
        <f t="shared" si="10"/>
        <v>--</v>
      </c>
      <c r="X29" s="366" t="str">
        <f t="shared" si="11"/>
        <v>--</v>
      </c>
      <c r="Y29" s="367" t="str">
        <f t="shared" si="12"/>
        <v>--</v>
      </c>
      <c r="Z29" s="372" t="str">
        <f t="shared" si="13"/>
        <v>--</v>
      </c>
      <c r="AA29" s="378" t="str">
        <f t="shared" si="14"/>
        <v>--</v>
      </c>
      <c r="AB29" s="25" t="s">
        <v>134</v>
      </c>
      <c r="AC29" s="614">
        <f t="shared" si="15"/>
        <v>2.802525</v>
      </c>
      <c r="AD29" s="615"/>
    </row>
    <row r="30" spans="1:30" s="548" customFormat="1" ht="16.5" customHeight="1">
      <c r="A30" s="547"/>
      <c r="B30" s="559"/>
      <c r="C30" s="641">
        <v>14</v>
      </c>
      <c r="D30" s="641">
        <v>261169</v>
      </c>
      <c r="E30" s="641">
        <v>1796</v>
      </c>
      <c r="F30" s="507" t="s">
        <v>139</v>
      </c>
      <c r="G30" s="506" t="s">
        <v>141</v>
      </c>
      <c r="H30" s="642">
        <v>5</v>
      </c>
      <c r="I30" s="717" t="s">
        <v>150</v>
      </c>
      <c r="J30" s="268">
        <f t="shared" si="0"/>
        <v>2.3649999999999998</v>
      </c>
      <c r="K30" s="645">
        <v>41424.225694444445</v>
      </c>
      <c r="L30" s="645">
        <v>41424.589583333334</v>
      </c>
      <c r="M30" s="26">
        <f t="shared" si="1"/>
        <v>8.733333333337214</v>
      </c>
      <c r="N30" s="27">
        <f t="shared" si="2"/>
        <v>524</v>
      </c>
      <c r="O30" s="646" t="s">
        <v>133</v>
      </c>
      <c r="P30" s="25" t="str">
        <f t="shared" si="3"/>
        <v>--</v>
      </c>
      <c r="Q30" s="698" t="str">
        <f t="shared" si="4"/>
        <v>--</v>
      </c>
      <c r="R30" s="25" t="str">
        <f t="shared" si="5"/>
        <v>NO</v>
      </c>
      <c r="S30" s="338">
        <f t="shared" si="6"/>
        <v>0.30000000000000004</v>
      </c>
      <c r="T30" s="699">
        <f t="shared" si="7"/>
        <v>6.193935000000001</v>
      </c>
      <c r="U30" s="700" t="str">
        <f t="shared" si="8"/>
        <v>--</v>
      </c>
      <c r="V30" s="357" t="str">
        <f t="shared" si="9"/>
        <v>--</v>
      </c>
      <c r="W30" s="358" t="str">
        <f t="shared" si="10"/>
        <v>--</v>
      </c>
      <c r="X30" s="366" t="str">
        <f t="shared" si="11"/>
        <v>--</v>
      </c>
      <c r="Y30" s="367" t="str">
        <f t="shared" si="12"/>
        <v>--</v>
      </c>
      <c r="Z30" s="372" t="str">
        <f t="shared" si="13"/>
        <v>--</v>
      </c>
      <c r="AA30" s="378" t="str">
        <f t="shared" si="14"/>
        <v>--</v>
      </c>
      <c r="AB30" s="25" t="s">
        <v>134</v>
      </c>
      <c r="AC30" s="614">
        <f t="shared" si="15"/>
        <v>6.193935000000001</v>
      </c>
      <c r="AD30" s="615"/>
    </row>
    <row r="31" spans="1:30" s="548" customFormat="1" ht="16.5" customHeight="1">
      <c r="A31" s="547"/>
      <c r="B31" s="559"/>
      <c r="C31" s="641"/>
      <c r="D31" s="641"/>
      <c r="E31" s="641"/>
      <c r="F31" s="507"/>
      <c r="G31" s="506"/>
      <c r="H31" s="642"/>
      <c r="I31" s="643"/>
      <c r="J31" s="268">
        <f t="shared" si="0"/>
        <v>0</v>
      </c>
      <c r="K31" s="645"/>
      <c r="L31" s="645"/>
      <c r="M31" s="26">
        <f t="shared" si="1"/>
      </c>
      <c r="N31" s="27">
        <f t="shared" si="2"/>
      </c>
      <c r="O31" s="646"/>
      <c r="P31" s="25">
        <f t="shared" si="3"/>
      </c>
      <c r="Q31" s="698">
        <f t="shared" si="4"/>
      </c>
      <c r="R31" s="25">
        <f t="shared" si="5"/>
      </c>
      <c r="S31" s="338">
        <f t="shared" si="6"/>
        <v>3</v>
      </c>
      <c r="T31" s="699" t="str">
        <f t="shared" si="7"/>
        <v>--</v>
      </c>
      <c r="U31" s="700" t="str">
        <f t="shared" si="8"/>
        <v>--</v>
      </c>
      <c r="V31" s="357" t="str">
        <f t="shared" si="9"/>
        <v>--</v>
      </c>
      <c r="W31" s="358" t="str">
        <f t="shared" si="10"/>
        <v>--</v>
      </c>
      <c r="X31" s="366" t="str">
        <f t="shared" si="11"/>
        <v>--</v>
      </c>
      <c r="Y31" s="367" t="str">
        <f t="shared" si="12"/>
        <v>--</v>
      </c>
      <c r="Z31" s="372" t="str">
        <f t="shared" si="13"/>
        <v>--</v>
      </c>
      <c r="AA31" s="378" t="str">
        <f t="shared" si="14"/>
        <v>--</v>
      </c>
      <c r="AB31" s="25">
        <f aca="true" t="shared" si="16" ref="AB31:AB43">IF(F31="","","SI")</f>
      </c>
      <c r="AC31" s="614">
        <f t="shared" si="15"/>
      </c>
      <c r="AD31" s="615"/>
    </row>
    <row r="32" spans="1:30" s="548" customFormat="1" ht="16.5" customHeight="1">
      <c r="A32" s="547"/>
      <c r="B32" s="559"/>
      <c r="C32" s="641"/>
      <c r="D32" s="641"/>
      <c r="E32" s="641"/>
      <c r="F32" s="507"/>
      <c r="G32" s="506"/>
      <c r="H32" s="642"/>
      <c r="I32" s="643"/>
      <c r="J32" s="268">
        <f t="shared" si="0"/>
        <v>0</v>
      </c>
      <c r="K32" s="645"/>
      <c r="L32" s="645"/>
      <c r="M32" s="26">
        <f t="shared" si="1"/>
      </c>
      <c r="N32" s="27">
        <f t="shared" si="2"/>
      </c>
      <c r="O32" s="646"/>
      <c r="P32" s="25">
        <f t="shared" si="3"/>
      </c>
      <c r="Q32" s="698">
        <f t="shared" si="4"/>
      </c>
      <c r="R32" s="25">
        <f t="shared" si="5"/>
      </c>
      <c r="S32" s="338">
        <f t="shared" si="6"/>
        <v>3</v>
      </c>
      <c r="T32" s="699" t="str">
        <f t="shared" si="7"/>
        <v>--</v>
      </c>
      <c r="U32" s="700" t="str">
        <f t="shared" si="8"/>
        <v>--</v>
      </c>
      <c r="V32" s="357" t="str">
        <f t="shared" si="9"/>
        <v>--</v>
      </c>
      <c r="W32" s="358" t="str">
        <f t="shared" si="10"/>
        <v>--</v>
      </c>
      <c r="X32" s="366" t="str">
        <f t="shared" si="11"/>
        <v>--</v>
      </c>
      <c r="Y32" s="367" t="str">
        <f t="shared" si="12"/>
        <v>--</v>
      </c>
      <c r="Z32" s="372" t="str">
        <f t="shared" si="13"/>
        <v>--</v>
      </c>
      <c r="AA32" s="378" t="str">
        <f t="shared" si="14"/>
        <v>--</v>
      </c>
      <c r="AB32" s="25">
        <f t="shared" si="16"/>
      </c>
      <c r="AC32" s="614">
        <f t="shared" si="15"/>
      </c>
      <c r="AD32" s="560"/>
    </row>
    <row r="33" spans="1:30" s="548" customFormat="1" ht="16.5" customHeight="1">
      <c r="A33" s="547"/>
      <c r="B33" s="559"/>
      <c r="C33" s="641"/>
      <c r="D33" s="641"/>
      <c r="E33" s="641"/>
      <c r="F33" s="507"/>
      <c r="G33" s="506"/>
      <c r="H33" s="642"/>
      <c r="I33" s="643"/>
      <c r="J33" s="268">
        <f t="shared" si="0"/>
        <v>0</v>
      </c>
      <c r="K33" s="645"/>
      <c r="L33" s="645"/>
      <c r="M33" s="26">
        <f t="shared" si="1"/>
      </c>
      <c r="N33" s="27">
        <f t="shared" si="2"/>
      </c>
      <c r="O33" s="646"/>
      <c r="P33" s="25">
        <f t="shared" si="3"/>
      </c>
      <c r="Q33" s="698">
        <f t="shared" si="4"/>
      </c>
      <c r="R33" s="25">
        <f t="shared" si="5"/>
      </c>
      <c r="S33" s="338">
        <f t="shared" si="6"/>
        <v>3</v>
      </c>
      <c r="T33" s="699" t="str">
        <f t="shared" si="7"/>
        <v>--</v>
      </c>
      <c r="U33" s="700" t="str">
        <f t="shared" si="8"/>
        <v>--</v>
      </c>
      <c r="V33" s="357" t="str">
        <f t="shared" si="9"/>
        <v>--</v>
      </c>
      <c r="W33" s="358" t="str">
        <f t="shared" si="10"/>
        <v>--</v>
      </c>
      <c r="X33" s="366" t="str">
        <f t="shared" si="11"/>
        <v>--</v>
      </c>
      <c r="Y33" s="367" t="str">
        <f t="shared" si="12"/>
        <v>--</v>
      </c>
      <c r="Z33" s="372" t="str">
        <f t="shared" si="13"/>
        <v>--</v>
      </c>
      <c r="AA33" s="378" t="str">
        <f t="shared" si="14"/>
        <v>--</v>
      </c>
      <c r="AB33" s="25">
        <f t="shared" si="16"/>
      </c>
      <c r="AC33" s="614">
        <f t="shared" si="15"/>
      </c>
      <c r="AD33" s="560"/>
    </row>
    <row r="34" spans="1:30" s="548" customFormat="1" ht="16.5" customHeight="1">
      <c r="A34" s="547"/>
      <c r="B34" s="559"/>
      <c r="C34" s="641"/>
      <c r="D34" s="641"/>
      <c r="E34" s="641"/>
      <c r="F34" s="507"/>
      <c r="G34" s="506"/>
      <c r="H34" s="642"/>
      <c r="I34" s="643"/>
      <c r="J34" s="268">
        <f t="shared" si="0"/>
        <v>0</v>
      </c>
      <c r="K34" s="645"/>
      <c r="L34" s="645"/>
      <c r="M34" s="26">
        <f t="shared" si="1"/>
      </c>
      <c r="N34" s="27">
        <f t="shared" si="2"/>
      </c>
      <c r="O34" s="646"/>
      <c r="P34" s="25">
        <f t="shared" si="3"/>
      </c>
      <c r="Q34" s="698">
        <f t="shared" si="4"/>
      </c>
      <c r="R34" s="25">
        <f t="shared" si="5"/>
      </c>
      <c r="S34" s="338">
        <f t="shared" si="6"/>
        <v>3</v>
      </c>
      <c r="T34" s="699" t="str">
        <f t="shared" si="7"/>
        <v>--</v>
      </c>
      <c r="U34" s="700" t="str">
        <f t="shared" si="8"/>
        <v>--</v>
      </c>
      <c r="V34" s="357" t="str">
        <f t="shared" si="9"/>
        <v>--</v>
      </c>
      <c r="W34" s="358" t="str">
        <f t="shared" si="10"/>
        <v>--</v>
      </c>
      <c r="X34" s="366" t="str">
        <f t="shared" si="11"/>
        <v>--</v>
      </c>
      <c r="Y34" s="367" t="str">
        <f t="shared" si="12"/>
        <v>--</v>
      </c>
      <c r="Z34" s="372" t="str">
        <f t="shared" si="13"/>
        <v>--</v>
      </c>
      <c r="AA34" s="378" t="str">
        <f t="shared" si="14"/>
        <v>--</v>
      </c>
      <c r="AB34" s="25">
        <f t="shared" si="16"/>
      </c>
      <c r="AC34" s="614">
        <f t="shared" si="15"/>
      </c>
      <c r="AD34" s="560"/>
    </row>
    <row r="35" spans="1:30" s="548" customFormat="1" ht="16.5" customHeight="1">
      <c r="A35" s="547"/>
      <c r="B35" s="559"/>
      <c r="C35" s="641"/>
      <c r="D35" s="641"/>
      <c r="E35" s="641"/>
      <c r="F35" s="507"/>
      <c r="G35" s="506"/>
      <c r="H35" s="642"/>
      <c r="I35" s="643"/>
      <c r="J35" s="268">
        <f t="shared" si="0"/>
        <v>0</v>
      </c>
      <c r="K35" s="645"/>
      <c r="L35" s="645"/>
      <c r="M35" s="26">
        <f t="shared" si="1"/>
      </c>
      <c r="N35" s="27">
        <f t="shared" si="2"/>
      </c>
      <c r="O35" s="646"/>
      <c r="P35" s="25">
        <f t="shared" si="3"/>
      </c>
      <c r="Q35" s="698">
        <f t="shared" si="4"/>
      </c>
      <c r="R35" s="25">
        <f t="shared" si="5"/>
      </c>
      <c r="S35" s="338">
        <f t="shared" si="6"/>
        <v>3</v>
      </c>
      <c r="T35" s="699" t="str">
        <f t="shared" si="7"/>
        <v>--</v>
      </c>
      <c r="U35" s="700" t="str">
        <f t="shared" si="8"/>
        <v>--</v>
      </c>
      <c r="V35" s="357" t="str">
        <f t="shared" si="9"/>
        <v>--</v>
      </c>
      <c r="W35" s="358" t="str">
        <f t="shared" si="10"/>
        <v>--</v>
      </c>
      <c r="X35" s="366" t="str">
        <f t="shared" si="11"/>
        <v>--</v>
      </c>
      <c r="Y35" s="367" t="str">
        <f t="shared" si="12"/>
        <v>--</v>
      </c>
      <c r="Z35" s="372" t="str">
        <f t="shared" si="13"/>
        <v>--</v>
      </c>
      <c r="AA35" s="378" t="str">
        <f t="shared" si="14"/>
        <v>--</v>
      </c>
      <c r="AB35" s="25">
        <f t="shared" si="16"/>
      </c>
      <c r="AC35" s="614">
        <f t="shared" si="15"/>
      </c>
      <c r="AD35" s="560"/>
    </row>
    <row r="36" spans="1:30" s="548" customFormat="1" ht="16.5" customHeight="1">
      <c r="A36" s="547"/>
      <c r="B36" s="559"/>
      <c r="C36" s="641"/>
      <c r="D36" s="641"/>
      <c r="E36" s="641"/>
      <c r="F36" s="507"/>
      <c r="G36" s="506"/>
      <c r="H36" s="642"/>
      <c r="I36" s="643"/>
      <c r="J36" s="268">
        <f t="shared" si="0"/>
        <v>0</v>
      </c>
      <c r="K36" s="645"/>
      <c r="L36" s="645"/>
      <c r="M36" s="26">
        <f t="shared" si="1"/>
      </c>
      <c r="N36" s="27">
        <f t="shared" si="2"/>
      </c>
      <c r="O36" s="646"/>
      <c r="P36" s="25">
        <f t="shared" si="3"/>
      </c>
      <c r="Q36" s="698">
        <f t="shared" si="4"/>
      </c>
      <c r="R36" s="25">
        <f t="shared" si="5"/>
      </c>
      <c r="S36" s="338">
        <f t="shared" si="6"/>
        <v>3</v>
      </c>
      <c r="T36" s="699" t="str">
        <f t="shared" si="7"/>
        <v>--</v>
      </c>
      <c r="U36" s="700" t="str">
        <f t="shared" si="8"/>
        <v>--</v>
      </c>
      <c r="V36" s="357" t="str">
        <f t="shared" si="9"/>
        <v>--</v>
      </c>
      <c r="W36" s="358" t="str">
        <f t="shared" si="10"/>
        <v>--</v>
      </c>
      <c r="X36" s="366" t="str">
        <f t="shared" si="11"/>
        <v>--</v>
      </c>
      <c r="Y36" s="367" t="str">
        <f t="shared" si="12"/>
        <v>--</v>
      </c>
      <c r="Z36" s="372" t="str">
        <f t="shared" si="13"/>
        <v>--</v>
      </c>
      <c r="AA36" s="378" t="str">
        <f t="shared" si="14"/>
        <v>--</v>
      </c>
      <c r="AB36" s="25">
        <f t="shared" si="16"/>
      </c>
      <c r="AC36" s="614">
        <f t="shared" si="15"/>
      </c>
      <c r="AD36" s="560"/>
    </row>
    <row r="37" spans="1:30" s="548" customFormat="1" ht="16.5" customHeight="1">
      <c r="A37" s="547"/>
      <c r="B37" s="559"/>
      <c r="C37" s="641"/>
      <c r="D37" s="641"/>
      <c r="E37" s="641"/>
      <c r="F37" s="507"/>
      <c r="G37" s="506"/>
      <c r="H37" s="642"/>
      <c r="I37" s="643"/>
      <c r="J37" s="268">
        <f t="shared" si="0"/>
        <v>0</v>
      </c>
      <c r="K37" s="645"/>
      <c r="L37" s="645"/>
      <c r="M37" s="26">
        <f t="shared" si="1"/>
      </c>
      <c r="N37" s="27">
        <f t="shared" si="2"/>
      </c>
      <c r="O37" s="646"/>
      <c r="P37" s="25">
        <f t="shared" si="3"/>
      </c>
      <c r="Q37" s="698">
        <f t="shared" si="4"/>
      </c>
      <c r="R37" s="25">
        <f t="shared" si="5"/>
      </c>
      <c r="S37" s="338">
        <f t="shared" si="6"/>
        <v>3</v>
      </c>
      <c r="T37" s="699" t="str">
        <f t="shared" si="7"/>
        <v>--</v>
      </c>
      <c r="U37" s="700" t="str">
        <f t="shared" si="8"/>
        <v>--</v>
      </c>
      <c r="V37" s="357" t="str">
        <f t="shared" si="9"/>
        <v>--</v>
      </c>
      <c r="W37" s="358" t="str">
        <f t="shared" si="10"/>
        <v>--</v>
      </c>
      <c r="X37" s="366" t="str">
        <f t="shared" si="11"/>
        <v>--</v>
      </c>
      <c r="Y37" s="367" t="str">
        <f t="shared" si="12"/>
        <v>--</v>
      </c>
      <c r="Z37" s="372" t="str">
        <f t="shared" si="13"/>
        <v>--</v>
      </c>
      <c r="AA37" s="378" t="str">
        <f t="shared" si="14"/>
        <v>--</v>
      </c>
      <c r="AB37" s="25">
        <f t="shared" si="16"/>
      </c>
      <c r="AC37" s="614">
        <f t="shared" si="15"/>
      </c>
      <c r="AD37" s="560"/>
    </row>
    <row r="38" spans="1:30" s="548" customFormat="1" ht="16.5" customHeight="1">
      <c r="A38" s="547"/>
      <c r="B38" s="559"/>
      <c r="C38" s="641"/>
      <c r="D38" s="641"/>
      <c r="E38" s="641"/>
      <c r="F38" s="507"/>
      <c r="G38" s="506"/>
      <c r="H38" s="642"/>
      <c r="I38" s="643"/>
      <c r="J38" s="268">
        <f t="shared" si="0"/>
        <v>0</v>
      </c>
      <c r="K38" s="645"/>
      <c r="L38" s="645"/>
      <c r="M38" s="26">
        <f t="shared" si="1"/>
      </c>
      <c r="N38" s="27">
        <f t="shared" si="2"/>
      </c>
      <c r="O38" s="646"/>
      <c r="P38" s="25">
        <f t="shared" si="3"/>
      </c>
      <c r="Q38" s="698">
        <f t="shared" si="4"/>
      </c>
      <c r="R38" s="25">
        <f t="shared" si="5"/>
      </c>
      <c r="S38" s="338">
        <f t="shared" si="6"/>
        <v>3</v>
      </c>
      <c r="T38" s="699" t="str">
        <f t="shared" si="7"/>
        <v>--</v>
      </c>
      <c r="U38" s="700" t="str">
        <f t="shared" si="8"/>
        <v>--</v>
      </c>
      <c r="V38" s="357" t="str">
        <f t="shared" si="9"/>
        <v>--</v>
      </c>
      <c r="W38" s="358" t="str">
        <f t="shared" si="10"/>
        <v>--</v>
      </c>
      <c r="X38" s="366" t="str">
        <f t="shared" si="11"/>
        <v>--</v>
      </c>
      <c r="Y38" s="367" t="str">
        <f t="shared" si="12"/>
        <v>--</v>
      </c>
      <c r="Z38" s="372" t="str">
        <f t="shared" si="13"/>
        <v>--</v>
      </c>
      <c r="AA38" s="378" t="str">
        <f t="shared" si="14"/>
        <v>--</v>
      </c>
      <c r="AB38" s="25">
        <f t="shared" si="16"/>
      </c>
      <c r="AC38" s="614">
        <f t="shared" si="15"/>
      </c>
      <c r="AD38" s="560"/>
    </row>
    <row r="39" spans="1:30" s="548" customFormat="1" ht="16.5" customHeight="1">
      <c r="A39" s="547"/>
      <c r="B39" s="559"/>
      <c r="C39" s="641"/>
      <c r="D39" s="641"/>
      <c r="E39" s="641"/>
      <c r="F39" s="507"/>
      <c r="G39" s="506"/>
      <c r="H39" s="642"/>
      <c r="I39" s="643"/>
      <c r="J39" s="268">
        <f t="shared" si="0"/>
        <v>0</v>
      </c>
      <c r="K39" s="645"/>
      <c r="L39" s="645"/>
      <c r="M39" s="26">
        <f t="shared" si="1"/>
      </c>
      <c r="N39" s="27">
        <f t="shared" si="2"/>
      </c>
      <c r="O39" s="646"/>
      <c r="P39" s="25">
        <f t="shared" si="3"/>
      </c>
      <c r="Q39" s="698">
        <f t="shared" si="4"/>
      </c>
      <c r="R39" s="25">
        <f t="shared" si="5"/>
      </c>
      <c r="S39" s="338">
        <f t="shared" si="6"/>
        <v>3</v>
      </c>
      <c r="T39" s="699" t="str">
        <f t="shared" si="7"/>
        <v>--</v>
      </c>
      <c r="U39" s="700" t="str">
        <f t="shared" si="8"/>
        <v>--</v>
      </c>
      <c r="V39" s="357" t="str">
        <f t="shared" si="9"/>
        <v>--</v>
      </c>
      <c r="W39" s="358" t="str">
        <f t="shared" si="10"/>
        <v>--</v>
      </c>
      <c r="X39" s="366" t="str">
        <f t="shared" si="11"/>
        <v>--</v>
      </c>
      <c r="Y39" s="367" t="str">
        <f t="shared" si="12"/>
        <v>--</v>
      </c>
      <c r="Z39" s="372" t="str">
        <f t="shared" si="13"/>
        <v>--</v>
      </c>
      <c r="AA39" s="378" t="str">
        <f t="shared" si="14"/>
        <v>--</v>
      </c>
      <c r="AB39" s="25">
        <f t="shared" si="16"/>
      </c>
      <c r="AC39" s="614">
        <f t="shared" si="15"/>
      </c>
      <c r="AD39" s="560"/>
    </row>
    <row r="40" spans="1:30" s="548" customFormat="1" ht="16.5" customHeight="1">
      <c r="A40" s="547"/>
      <c r="B40" s="559"/>
      <c r="C40" s="641"/>
      <c r="D40" s="641"/>
      <c r="E40" s="641"/>
      <c r="F40" s="507"/>
      <c r="G40" s="506"/>
      <c r="H40" s="642"/>
      <c r="I40" s="643"/>
      <c r="J40" s="268">
        <f t="shared" si="0"/>
        <v>0</v>
      </c>
      <c r="K40" s="645"/>
      <c r="L40" s="645"/>
      <c r="M40" s="26">
        <f t="shared" si="1"/>
      </c>
      <c r="N40" s="27">
        <f t="shared" si="2"/>
      </c>
      <c r="O40" s="646"/>
      <c r="P40" s="25">
        <f t="shared" si="3"/>
      </c>
      <c r="Q40" s="698">
        <f t="shared" si="4"/>
      </c>
      <c r="R40" s="25">
        <f t="shared" si="5"/>
      </c>
      <c r="S40" s="338">
        <f t="shared" si="6"/>
        <v>3</v>
      </c>
      <c r="T40" s="699" t="str">
        <f t="shared" si="7"/>
        <v>--</v>
      </c>
      <c r="U40" s="700" t="str">
        <f t="shared" si="8"/>
        <v>--</v>
      </c>
      <c r="V40" s="357" t="str">
        <f t="shared" si="9"/>
        <v>--</v>
      </c>
      <c r="W40" s="358" t="str">
        <f t="shared" si="10"/>
        <v>--</v>
      </c>
      <c r="X40" s="366" t="str">
        <f t="shared" si="11"/>
        <v>--</v>
      </c>
      <c r="Y40" s="367" t="str">
        <f t="shared" si="12"/>
        <v>--</v>
      </c>
      <c r="Z40" s="372" t="str">
        <f t="shared" si="13"/>
        <v>--</v>
      </c>
      <c r="AA40" s="378" t="str">
        <f t="shared" si="14"/>
        <v>--</v>
      </c>
      <c r="AB40" s="25">
        <f t="shared" si="16"/>
      </c>
      <c r="AC40" s="614">
        <f t="shared" si="15"/>
      </c>
      <c r="AD40" s="560"/>
    </row>
    <row r="41" spans="1:30" s="548" customFormat="1" ht="16.5" customHeight="1">
      <c r="A41" s="547"/>
      <c r="B41" s="559"/>
      <c r="C41" s="641"/>
      <c r="D41" s="641"/>
      <c r="E41" s="641"/>
      <c r="F41" s="507"/>
      <c r="G41" s="506"/>
      <c r="H41" s="642"/>
      <c r="I41" s="643"/>
      <c r="J41" s="268">
        <f t="shared" si="0"/>
        <v>0</v>
      </c>
      <c r="K41" s="645"/>
      <c r="L41" s="645"/>
      <c r="M41" s="26">
        <f t="shared" si="1"/>
      </c>
      <c r="N41" s="27">
        <f t="shared" si="2"/>
      </c>
      <c r="O41" s="646"/>
      <c r="P41" s="25">
        <f t="shared" si="3"/>
      </c>
      <c r="Q41" s="698">
        <f t="shared" si="4"/>
      </c>
      <c r="R41" s="25">
        <f t="shared" si="5"/>
      </c>
      <c r="S41" s="338">
        <f t="shared" si="6"/>
        <v>3</v>
      </c>
      <c r="T41" s="699" t="str">
        <f t="shared" si="7"/>
        <v>--</v>
      </c>
      <c r="U41" s="700" t="str">
        <f t="shared" si="8"/>
        <v>--</v>
      </c>
      <c r="V41" s="357" t="str">
        <f t="shared" si="9"/>
        <v>--</v>
      </c>
      <c r="W41" s="358" t="str">
        <f t="shared" si="10"/>
        <v>--</v>
      </c>
      <c r="X41" s="366" t="str">
        <f t="shared" si="11"/>
        <v>--</v>
      </c>
      <c r="Y41" s="367" t="str">
        <f t="shared" si="12"/>
        <v>--</v>
      </c>
      <c r="Z41" s="372" t="str">
        <f t="shared" si="13"/>
        <v>--</v>
      </c>
      <c r="AA41" s="378" t="str">
        <f t="shared" si="14"/>
        <v>--</v>
      </c>
      <c r="AB41" s="25">
        <f t="shared" si="16"/>
      </c>
      <c r="AC41" s="614">
        <f t="shared" si="15"/>
      </c>
      <c r="AD41" s="560"/>
    </row>
    <row r="42" spans="1:30" s="548" customFormat="1" ht="16.5" customHeight="1">
      <c r="A42" s="547"/>
      <c r="B42" s="559"/>
      <c r="C42" s="641"/>
      <c r="D42" s="641"/>
      <c r="E42" s="641"/>
      <c r="F42" s="507"/>
      <c r="G42" s="506"/>
      <c r="H42" s="642"/>
      <c r="I42" s="643"/>
      <c r="J42" s="268">
        <f t="shared" si="0"/>
        <v>0</v>
      </c>
      <c r="K42" s="645"/>
      <c r="L42" s="645"/>
      <c r="M42" s="26">
        <f t="shared" si="1"/>
      </c>
      <c r="N42" s="27">
        <f t="shared" si="2"/>
      </c>
      <c r="O42" s="646"/>
      <c r="P42" s="25">
        <f t="shared" si="3"/>
      </c>
      <c r="Q42" s="698">
        <f t="shared" si="4"/>
      </c>
      <c r="R42" s="25">
        <f t="shared" si="5"/>
      </c>
      <c r="S42" s="338">
        <f t="shared" si="6"/>
        <v>3</v>
      </c>
      <c r="T42" s="699" t="str">
        <f t="shared" si="7"/>
        <v>--</v>
      </c>
      <c r="U42" s="700" t="str">
        <f t="shared" si="8"/>
        <v>--</v>
      </c>
      <c r="V42" s="357" t="str">
        <f t="shared" si="9"/>
        <v>--</v>
      </c>
      <c r="W42" s="358" t="str">
        <f t="shared" si="10"/>
        <v>--</v>
      </c>
      <c r="X42" s="366" t="str">
        <f t="shared" si="11"/>
        <v>--</v>
      </c>
      <c r="Y42" s="367" t="str">
        <f t="shared" si="12"/>
        <v>--</v>
      </c>
      <c r="Z42" s="372" t="str">
        <f t="shared" si="13"/>
        <v>--</v>
      </c>
      <c r="AA42" s="378" t="str">
        <f t="shared" si="14"/>
        <v>--</v>
      </c>
      <c r="AB42" s="25">
        <f t="shared" si="16"/>
      </c>
      <c r="AC42" s="614">
        <f t="shared" si="15"/>
      </c>
      <c r="AD42" s="560"/>
    </row>
    <row r="43" spans="1:30" s="548" customFormat="1" ht="16.5" customHeight="1">
      <c r="A43" s="547"/>
      <c r="B43" s="559"/>
      <c r="C43" s="641"/>
      <c r="D43" s="641"/>
      <c r="E43" s="641"/>
      <c r="F43" s="507"/>
      <c r="G43" s="506"/>
      <c r="H43" s="642"/>
      <c r="I43" s="643"/>
      <c r="J43" s="268">
        <f t="shared" si="0"/>
        <v>0</v>
      </c>
      <c r="K43" s="645"/>
      <c r="L43" s="645"/>
      <c r="M43" s="26">
        <f t="shared" si="1"/>
      </c>
      <c r="N43" s="27">
        <f t="shared" si="2"/>
      </c>
      <c r="O43" s="646"/>
      <c r="P43" s="25">
        <f t="shared" si="3"/>
      </c>
      <c r="Q43" s="698">
        <f t="shared" si="4"/>
      </c>
      <c r="R43" s="25">
        <f t="shared" si="5"/>
      </c>
      <c r="S43" s="338">
        <f t="shared" si="6"/>
        <v>3</v>
      </c>
      <c r="T43" s="699" t="str">
        <f t="shared" si="7"/>
        <v>--</v>
      </c>
      <c r="U43" s="700" t="str">
        <f t="shared" si="8"/>
        <v>--</v>
      </c>
      <c r="V43" s="357" t="str">
        <f t="shared" si="9"/>
        <v>--</v>
      </c>
      <c r="W43" s="358" t="str">
        <f t="shared" si="10"/>
        <v>--</v>
      </c>
      <c r="X43" s="366" t="str">
        <f t="shared" si="11"/>
        <v>--</v>
      </c>
      <c r="Y43" s="367" t="str">
        <f t="shared" si="12"/>
        <v>--</v>
      </c>
      <c r="Z43" s="372" t="str">
        <f t="shared" si="13"/>
        <v>--</v>
      </c>
      <c r="AA43" s="378" t="str">
        <f t="shared" si="14"/>
        <v>--</v>
      </c>
      <c r="AB43" s="25">
        <f t="shared" si="16"/>
      </c>
      <c r="AC43" s="614">
        <f t="shared" si="15"/>
      </c>
      <c r="AD43" s="560"/>
    </row>
    <row r="44" spans="1:30" s="548" customFormat="1" ht="16.5" customHeight="1" thickBot="1">
      <c r="A44" s="547"/>
      <c r="B44" s="559"/>
      <c r="C44" s="644"/>
      <c r="D44" s="644"/>
      <c r="E44" s="644"/>
      <c r="F44" s="644"/>
      <c r="G44" s="644"/>
      <c r="H44" s="644"/>
      <c r="I44" s="644"/>
      <c r="J44" s="617"/>
      <c r="K44" s="644"/>
      <c r="L44" s="644"/>
      <c r="M44" s="616"/>
      <c r="N44" s="616"/>
      <c r="O44" s="644"/>
      <c r="P44" s="644"/>
      <c r="Q44" s="644"/>
      <c r="R44" s="644"/>
      <c r="S44" s="647"/>
      <c r="T44" s="648"/>
      <c r="U44" s="649"/>
      <c r="V44" s="650"/>
      <c r="W44" s="651"/>
      <c r="X44" s="652"/>
      <c r="Y44" s="653"/>
      <c r="Z44" s="654"/>
      <c r="AA44" s="655"/>
      <c r="AB44" s="644"/>
      <c r="AC44" s="618"/>
      <c r="AD44" s="560"/>
    </row>
    <row r="45" spans="1:30" s="548" customFormat="1" ht="16.5" customHeight="1" thickBot="1" thickTop="1">
      <c r="A45" s="547"/>
      <c r="B45" s="559"/>
      <c r="C45" s="720" t="s">
        <v>153</v>
      </c>
      <c r="D45" s="721" t="s">
        <v>152</v>
      </c>
      <c r="E45" s="246"/>
      <c r="F45" s="241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619">
        <f aca="true" t="shared" si="17" ref="T45:AA45">SUM(T22:T44)</f>
        <v>54.51088500000001</v>
      </c>
      <c r="U45" s="620">
        <f t="shared" si="17"/>
        <v>0</v>
      </c>
      <c r="V45" s="621">
        <f t="shared" si="17"/>
        <v>70.94999999999999</v>
      </c>
      <c r="W45" s="621">
        <f t="shared" si="17"/>
        <v>10.642499999999998</v>
      </c>
      <c r="X45" s="622">
        <f t="shared" si="17"/>
        <v>0</v>
      </c>
      <c r="Y45" s="622">
        <f t="shared" si="17"/>
        <v>0</v>
      </c>
      <c r="Z45" s="623">
        <f t="shared" si="17"/>
        <v>0</v>
      </c>
      <c r="AA45" s="624">
        <f t="shared" si="17"/>
        <v>0</v>
      </c>
      <c r="AB45" s="625"/>
      <c r="AC45" s="626">
        <f>ROUND(SUM(AC22:AC44),2)</f>
        <v>136.1</v>
      </c>
      <c r="AD45" s="560"/>
    </row>
    <row r="46" spans="1:30" s="634" customFormat="1" ht="9.75" thickTop="1">
      <c r="A46" s="627"/>
      <c r="B46" s="628"/>
      <c r="C46" s="629"/>
      <c r="D46" s="629"/>
      <c r="E46" s="629"/>
      <c r="F46" s="243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  <c r="S46" s="630"/>
      <c r="T46" s="631"/>
      <c r="U46" s="631"/>
      <c r="V46" s="631"/>
      <c r="W46" s="631"/>
      <c r="X46" s="631"/>
      <c r="Y46" s="631"/>
      <c r="Z46" s="631"/>
      <c r="AA46" s="631"/>
      <c r="AB46" s="630"/>
      <c r="AC46" s="632"/>
      <c r="AD46" s="633"/>
    </row>
    <row r="47" spans="1:30" s="548" customFormat="1" ht="16.5" customHeight="1" thickBot="1">
      <c r="A47" s="547"/>
      <c r="B47" s="635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7"/>
    </row>
    <row r="48" spans="2:30" ht="16.5" customHeight="1" thickTop="1">
      <c r="B48" s="639"/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40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workbookViewId="0" topLeftCell="A1">
      <selection activeCell="A24" sqref="A24:IV24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01"/>
    </row>
    <row r="2" spans="2:30" s="109" customFormat="1" ht="26.25">
      <c r="B2" s="110" t="str">
        <f>+'TOT-0513'!B2</f>
        <v>ANEXO V al Memorándum  D.T.E.E.  N°           / 2014.-</v>
      </c>
      <c r="C2" s="111"/>
      <c r="D2" s="111"/>
      <c r="E2" s="171"/>
      <c r="F2" s="171"/>
      <c r="G2" s="11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5:30" s="10" customFormat="1" ht="12.75"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s="112" customFormat="1" ht="11.25">
      <c r="A4" s="684" t="s">
        <v>16</v>
      </c>
      <c r="C4" s="683"/>
      <c r="D4" s="683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s="112" customFormat="1" ht="11.25">
      <c r="A5" s="684" t="s">
        <v>128</v>
      </c>
      <c r="C5" s="683"/>
      <c r="D5" s="683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s="10" customFormat="1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0" customFormat="1" ht="13.5" thickTop="1">
      <c r="A7" s="16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</row>
    <row r="8" spans="1:30" s="114" customFormat="1" ht="20.25">
      <c r="A8" s="188"/>
      <c r="B8" s="189"/>
      <c r="C8" s="177"/>
      <c r="D8" s="177"/>
      <c r="E8" s="177"/>
      <c r="F8" s="21" t="s">
        <v>36</v>
      </c>
      <c r="H8" s="177"/>
      <c r="I8" s="188"/>
      <c r="J8" s="188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0"/>
    </row>
    <row r="9" spans="1:30" s="114" customFormat="1" ht="7.5" customHeight="1">
      <c r="A9" s="188"/>
      <c r="B9" s="189"/>
      <c r="C9" s="177"/>
      <c r="D9" s="177"/>
      <c r="E9" s="177"/>
      <c r="F9" s="21"/>
      <c r="H9" s="177"/>
      <c r="I9" s="188"/>
      <c r="J9" s="188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0"/>
    </row>
    <row r="10" spans="1:30" s="10" customFormat="1" ht="7.5" customHeight="1">
      <c r="A10" s="169"/>
      <c r="B10" s="175"/>
      <c r="C10" s="30"/>
      <c r="D10" s="30"/>
      <c r="E10" s="30"/>
      <c r="F10" s="30"/>
      <c r="G10" s="30"/>
      <c r="H10" s="30"/>
      <c r="I10" s="16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8"/>
      <c r="B11" s="189"/>
      <c r="C11" s="177"/>
      <c r="D11" s="177"/>
      <c r="E11" s="177"/>
      <c r="F11" s="218" t="s">
        <v>76</v>
      </c>
      <c r="G11" s="177"/>
      <c r="H11" s="177"/>
      <c r="I11" s="188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90"/>
    </row>
    <row r="12" spans="1:30" s="114" customFormat="1" ht="8.25" customHeight="1">
      <c r="A12" s="188"/>
      <c r="B12" s="189"/>
      <c r="C12" s="177"/>
      <c r="D12" s="177"/>
      <c r="E12" s="177"/>
      <c r="F12" s="218"/>
      <c r="G12" s="177"/>
      <c r="H12" s="177"/>
      <c r="I12" s="188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90"/>
    </row>
    <row r="13" spans="1:30" s="10" customFormat="1" ht="8.25" customHeight="1">
      <c r="A13" s="169"/>
      <c r="B13" s="175"/>
      <c r="C13" s="30"/>
      <c r="D13" s="30"/>
      <c r="E13" s="30"/>
      <c r="F13" s="123"/>
      <c r="G13" s="179"/>
      <c r="H13" s="179"/>
      <c r="I13" s="180"/>
      <c r="J13" s="17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4"/>
      <c r="B14" s="87" t="str">
        <f>+'TOT-0513'!B14</f>
        <v>Desde el 01 al 31 de mayo de 2013</v>
      </c>
      <c r="C14" s="195"/>
      <c r="D14" s="195"/>
      <c r="E14" s="195"/>
      <c r="F14" s="195"/>
      <c r="G14" s="195"/>
      <c r="H14" s="195"/>
      <c r="I14" s="196"/>
      <c r="J14" s="195"/>
      <c r="K14" s="118"/>
      <c r="L14" s="118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7"/>
    </row>
    <row r="15" spans="1:30" s="95" customFormat="1" ht="8.25" customHeight="1">
      <c r="A15" s="91"/>
      <c r="B15" s="92"/>
      <c r="C15" s="91"/>
      <c r="D15" s="91"/>
      <c r="E15" s="91"/>
      <c r="F15" s="673"/>
      <c r="G15" s="674"/>
      <c r="H15" s="675"/>
      <c r="I15" s="91"/>
      <c r="K15" s="97"/>
      <c r="L15" s="98"/>
      <c r="M15" s="238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9"/>
      <c r="B16" s="175"/>
      <c r="C16" s="30"/>
      <c r="D16" s="30"/>
      <c r="E16" s="30"/>
      <c r="F16" s="30"/>
      <c r="G16" s="30"/>
      <c r="H16" s="30"/>
      <c r="I16" s="74"/>
      <c r="J16" s="30"/>
      <c r="K16" s="185"/>
      <c r="L16" s="186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9"/>
      <c r="B17" s="175"/>
      <c r="C17" s="30"/>
      <c r="D17" s="30"/>
      <c r="E17" s="30"/>
      <c r="F17" s="198" t="s">
        <v>63</v>
      </c>
      <c r="G17" s="199"/>
      <c r="H17" s="200"/>
      <c r="I17" s="201">
        <v>0.473</v>
      </c>
      <c r="J17" s="16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9"/>
      <c r="B18" s="175"/>
      <c r="C18" s="30"/>
      <c r="D18" s="30"/>
      <c r="E18" s="30"/>
      <c r="F18" s="202" t="s">
        <v>64</v>
      </c>
      <c r="G18" s="203"/>
      <c r="H18" s="203"/>
      <c r="I18" s="204">
        <f>30*'TOT-0513'!B13</f>
        <v>30</v>
      </c>
      <c r="J18" s="30"/>
      <c r="K18" s="238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1"/>
      <c r="X18" s="181"/>
      <c r="Y18" s="181"/>
      <c r="Z18" s="181"/>
      <c r="AA18" s="181"/>
      <c r="AB18" s="181"/>
      <c r="AC18" s="181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73"/>
      <c r="G19" s="674"/>
      <c r="H19" s="675"/>
      <c r="I19" s="91"/>
      <c r="K19" s="97"/>
      <c r="L19" s="98"/>
      <c r="M19" s="238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07" customFormat="1" ht="15" customHeight="1" thickBot="1">
      <c r="A20" s="713"/>
      <c r="B20" s="714"/>
      <c r="C20" s="715">
        <v>3</v>
      </c>
      <c r="D20" s="715">
        <v>4</v>
      </c>
      <c r="E20" s="715">
        <v>5</v>
      </c>
      <c r="F20" s="715">
        <v>6</v>
      </c>
      <c r="G20" s="715">
        <v>7</v>
      </c>
      <c r="H20" s="715">
        <v>8</v>
      </c>
      <c r="I20" s="715">
        <v>9</v>
      </c>
      <c r="J20" s="715">
        <v>10</v>
      </c>
      <c r="K20" s="715">
        <v>11</v>
      </c>
      <c r="L20" s="715">
        <v>12</v>
      </c>
      <c r="M20" s="715">
        <v>13</v>
      </c>
      <c r="N20" s="715">
        <v>14</v>
      </c>
      <c r="O20" s="715">
        <v>15</v>
      </c>
      <c r="P20" s="715">
        <v>16</v>
      </c>
      <c r="Q20" s="715">
        <v>17</v>
      </c>
      <c r="R20" s="715">
        <v>18</v>
      </c>
      <c r="S20" s="715">
        <v>19</v>
      </c>
      <c r="T20" s="715">
        <v>20</v>
      </c>
      <c r="U20" s="715">
        <v>21</v>
      </c>
      <c r="V20" s="715">
        <v>22</v>
      </c>
      <c r="W20" s="715">
        <v>23</v>
      </c>
      <c r="X20" s="715">
        <v>24</v>
      </c>
      <c r="Y20" s="715">
        <v>25</v>
      </c>
      <c r="Z20" s="715">
        <v>26</v>
      </c>
      <c r="AA20" s="715">
        <v>27</v>
      </c>
      <c r="AB20" s="715">
        <v>28</v>
      </c>
      <c r="AC20" s="715">
        <v>29</v>
      </c>
      <c r="AD20" s="716"/>
    </row>
    <row r="21" spans="1:30" s="108" customFormat="1" ht="33.75" customHeight="1" thickBot="1" thickTop="1">
      <c r="A21" s="205"/>
      <c r="B21" s="206"/>
      <c r="C21" s="208" t="s">
        <v>42</v>
      </c>
      <c r="D21" s="101" t="s">
        <v>127</v>
      </c>
      <c r="E21" s="101" t="s">
        <v>126</v>
      </c>
      <c r="F21" s="213" t="s">
        <v>65</v>
      </c>
      <c r="G21" s="209" t="s">
        <v>14</v>
      </c>
      <c r="H21" s="210" t="s">
        <v>66</v>
      </c>
      <c r="I21" s="211" t="s">
        <v>43</v>
      </c>
      <c r="J21" s="265" t="s">
        <v>45</v>
      </c>
      <c r="K21" s="212" t="s">
        <v>67</v>
      </c>
      <c r="L21" s="212" t="s">
        <v>68</v>
      </c>
      <c r="M21" s="213" t="s">
        <v>69</v>
      </c>
      <c r="N21" s="213" t="s">
        <v>70</v>
      </c>
      <c r="O21" s="105" t="s">
        <v>50</v>
      </c>
      <c r="P21" s="214" t="s">
        <v>71</v>
      </c>
      <c r="Q21" s="213" t="s">
        <v>72</v>
      </c>
      <c r="R21" s="209" t="s">
        <v>73</v>
      </c>
      <c r="S21" s="335" t="s">
        <v>74</v>
      </c>
      <c r="T21" s="321" t="s">
        <v>52</v>
      </c>
      <c r="U21" s="345" t="s">
        <v>53</v>
      </c>
      <c r="V21" s="351" t="s">
        <v>75</v>
      </c>
      <c r="W21" s="352"/>
      <c r="X21" s="360" t="s">
        <v>75</v>
      </c>
      <c r="Y21" s="361"/>
      <c r="Z21" s="369" t="s">
        <v>56</v>
      </c>
      <c r="AA21" s="375" t="s">
        <v>57</v>
      </c>
      <c r="AB21" s="211" t="s">
        <v>58</v>
      </c>
      <c r="AC21" s="211" t="s">
        <v>59</v>
      </c>
      <c r="AD21" s="207"/>
    </row>
    <row r="22" spans="1:30" s="10" customFormat="1" ht="16.5" customHeight="1" thickTop="1">
      <c r="A22" s="169"/>
      <c r="B22" s="175"/>
      <c r="C22" s="18"/>
      <c r="D22" s="18"/>
      <c r="E22" s="18"/>
      <c r="F22" s="23"/>
      <c r="G22" s="23"/>
      <c r="H22" s="23"/>
      <c r="I22" s="23"/>
      <c r="J22" s="270"/>
      <c r="K22" s="24"/>
      <c r="L22" s="23"/>
      <c r="M22" s="24"/>
      <c r="N22" s="24"/>
      <c r="O22" s="23"/>
      <c r="P22" s="23"/>
      <c r="Q22" s="23"/>
      <c r="R22" s="23"/>
      <c r="S22" s="336"/>
      <c r="T22" s="340"/>
      <c r="U22" s="346"/>
      <c r="V22" s="353"/>
      <c r="W22" s="354"/>
      <c r="X22" s="362"/>
      <c r="Y22" s="363"/>
      <c r="Z22" s="370"/>
      <c r="AA22" s="376"/>
      <c r="AB22" s="23"/>
      <c r="AC22" s="62"/>
      <c r="AD22" s="38"/>
    </row>
    <row r="23" spans="1:30" s="10" customFormat="1" ht="16.5" customHeight="1">
      <c r="A23" s="169"/>
      <c r="B23" s="175"/>
      <c r="C23" s="18"/>
      <c r="D23" s="18"/>
      <c r="E23" s="18"/>
      <c r="F23" s="19"/>
      <c r="G23" s="19"/>
      <c r="H23" s="19"/>
      <c r="I23" s="19"/>
      <c r="J23" s="271"/>
      <c r="K23" s="20"/>
      <c r="L23" s="19"/>
      <c r="M23" s="20"/>
      <c r="N23" s="20"/>
      <c r="O23" s="19"/>
      <c r="P23" s="19"/>
      <c r="Q23" s="19"/>
      <c r="R23" s="19"/>
      <c r="S23" s="337"/>
      <c r="T23" s="341"/>
      <c r="U23" s="347"/>
      <c r="V23" s="355"/>
      <c r="W23" s="356"/>
      <c r="X23" s="364"/>
      <c r="Y23" s="365"/>
      <c r="Z23" s="371"/>
      <c r="AA23" s="377"/>
      <c r="AB23" s="19"/>
      <c r="AC23" s="216"/>
      <c r="AD23" s="38"/>
    </row>
    <row r="24" spans="1:30" s="10" customFormat="1" ht="16.5" customHeight="1">
      <c r="A24" s="169"/>
      <c r="B24" s="175"/>
      <c r="C24" s="641">
        <v>15</v>
      </c>
      <c r="D24" s="641">
        <v>260949</v>
      </c>
      <c r="E24" s="641">
        <v>1802</v>
      </c>
      <c r="F24" s="507" t="s">
        <v>9</v>
      </c>
      <c r="G24" s="506" t="s">
        <v>8</v>
      </c>
      <c r="H24" s="642">
        <v>15</v>
      </c>
      <c r="I24" s="678" t="s">
        <v>143</v>
      </c>
      <c r="J24" s="268">
        <f aca="true" t="shared" si="0" ref="J24:J43">H24*$I$17</f>
        <v>7.095</v>
      </c>
      <c r="K24" s="645">
        <v>41415.48402777778</v>
      </c>
      <c r="L24" s="645">
        <v>41415.59166666667</v>
      </c>
      <c r="M24" s="26">
        <f aca="true" t="shared" si="1" ref="M24:M43">IF(F24="","",(L24-K24)*24)</f>
        <v>2.5833333333721384</v>
      </c>
      <c r="N24" s="27">
        <f aca="true" t="shared" si="2" ref="N24:N43">IF(F24="","",ROUND((L24-K24)*24*60,0))</f>
        <v>155</v>
      </c>
      <c r="O24" s="646" t="s">
        <v>133</v>
      </c>
      <c r="P24" s="25" t="str">
        <f aca="true" t="shared" si="3" ref="P24:P43">IF(F24="","",IF(OR(O24="P",O24="RP"),"--","NO"))</f>
        <v>--</v>
      </c>
      <c r="Q24" s="698" t="str">
        <f aca="true" t="shared" si="4" ref="Q24:Q43">IF(F24="","","--")</f>
        <v>--</v>
      </c>
      <c r="R24" s="25" t="str">
        <f aca="true" t="shared" si="5" ref="R24:R43">IF(F24="","","NO")</f>
        <v>NO</v>
      </c>
      <c r="S24" s="338">
        <f aca="true" t="shared" si="6" ref="S24:S43">$I$18*IF(OR(O24="P",O24="RP"),0.1,1)*IF(R24="SI",1,0.1)</f>
        <v>0.30000000000000004</v>
      </c>
      <c r="T24" s="342">
        <f aca="true" t="shared" si="7" ref="T24:T43">IF(O24="P",J24*S24*ROUND(N24/60,2),"--")</f>
        <v>5.491530000000001</v>
      </c>
      <c r="U24" s="348" t="str">
        <f aca="true" t="shared" si="8" ref="U24:U43">IF(O24="RP",J24*S24*ROUND(N24/60,2)*Q24/100,"--")</f>
        <v>--</v>
      </c>
      <c r="V24" s="357" t="str">
        <f aca="true" t="shared" si="9" ref="V24:V43">IF(AND(O24="F",P24="NO"),J24*S24,"--")</f>
        <v>--</v>
      </c>
      <c r="W24" s="358" t="str">
        <f aca="true" t="shared" si="10" ref="W24:W43">IF(O24="F",J24*S24*ROUND(N24/60,2),"--")</f>
        <v>--</v>
      </c>
      <c r="X24" s="366" t="str">
        <f aca="true" t="shared" si="11" ref="X24:X43">IF(AND(O24="R",P24="NO"),J24*S24*Q24/100,"--")</f>
        <v>--</v>
      </c>
      <c r="Y24" s="367" t="str">
        <f aca="true" t="shared" si="12" ref="Y24:Y43">IF(O24="R",J24*S24*ROUND(N24/60,2)*Q24/100,"--")</f>
        <v>--</v>
      </c>
      <c r="Z24" s="372" t="str">
        <f aca="true" t="shared" si="13" ref="Z24:Z43">IF(O24="RF",J24*S24*ROUND(N24/60,2),"--")</f>
        <v>--</v>
      </c>
      <c r="AA24" s="378" t="str">
        <f aca="true" t="shared" si="14" ref="AA24:AA43">IF(O24="RR",J24*S24*ROUND(N24/60,2)*Q24/100,"--")</f>
        <v>--</v>
      </c>
      <c r="AB24" s="25" t="str">
        <f aca="true" t="shared" si="15" ref="AB24:AB43">IF(F24="","","SI")</f>
        <v>SI</v>
      </c>
      <c r="AC24" s="63">
        <f aca="true" t="shared" si="16" ref="AC24:AC43">IF(F24="","",SUM(T24:AA24)*IF(AB24="SI",1,2))</f>
        <v>5.491530000000001</v>
      </c>
      <c r="AD24" s="405"/>
    </row>
    <row r="25" spans="1:30" s="10" customFormat="1" ht="16.5" customHeight="1">
      <c r="A25" s="169"/>
      <c r="B25" s="175"/>
      <c r="C25" s="641"/>
      <c r="D25" s="641"/>
      <c r="E25" s="641"/>
      <c r="F25" s="507"/>
      <c r="G25" s="506"/>
      <c r="H25" s="642"/>
      <c r="I25" s="643"/>
      <c r="J25" s="268">
        <f t="shared" si="0"/>
        <v>0</v>
      </c>
      <c r="K25" s="645"/>
      <c r="L25" s="645"/>
      <c r="M25" s="26">
        <f t="shared" si="1"/>
      </c>
      <c r="N25" s="27">
        <f t="shared" si="2"/>
      </c>
      <c r="O25" s="646"/>
      <c r="P25" s="25">
        <f t="shared" si="3"/>
      </c>
      <c r="Q25" s="698">
        <f t="shared" si="4"/>
      </c>
      <c r="R25" s="25">
        <f t="shared" si="5"/>
      </c>
      <c r="S25" s="338">
        <f t="shared" si="6"/>
        <v>3</v>
      </c>
      <c r="T25" s="342" t="str">
        <f t="shared" si="7"/>
        <v>--</v>
      </c>
      <c r="U25" s="348" t="str">
        <f t="shared" si="8"/>
        <v>--</v>
      </c>
      <c r="V25" s="357" t="str">
        <f t="shared" si="9"/>
        <v>--</v>
      </c>
      <c r="W25" s="358" t="str">
        <f t="shared" si="10"/>
        <v>--</v>
      </c>
      <c r="X25" s="366" t="str">
        <f t="shared" si="11"/>
        <v>--</v>
      </c>
      <c r="Y25" s="367" t="str">
        <f t="shared" si="12"/>
        <v>--</v>
      </c>
      <c r="Z25" s="372" t="str">
        <f t="shared" si="13"/>
        <v>--</v>
      </c>
      <c r="AA25" s="378" t="str">
        <f t="shared" si="14"/>
        <v>--</v>
      </c>
      <c r="AB25" s="25">
        <f t="shared" si="15"/>
      </c>
      <c r="AC25" s="63">
        <f t="shared" si="16"/>
      </c>
      <c r="AD25" s="405"/>
    </row>
    <row r="26" spans="1:30" s="10" customFormat="1" ht="16.5" customHeight="1">
      <c r="A26" s="169"/>
      <c r="B26" s="175"/>
      <c r="C26" s="641"/>
      <c r="D26" s="641"/>
      <c r="E26" s="641"/>
      <c r="F26" s="507"/>
      <c r="G26" s="506"/>
      <c r="H26" s="642"/>
      <c r="I26" s="643"/>
      <c r="J26" s="268">
        <f t="shared" si="0"/>
        <v>0</v>
      </c>
      <c r="K26" s="645"/>
      <c r="L26" s="645"/>
      <c r="M26" s="26">
        <f t="shared" si="1"/>
      </c>
      <c r="N26" s="27">
        <f t="shared" si="2"/>
      </c>
      <c r="O26" s="646"/>
      <c r="P26" s="25">
        <f t="shared" si="3"/>
      </c>
      <c r="Q26" s="698">
        <f t="shared" si="4"/>
      </c>
      <c r="R26" s="25">
        <f t="shared" si="5"/>
      </c>
      <c r="S26" s="338">
        <f t="shared" si="6"/>
        <v>3</v>
      </c>
      <c r="T26" s="342" t="str">
        <f t="shared" si="7"/>
        <v>--</v>
      </c>
      <c r="U26" s="348" t="str">
        <f t="shared" si="8"/>
        <v>--</v>
      </c>
      <c r="V26" s="357" t="str">
        <f t="shared" si="9"/>
        <v>--</v>
      </c>
      <c r="W26" s="358" t="str">
        <f t="shared" si="10"/>
        <v>--</v>
      </c>
      <c r="X26" s="366" t="str">
        <f t="shared" si="11"/>
        <v>--</v>
      </c>
      <c r="Y26" s="367" t="str">
        <f t="shared" si="12"/>
        <v>--</v>
      </c>
      <c r="Z26" s="372" t="str">
        <f t="shared" si="13"/>
        <v>--</v>
      </c>
      <c r="AA26" s="378" t="str">
        <f t="shared" si="14"/>
        <v>--</v>
      </c>
      <c r="AB26" s="25">
        <f t="shared" si="15"/>
      </c>
      <c r="AC26" s="63">
        <f t="shared" si="16"/>
      </c>
      <c r="AD26" s="405"/>
    </row>
    <row r="27" spans="1:30" s="10" customFormat="1" ht="16.5" customHeight="1">
      <c r="A27" s="169"/>
      <c r="B27" s="175"/>
      <c r="C27" s="641"/>
      <c r="D27" s="641"/>
      <c r="E27" s="641"/>
      <c r="F27" s="507"/>
      <c r="G27" s="506"/>
      <c r="H27" s="642"/>
      <c r="I27" s="643"/>
      <c r="J27" s="268">
        <f t="shared" si="0"/>
        <v>0</v>
      </c>
      <c r="K27" s="645"/>
      <c r="L27" s="645"/>
      <c r="M27" s="26">
        <f t="shared" si="1"/>
      </c>
      <c r="N27" s="27">
        <f t="shared" si="2"/>
      </c>
      <c r="O27" s="646"/>
      <c r="P27" s="25">
        <f t="shared" si="3"/>
      </c>
      <c r="Q27" s="698">
        <f t="shared" si="4"/>
      </c>
      <c r="R27" s="25">
        <f t="shared" si="5"/>
      </c>
      <c r="S27" s="338">
        <f t="shared" si="6"/>
        <v>3</v>
      </c>
      <c r="T27" s="342" t="str">
        <f t="shared" si="7"/>
        <v>--</v>
      </c>
      <c r="U27" s="348" t="str">
        <f t="shared" si="8"/>
        <v>--</v>
      </c>
      <c r="V27" s="357" t="str">
        <f t="shared" si="9"/>
        <v>--</v>
      </c>
      <c r="W27" s="358" t="str">
        <f t="shared" si="10"/>
        <v>--</v>
      </c>
      <c r="X27" s="366" t="str">
        <f t="shared" si="11"/>
        <v>--</v>
      </c>
      <c r="Y27" s="367" t="str">
        <f t="shared" si="12"/>
        <v>--</v>
      </c>
      <c r="Z27" s="372" t="str">
        <f t="shared" si="13"/>
        <v>--</v>
      </c>
      <c r="AA27" s="378" t="str">
        <f t="shared" si="14"/>
        <v>--</v>
      </c>
      <c r="AB27" s="25">
        <f t="shared" si="15"/>
      </c>
      <c r="AC27" s="63">
        <f t="shared" si="16"/>
      </c>
      <c r="AD27" s="405"/>
    </row>
    <row r="28" spans="1:30" s="10" customFormat="1" ht="16.5" customHeight="1">
      <c r="A28" s="169"/>
      <c r="B28" s="175"/>
      <c r="C28" s="641"/>
      <c r="D28" s="641"/>
      <c r="E28" s="641"/>
      <c r="F28" s="507"/>
      <c r="G28" s="506"/>
      <c r="H28" s="642"/>
      <c r="I28" s="643"/>
      <c r="J28" s="268">
        <f t="shared" si="0"/>
        <v>0</v>
      </c>
      <c r="K28" s="645"/>
      <c r="L28" s="645"/>
      <c r="M28" s="26">
        <f t="shared" si="1"/>
      </c>
      <c r="N28" s="27">
        <f t="shared" si="2"/>
      </c>
      <c r="O28" s="646"/>
      <c r="P28" s="25">
        <f t="shared" si="3"/>
      </c>
      <c r="Q28" s="698">
        <f t="shared" si="4"/>
      </c>
      <c r="R28" s="25">
        <f t="shared" si="5"/>
      </c>
      <c r="S28" s="338">
        <f t="shared" si="6"/>
        <v>3</v>
      </c>
      <c r="T28" s="342" t="str">
        <f t="shared" si="7"/>
        <v>--</v>
      </c>
      <c r="U28" s="348" t="str">
        <f t="shared" si="8"/>
        <v>--</v>
      </c>
      <c r="V28" s="357" t="str">
        <f t="shared" si="9"/>
        <v>--</v>
      </c>
      <c r="W28" s="358" t="str">
        <f t="shared" si="10"/>
        <v>--</v>
      </c>
      <c r="X28" s="366" t="str">
        <f t="shared" si="11"/>
        <v>--</v>
      </c>
      <c r="Y28" s="367" t="str">
        <f t="shared" si="12"/>
        <v>--</v>
      </c>
      <c r="Z28" s="372" t="str">
        <f t="shared" si="13"/>
        <v>--</v>
      </c>
      <c r="AA28" s="378" t="str">
        <f t="shared" si="14"/>
        <v>--</v>
      </c>
      <c r="AB28" s="25">
        <f t="shared" si="15"/>
      </c>
      <c r="AC28" s="63">
        <f t="shared" si="16"/>
      </c>
      <c r="AD28" s="405"/>
    </row>
    <row r="29" spans="1:30" s="10" customFormat="1" ht="16.5" customHeight="1">
      <c r="A29" s="169"/>
      <c r="B29" s="175"/>
      <c r="C29" s="641"/>
      <c r="D29" s="641"/>
      <c r="E29" s="641"/>
      <c r="F29" s="507"/>
      <c r="G29" s="506"/>
      <c r="H29" s="642"/>
      <c r="I29" s="643"/>
      <c r="J29" s="268">
        <f t="shared" si="0"/>
        <v>0</v>
      </c>
      <c r="K29" s="645"/>
      <c r="L29" s="645"/>
      <c r="M29" s="26">
        <f t="shared" si="1"/>
      </c>
      <c r="N29" s="27">
        <f t="shared" si="2"/>
      </c>
      <c r="O29" s="646"/>
      <c r="P29" s="25">
        <f t="shared" si="3"/>
      </c>
      <c r="Q29" s="698">
        <f t="shared" si="4"/>
      </c>
      <c r="R29" s="25">
        <f t="shared" si="5"/>
      </c>
      <c r="S29" s="338">
        <f t="shared" si="6"/>
        <v>3</v>
      </c>
      <c r="T29" s="342" t="str">
        <f t="shared" si="7"/>
        <v>--</v>
      </c>
      <c r="U29" s="348" t="str">
        <f t="shared" si="8"/>
        <v>--</v>
      </c>
      <c r="V29" s="357" t="str">
        <f t="shared" si="9"/>
        <v>--</v>
      </c>
      <c r="W29" s="358" t="str">
        <f t="shared" si="10"/>
        <v>--</v>
      </c>
      <c r="X29" s="366" t="str">
        <f t="shared" si="11"/>
        <v>--</v>
      </c>
      <c r="Y29" s="367" t="str">
        <f t="shared" si="12"/>
        <v>--</v>
      </c>
      <c r="Z29" s="372" t="str">
        <f t="shared" si="13"/>
        <v>--</v>
      </c>
      <c r="AA29" s="378" t="str">
        <f t="shared" si="14"/>
        <v>--</v>
      </c>
      <c r="AB29" s="25">
        <f t="shared" si="15"/>
      </c>
      <c r="AC29" s="63">
        <f t="shared" si="16"/>
      </c>
      <c r="AD29" s="405"/>
    </row>
    <row r="30" spans="1:30" s="10" customFormat="1" ht="16.5" customHeight="1">
      <c r="A30" s="169"/>
      <c r="B30" s="175"/>
      <c r="C30" s="641"/>
      <c r="D30" s="641"/>
      <c r="E30" s="641"/>
      <c r="F30" s="507"/>
      <c r="G30" s="506"/>
      <c r="H30" s="642"/>
      <c r="I30" s="643"/>
      <c r="J30" s="268">
        <f t="shared" si="0"/>
        <v>0</v>
      </c>
      <c r="K30" s="645"/>
      <c r="L30" s="645"/>
      <c r="M30" s="26">
        <f t="shared" si="1"/>
      </c>
      <c r="N30" s="27">
        <f t="shared" si="2"/>
      </c>
      <c r="O30" s="646"/>
      <c r="P30" s="25">
        <f t="shared" si="3"/>
      </c>
      <c r="Q30" s="698">
        <f t="shared" si="4"/>
      </c>
      <c r="R30" s="25">
        <f t="shared" si="5"/>
      </c>
      <c r="S30" s="338">
        <f t="shared" si="6"/>
        <v>3</v>
      </c>
      <c r="T30" s="342" t="str">
        <f t="shared" si="7"/>
        <v>--</v>
      </c>
      <c r="U30" s="348" t="str">
        <f t="shared" si="8"/>
        <v>--</v>
      </c>
      <c r="V30" s="357" t="str">
        <f t="shared" si="9"/>
        <v>--</v>
      </c>
      <c r="W30" s="358" t="str">
        <f t="shared" si="10"/>
        <v>--</v>
      </c>
      <c r="X30" s="366" t="str">
        <f t="shared" si="11"/>
        <v>--</v>
      </c>
      <c r="Y30" s="367" t="str">
        <f t="shared" si="12"/>
        <v>--</v>
      </c>
      <c r="Z30" s="372" t="str">
        <f t="shared" si="13"/>
        <v>--</v>
      </c>
      <c r="AA30" s="378" t="str">
        <f t="shared" si="14"/>
        <v>--</v>
      </c>
      <c r="AB30" s="25">
        <f t="shared" si="15"/>
      </c>
      <c r="AC30" s="63">
        <f t="shared" si="16"/>
      </c>
      <c r="AD30" s="38"/>
    </row>
    <row r="31" spans="1:30" s="10" customFormat="1" ht="16.5" customHeight="1">
      <c r="A31" s="169"/>
      <c r="B31" s="175"/>
      <c r="C31" s="641"/>
      <c r="D31" s="641"/>
      <c r="E31" s="641"/>
      <c r="F31" s="507"/>
      <c r="G31" s="506"/>
      <c r="H31" s="642"/>
      <c r="I31" s="643"/>
      <c r="J31" s="268">
        <f t="shared" si="0"/>
        <v>0</v>
      </c>
      <c r="K31" s="645"/>
      <c r="L31" s="645"/>
      <c r="M31" s="26">
        <f t="shared" si="1"/>
      </c>
      <c r="N31" s="27">
        <f t="shared" si="2"/>
      </c>
      <c r="O31" s="646"/>
      <c r="P31" s="25">
        <f t="shared" si="3"/>
      </c>
      <c r="Q31" s="698">
        <f t="shared" si="4"/>
      </c>
      <c r="R31" s="25">
        <f t="shared" si="5"/>
      </c>
      <c r="S31" s="338">
        <f t="shared" si="6"/>
        <v>3</v>
      </c>
      <c r="T31" s="342" t="str">
        <f t="shared" si="7"/>
        <v>--</v>
      </c>
      <c r="U31" s="348" t="str">
        <f t="shared" si="8"/>
        <v>--</v>
      </c>
      <c r="V31" s="357" t="str">
        <f t="shared" si="9"/>
        <v>--</v>
      </c>
      <c r="W31" s="358" t="str">
        <f t="shared" si="10"/>
        <v>--</v>
      </c>
      <c r="X31" s="366" t="str">
        <f t="shared" si="11"/>
        <v>--</v>
      </c>
      <c r="Y31" s="367" t="str">
        <f t="shared" si="12"/>
        <v>--</v>
      </c>
      <c r="Z31" s="372" t="str">
        <f t="shared" si="13"/>
        <v>--</v>
      </c>
      <c r="AA31" s="378" t="str">
        <f t="shared" si="14"/>
        <v>--</v>
      </c>
      <c r="AB31" s="25">
        <f t="shared" si="15"/>
      </c>
      <c r="AC31" s="63">
        <f t="shared" si="16"/>
      </c>
      <c r="AD31" s="38"/>
    </row>
    <row r="32" spans="1:30" s="10" customFormat="1" ht="16.5" customHeight="1">
      <c r="A32" s="169"/>
      <c r="B32" s="175"/>
      <c r="C32" s="641"/>
      <c r="D32" s="641"/>
      <c r="E32" s="641"/>
      <c r="F32" s="507"/>
      <c r="G32" s="506"/>
      <c r="H32" s="642"/>
      <c r="I32" s="643"/>
      <c r="J32" s="268">
        <f t="shared" si="0"/>
        <v>0</v>
      </c>
      <c r="K32" s="645"/>
      <c r="L32" s="645"/>
      <c r="M32" s="26">
        <f t="shared" si="1"/>
      </c>
      <c r="N32" s="27">
        <f t="shared" si="2"/>
      </c>
      <c r="O32" s="646"/>
      <c r="P32" s="25">
        <f t="shared" si="3"/>
      </c>
      <c r="Q32" s="698">
        <f t="shared" si="4"/>
      </c>
      <c r="R32" s="25">
        <f t="shared" si="5"/>
      </c>
      <c r="S32" s="338">
        <f t="shared" si="6"/>
        <v>3</v>
      </c>
      <c r="T32" s="342" t="str">
        <f t="shared" si="7"/>
        <v>--</v>
      </c>
      <c r="U32" s="348" t="str">
        <f t="shared" si="8"/>
        <v>--</v>
      </c>
      <c r="V32" s="357" t="str">
        <f t="shared" si="9"/>
        <v>--</v>
      </c>
      <c r="W32" s="358" t="str">
        <f t="shared" si="10"/>
        <v>--</v>
      </c>
      <c r="X32" s="366" t="str">
        <f t="shared" si="11"/>
        <v>--</v>
      </c>
      <c r="Y32" s="367" t="str">
        <f t="shared" si="12"/>
        <v>--</v>
      </c>
      <c r="Z32" s="372" t="str">
        <f t="shared" si="13"/>
        <v>--</v>
      </c>
      <c r="AA32" s="378" t="str">
        <f t="shared" si="14"/>
        <v>--</v>
      </c>
      <c r="AB32" s="25">
        <f t="shared" si="15"/>
      </c>
      <c r="AC32" s="63">
        <f t="shared" si="16"/>
      </c>
      <c r="AD32" s="38"/>
    </row>
    <row r="33" spans="1:30" s="10" customFormat="1" ht="16.5" customHeight="1">
      <c r="A33" s="169"/>
      <c r="B33" s="175"/>
      <c r="C33" s="641"/>
      <c r="D33" s="641"/>
      <c r="E33" s="641"/>
      <c r="F33" s="507"/>
      <c r="G33" s="506"/>
      <c r="H33" s="642"/>
      <c r="I33" s="643"/>
      <c r="J33" s="268">
        <f t="shared" si="0"/>
        <v>0</v>
      </c>
      <c r="K33" s="645"/>
      <c r="L33" s="645"/>
      <c r="M33" s="26">
        <f t="shared" si="1"/>
      </c>
      <c r="N33" s="27">
        <f t="shared" si="2"/>
      </c>
      <c r="O33" s="646"/>
      <c r="P33" s="25">
        <f t="shared" si="3"/>
      </c>
      <c r="Q33" s="698">
        <f t="shared" si="4"/>
      </c>
      <c r="R33" s="25">
        <f t="shared" si="5"/>
      </c>
      <c r="S33" s="338">
        <f t="shared" si="6"/>
        <v>3</v>
      </c>
      <c r="T33" s="342" t="str">
        <f t="shared" si="7"/>
        <v>--</v>
      </c>
      <c r="U33" s="348" t="str">
        <f t="shared" si="8"/>
        <v>--</v>
      </c>
      <c r="V33" s="357" t="str">
        <f t="shared" si="9"/>
        <v>--</v>
      </c>
      <c r="W33" s="358" t="str">
        <f t="shared" si="10"/>
        <v>--</v>
      </c>
      <c r="X33" s="366" t="str">
        <f t="shared" si="11"/>
        <v>--</v>
      </c>
      <c r="Y33" s="367" t="str">
        <f t="shared" si="12"/>
        <v>--</v>
      </c>
      <c r="Z33" s="372" t="str">
        <f t="shared" si="13"/>
        <v>--</v>
      </c>
      <c r="AA33" s="378" t="str">
        <f t="shared" si="14"/>
        <v>--</v>
      </c>
      <c r="AB33" s="25">
        <f t="shared" si="15"/>
      </c>
      <c r="AC33" s="63">
        <f t="shared" si="16"/>
      </c>
      <c r="AD33" s="38"/>
    </row>
    <row r="34" spans="1:30" s="10" customFormat="1" ht="16.5" customHeight="1">
      <c r="A34" s="169"/>
      <c r="B34" s="175"/>
      <c r="C34" s="641"/>
      <c r="D34" s="641"/>
      <c r="E34" s="641"/>
      <c r="F34" s="507"/>
      <c r="G34" s="506"/>
      <c r="H34" s="642"/>
      <c r="I34" s="643"/>
      <c r="J34" s="268">
        <f t="shared" si="0"/>
        <v>0</v>
      </c>
      <c r="K34" s="645"/>
      <c r="L34" s="645"/>
      <c r="M34" s="26">
        <f t="shared" si="1"/>
      </c>
      <c r="N34" s="27">
        <f t="shared" si="2"/>
      </c>
      <c r="O34" s="646"/>
      <c r="P34" s="25">
        <f t="shared" si="3"/>
      </c>
      <c r="Q34" s="698">
        <f t="shared" si="4"/>
      </c>
      <c r="R34" s="25">
        <f t="shared" si="5"/>
      </c>
      <c r="S34" s="338">
        <f t="shared" si="6"/>
        <v>3</v>
      </c>
      <c r="T34" s="342" t="str">
        <f t="shared" si="7"/>
        <v>--</v>
      </c>
      <c r="U34" s="348" t="str">
        <f t="shared" si="8"/>
        <v>--</v>
      </c>
      <c r="V34" s="357" t="str">
        <f t="shared" si="9"/>
        <v>--</v>
      </c>
      <c r="W34" s="358" t="str">
        <f t="shared" si="10"/>
        <v>--</v>
      </c>
      <c r="X34" s="366" t="str">
        <f t="shared" si="11"/>
        <v>--</v>
      </c>
      <c r="Y34" s="367" t="str">
        <f t="shared" si="12"/>
        <v>--</v>
      </c>
      <c r="Z34" s="372" t="str">
        <f t="shared" si="13"/>
        <v>--</v>
      </c>
      <c r="AA34" s="378" t="str">
        <f t="shared" si="14"/>
        <v>--</v>
      </c>
      <c r="AB34" s="25">
        <f t="shared" si="15"/>
      </c>
      <c r="AC34" s="63">
        <f t="shared" si="16"/>
      </c>
      <c r="AD34" s="38"/>
    </row>
    <row r="35" spans="1:30" s="10" customFormat="1" ht="16.5" customHeight="1">
      <c r="A35" s="169"/>
      <c r="B35" s="175"/>
      <c r="C35" s="641"/>
      <c r="D35" s="641"/>
      <c r="E35" s="641"/>
      <c r="F35" s="507"/>
      <c r="G35" s="506"/>
      <c r="H35" s="642"/>
      <c r="I35" s="643"/>
      <c r="J35" s="268">
        <f t="shared" si="0"/>
        <v>0</v>
      </c>
      <c r="K35" s="645"/>
      <c r="L35" s="645"/>
      <c r="M35" s="26">
        <f t="shared" si="1"/>
      </c>
      <c r="N35" s="27">
        <f t="shared" si="2"/>
      </c>
      <c r="O35" s="646"/>
      <c r="P35" s="25">
        <f t="shared" si="3"/>
      </c>
      <c r="Q35" s="698">
        <f t="shared" si="4"/>
      </c>
      <c r="R35" s="25">
        <f t="shared" si="5"/>
      </c>
      <c r="S35" s="338">
        <f t="shared" si="6"/>
        <v>3</v>
      </c>
      <c r="T35" s="342" t="str">
        <f t="shared" si="7"/>
        <v>--</v>
      </c>
      <c r="U35" s="348" t="str">
        <f t="shared" si="8"/>
        <v>--</v>
      </c>
      <c r="V35" s="357" t="str">
        <f t="shared" si="9"/>
        <v>--</v>
      </c>
      <c r="W35" s="358" t="str">
        <f t="shared" si="10"/>
        <v>--</v>
      </c>
      <c r="X35" s="366" t="str">
        <f t="shared" si="11"/>
        <v>--</v>
      </c>
      <c r="Y35" s="367" t="str">
        <f t="shared" si="12"/>
        <v>--</v>
      </c>
      <c r="Z35" s="372" t="str">
        <f t="shared" si="13"/>
        <v>--</v>
      </c>
      <c r="AA35" s="378" t="str">
        <f t="shared" si="14"/>
        <v>--</v>
      </c>
      <c r="AB35" s="25">
        <f t="shared" si="15"/>
      </c>
      <c r="AC35" s="63">
        <f t="shared" si="16"/>
      </c>
      <c r="AD35" s="38"/>
    </row>
    <row r="36" spans="1:30" s="10" customFormat="1" ht="16.5" customHeight="1">
      <c r="A36" s="169"/>
      <c r="B36" s="175"/>
      <c r="C36" s="641"/>
      <c r="D36" s="641"/>
      <c r="E36" s="641"/>
      <c r="F36" s="507"/>
      <c r="G36" s="506"/>
      <c r="H36" s="642"/>
      <c r="I36" s="643"/>
      <c r="J36" s="268">
        <f t="shared" si="0"/>
        <v>0</v>
      </c>
      <c r="K36" s="645"/>
      <c r="L36" s="645"/>
      <c r="M36" s="26">
        <f t="shared" si="1"/>
      </c>
      <c r="N36" s="27">
        <f t="shared" si="2"/>
      </c>
      <c r="O36" s="646"/>
      <c r="P36" s="25">
        <f t="shared" si="3"/>
      </c>
      <c r="Q36" s="698">
        <f t="shared" si="4"/>
      </c>
      <c r="R36" s="25">
        <f t="shared" si="5"/>
      </c>
      <c r="S36" s="338">
        <f t="shared" si="6"/>
        <v>3</v>
      </c>
      <c r="T36" s="342" t="str">
        <f t="shared" si="7"/>
        <v>--</v>
      </c>
      <c r="U36" s="348" t="str">
        <f t="shared" si="8"/>
        <v>--</v>
      </c>
      <c r="V36" s="357" t="str">
        <f t="shared" si="9"/>
        <v>--</v>
      </c>
      <c r="W36" s="358" t="str">
        <f t="shared" si="10"/>
        <v>--</v>
      </c>
      <c r="X36" s="366" t="str">
        <f t="shared" si="11"/>
        <v>--</v>
      </c>
      <c r="Y36" s="367" t="str">
        <f t="shared" si="12"/>
        <v>--</v>
      </c>
      <c r="Z36" s="372" t="str">
        <f t="shared" si="13"/>
        <v>--</v>
      </c>
      <c r="AA36" s="378" t="str">
        <f t="shared" si="14"/>
        <v>--</v>
      </c>
      <c r="AB36" s="25">
        <f t="shared" si="15"/>
      </c>
      <c r="AC36" s="63">
        <f t="shared" si="16"/>
      </c>
      <c r="AD36" s="38"/>
    </row>
    <row r="37" spans="1:30" s="10" customFormat="1" ht="16.5" customHeight="1">
      <c r="A37" s="169"/>
      <c r="B37" s="175"/>
      <c r="C37" s="641"/>
      <c r="D37" s="641"/>
      <c r="E37" s="641"/>
      <c r="F37" s="507"/>
      <c r="G37" s="506"/>
      <c r="H37" s="642"/>
      <c r="I37" s="643"/>
      <c r="J37" s="268">
        <f t="shared" si="0"/>
        <v>0</v>
      </c>
      <c r="K37" s="645"/>
      <c r="L37" s="645"/>
      <c r="M37" s="26">
        <f t="shared" si="1"/>
      </c>
      <c r="N37" s="27">
        <f t="shared" si="2"/>
      </c>
      <c r="O37" s="646"/>
      <c r="P37" s="25">
        <f t="shared" si="3"/>
      </c>
      <c r="Q37" s="698">
        <f t="shared" si="4"/>
      </c>
      <c r="R37" s="25">
        <f t="shared" si="5"/>
      </c>
      <c r="S37" s="338">
        <f t="shared" si="6"/>
        <v>3</v>
      </c>
      <c r="T37" s="342" t="str">
        <f t="shared" si="7"/>
        <v>--</v>
      </c>
      <c r="U37" s="348" t="str">
        <f t="shared" si="8"/>
        <v>--</v>
      </c>
      <c r="V37" s="357" t="str">
        <f t="shared" si="9"/>
        <v>--</v>
      </c>
      <c r="W37" s="358" t="str">
        <f t="shared" si="10"/>
        <v>--</v>
      </c>
      <c r="X37" s="366" t="str">
        <f t="shared" si="11"/>
        <v>--</v>
      </c>
      <c r="Y37" s="367" t="str">
        <f t="shared" si="12"/>
        <v>--</v>
      </c>
      <c r="Z37" s="372" t="str">
        <f t="shared" si="13"/>
        <v>--</v>
      </c>
      <c r="AA37" s="378" t="str">
        <f t="shared" si="14"/>
        <v>--</v>
      </c>
      <c r="AB37" s="25">
        <f t="shared" si="15"/>
      </c>
      <c r="AC37" s="63">
        <f t="shared" si="16"/>
      </c>
      <c r="AD37" s="38"/>
    </row>
    <row r="38" spans="1:30" s="10" customFormat="1" ht="16.5" customHeight="1">
      <c r="A38" s="169"/>
      <c r="B38" s="175"/>
      <c r="C38" s="641"/>
      <c r="D38" s="641"/>
      <c r="E38" s="641"/>
      <c r="F38" s="507"/>
      <c r="G38" s="506"/>
      <c r="H38" s="642"/>
      <c r="I38" s="643"/>
      <c r="J38" s="268">
        <f t="shared" si="0"/>
        <v>0</v>
      </c>
      <c r="K38" s="645"/>
      <c r="L38" s="645"/>
      <c r="M38" s="26">
        <f t="shared" si="1"/>
      </c>
      <c r="N38" s="27">
        <f t="shared" si="2"/>
      </c>
      <c r="O38" s="646"/>
      <c r="P38" s="25">
        <f t="shared" si="3"/>
      </c>
      <c r="Q38" s="698">
        <f t="shared" si="4"/>
      </c>
      <c r="R38" s="25">
        <f t="shared" si="5"/>
      </c>
      <c r="S38" s="338">
        <f t="shared" si="6"/>
        <v>3</v>
      </c>
      <c r="T38" s="342" t="str">
        <f t="shared" si="7"/>
        <v>--</v>
      </c>
      <c r="U38" s="348" t="str">
        <f t="shared" si="8"/>
        <v>--</v>
      </c>
      <c r="V38" s="357" t="str">
        <f t="shared" si="9"/>
        <v>--</v>
      </c>
      <c r="W38" s="358" t="str">
        <f t="shared" si="10"/>
        <v>--</v>
      </c>
      <c r="X38" s="366" t="str">
        <f t="shared" si="11"/>
        <v>--</v>
      </c>
      <c r="Y38" s="367" t="str">
        <f t="shared" si="12"/>
        <v>--</v>
      </c>
      <c r="Z38" s="372" t="str">
        <f t="shared" si="13"/>
        <v>--</v>
      </c>
      <c r="AA38" s="378" t="str">
        <f t="shared" si="14"/>
        <v>--</v>
      </c>
      <c r="AB38" s="25">
        <f t="shared" si="15"/>
      </c>
      <c r="AC38" s="63">
        <f t="shared" si="16"/>
      </c>
      <c r="AD38" s="38"/>
    </row>
    <row r="39" spans="1:30" s="10" customFormat="1" ht="16.5" customHeight="1">
      <c r="A39" s="169"/>
      <c r="B39" s="175"/>
      <c r="C39" s="641"/>
      <c r="D39" s="641"/>
      <c r="E39" s="641"/>
      <c r="F39" s="507"/>
      <c r="G39" s="506"/>
      <c r="H39" s="642"/>
      <c r="I39" s="643"/>
      <c r="J39" s="268">
        <f t="shared" si="0"/>
        <v>0</v>
      </c>
      <c r="K39" s="645"/>
      <c r="L39" s="645"/>
      <c r="M39" s="26">
        <f t="shared" si="1"/>
      </c>
      <c r="N39" s="27">
        <f t="shared" si="2"/>
      </c>
      <c r="O39" s="646"/>
      <c r="P39" s="25">
        <f t="shared" si="3"/>
      </c>
      <c r="Q39" s="698">
        <f t="shared" si="4"/>
      </c>
      <c r="R39" s="25">
        <f t="shared" si="5"/>
      </c>
      <c r="S39" s="338">
        <f t="shared" si="6"/>
        <v>3</v>
      </c>
      <c r="T39" s="342" t="str">
        <f t="shared" si="7"/>
        <v>--</v>
      </c>
      <c r="U39" s="348" t="str">
        <f t="shared" si="8"/>
        <v>--</v>
      </c>
      <c r="V39" s="357" t="str">
        <f t="shared" si="9"/>
        <v>--</v>
      </c>
      <c r="W39" s="358" t="str">
        <f t="shared" si="10"/>
        <v>--</v>
      </c>
      <c r="X39" s="366" t="str">
        <f t="shared" si="11"/>
        <v>--</v>
      </c>
      <c r="Y39" s="367" t="str">
        <f t="shared" si="12"/>
        <v>--</v>
      </c>
      <c r="Z39" s="372" t="str">
        <f t="shared" si="13"/>
        <v>--</v>
      </c>
      <c r="AA39" s="378" t="str">
        <f t="shared" si="14"/>
        <v>--</v>
      </c>
      <c r="AB39" s="25">
        <f t="shared" si="15"/>
      </c>
      <c r="AC39" s="63">
        <f t="shared" si="16"/>
      </c>
      <c r="AD39" s="38"/>
    </row>
    <row r="40" spans="1:30" s="10" customFormat="1" ht="16.5" customHeight="1">
      <c r="A40" s="169"/>
      <c r="B40" s="175"/>
      <c r="C40" s="641"/>
      <c r="D40" s="641"/>
      <c r="E40" s="641"/>
      <c r="F40" s="507"/>
      <c r="G40" s="506"/>
      <c r="H40" s="642"/>
      <c r="I40" s="643"/>
      <c r="J40" s="268">
        <f t="shared" si="0"/>
        <v>0</v>
      </c>
      <c r="K40" s="645"/>
      <c r="L40" s="645"/>
      <c r="M40" s="26">
        <f t="shared" si="1"/>
      </c>
      <c r="N40" s="27">
        <f t="shared" si="2"/>
      </c>
      <c r="O40" s="646"/>
      <c r="P40" s="25">
        <f t="shared" si="3"/>
      </c>
      <c r="Q40" s="698">
        <f t="shared" si="4"/>
      </c>
      <c r="R40" s="25">
        <f t="shared" si="5"/>
      </c>
      <c r="S40" s="338">
        <f t="shared" si="6"/>
        <v>3</v>
      </c>
      <c r="T40" s="342" t="str">
        <f t="shared" si="7"/>
        <v>--</v>
      </c>
      <c r="U40" s="348" t="str">
        <f t="shared" si="8"/>
        <v>--</v>
      </c>
      <c r="V40" s="357" t="str">
        <f t="shared" si="9"/>
        <v>--</v>
      </c>
      <c r="W40" s="358" t="str">
        <f t="shared" si="10"/>
        <v>--</v>
      </c>
      <c r="X40" s="366" t="str">
        <f t="shared" si="11"/>
        <v>--</v>
      </c>
      <c r="Y40" s="367" t="str">
        <f t="shared" si="12"/>
        <v>--</v>
      </c>
      <c r="Z40" s="372" t="str">
        <f t="shared" si="13"/>
        <v>--</v>
      </c>
      <c r="AA40" s="378" t="str">
        <f t="shared" si="14"/>
        <v>--</v>
      </c>
      <c r="AB40" s="25">
        <f t="shared" si="15"/>
      </c>
      <c r="AC40" s="63">
        <f t="shared" si="16"/>
      </c>
      <c r="AD40" s="38"/>
    </row>
    <row r="41" spans="1:30" s="10" customFormat="1" ht="16.5" customHeight="1">
      <c r="A41" s="169"/>
      <c r="B41" s="175"/>
      <c r="C41" s="641"/>
      <c r="D41" s="641"/>
      <c r="E41" s="641"/>
      <c r="F41" s="507"/>
      <c r="G41" s="506"/>
      <c r="H41" s="642"/>
      <c r="I41" s="643"/>
      <c r="J41" s="268">
        <f t="shared" si="0"/>
        <v>0</v>
      </c>
      <c r="K41" s="645"/>
      <c r="L41" s="645"/>
      <c r="M41" s="26">
        <f t="shared" si="1"/>
      </c>
      <c r="N41" s="27">
        <f t="shared" si="2"/>
      </c>
      <c r="O41" s="646"/>
      <c r="P41" s="25">
        <f t="shared" si="3"/>
      </c>
      <c r="Q41" s="698">
        <f t="shared" si="4"/>
      </c>
      <c r="R41" s="25">
        <f t="shared" si="5"/>
      </c>
      <c r="S41" s="338">
        <f t="shared" si="6"/>
        <v>3</v>
      </c>
      <c r="T41" s="342" t="str">
        <f t="shared" si="7"/>
        <v>--</v>
      </c>
      <c r="U41" s="348" t="str">
        <f t="shared" si="8"/>
        <v>--</v>
      </c>
      <c r="V41" s="357" t="str">
        <f t="shared" si="9"/>
        <v>--</v>
      </c>
      <c r="W41" s="358" t="str">
        <f t="shared" si="10"/>
        <v>--</v>
      </c>
      <c r="X41" s="366" t="str">
        <f t="shared" si="11"/>
        <v>--</v>
      </c>
      <c r="Y41" s="367" t="str">
        <f t="shared" si="12"/>
        <v>--</v>
      </c>
      <c r="Z41" s="372" t="str">
        <f t="shared" si="13"/>
        <v>--</v>
      </c>
      <c r="AA41" s="378" t="str">
        <f t="shared" si="14"/>
        <v>--</v>
      </c>
      <c r="AB41" s="25">
        <f t="shared" si="15"/>
      </c>
      <c r="AC41" s="63">
        <f t="shared" si="16"/>
      </c>
      <c r="AD41" s="38"/>
    </row>
    <row r="42" spans="1:30" s="10" customFormat="1" ht="16.5" customHeight="1">
      <c r="A42" s="169"/>
      <c r="B42" s="175"/>
      <c r="C42" s="641"/>
      <c r="D42" s="641"/>
      <c r="E42" s="641"/>
      <c r="F42" s="507"/>
      <c r="G42" s="506"/>
      <c r="H42" s="642"/>
      <c r="I42" s="643"/>
      <c r="J42" s="268">
        <f t="shared" si="0"/>
        <v>0</v>
      </c>
      <c r="K42" s="645"/>
      <c r="L42" s="645"/>
      <c r="M42" s="26">
        <f t="shared" si="1"/>
      </c>
      <c r="N42" s="27">
        <f t="shared" si="2"/>
      </c>
      <c r="O42" s="646"/>
      <c r="P42" s="25">
        <f t="shared" si="3"/>
      </c>
      <c r="Q42" s="698">
        <f t="shared" si="4"/>
      </c>
      <c r="R42" s="25">
        <f t="shared" si="5"/>
      </c>
      <c r="S42" s="338">
        <f t="shared" si="6"/>
        <v>3</v>
      </c>
      <c r="T42" s="342" t="str">
        <f t="shared" si="7"/>
        <v>--</v>
      </c>
      <c r="U42" s="348" t="str">
        <f t="shared" si="8"/>
        <v>--</v>
      </c>
      <c r="V42" s="357" t="str">
        <f t="shared" si="9"/>
        <v>--</v>
      </c>
      <c r="W42" s="358" t="str">
        <f t="shared" si="10"/>
        <v>--</v>
      </c>
      <c r="X42" s="366" t="str">
        <f t="shared" si="11"/>
        <v>--</v>
      </c>
      <c r="Y42" s="367" t="str">
        <f t="shared" si="12"/>
        <v>--</v>
      </c>
      <c r="Z42" s="372" t="str">
        <f t="shared" si="13"/>
        <v>--</v>
      </c>
      <c r="AA42" s="378" t="str">
        <f t="shared" si="14"/>
        <v>--</v>
      </c>
      <c r="AB42" s="25">
        <f t="shared" si="15"/>
      </c>
      <c r="AC42" s="63">
        <f t="shared" si="16"/>
      </c>
      <c r="AD42" s="38"/>
    </row>
    <row r="43" spans="1:30" s="10" customFormat="1" ht="16.5" customHeight="1">
      <c r="A43" s="169"/>
      <c r="B43" s="175"/>
      <c r="C43" s="641"/>
      <c r="D43" s="641"/>
      <c r="E43" s="641"/>
      <c r="F43" s="507"/>
      <c r="G43" s="506"/>
      <c r="H43" s="642"/>
      <c r="I43" s="643"/>
      <c r="J43" s="268">
        <f t="shared" si="0"/>
        <v>0</v>
      </c>
      <c r="K43" s="645"/>
      <c r="L43" s="645"/>
      <c r="M43" s="26">
        <f t="shared" si="1"/>
      </c>
      <c r="N43" s="27">
        <f t="shared" si="2"/>
      </c>
      <c r="O43" s="646"/>
      <c r="P43" s="25">
        <f t="shared" si="3"/>
      </c>
      <c r="Q43" s="698">
        <f t="shared" si="4"/>
      </c>
      <c r="R43" s="25">
        <f t="shared" si="5"/>
      </c>
      <c r="S43" s="338">
        <f t="shared" si="6"/>
        <v>3</v>
      </c>
      <c r="T43" s="342" t="str">
        <f t="shared" si="7"/>
        <v>--</v>
      </c>
      <c r="U43" s="348" t="str">
        <f t="shared" si="8"/>
        <v>--</v>
      </c>
      <c r="V43" s="357" t="str">
        <f t="shared" si="9"/>
        <v>--</v>
      </c>
      <c r="W43" s="358" t="str">
        <f t="shared" si="10"/>
        <v>--</v>
      </c>
      <c r="X43" s="366" t="str">
        <f t="shared" si="11"/>
        <v>--</v>
      </c>
      <c r="Y43" s="367" t="str">
        <f t="shared" si="12"/>
        <v>--</v>
      </c>
      <c r="Z43" s="372" t="str">
        <f t="shared" si="13"/>
        <v>--</v>
      </c>
      <c r="AA43" s="378" t="str">
        <f t="shared" si="14"/>
        <v>--</v>
      </c>
      <c r="AB43" s="25">
        <f t="shared" si="15"/>
      </c>
      <c r="AC43" s="63">
        <f t="shared" si="16"/>
      </c>
      <c r="AD43" s="38"/>
    </row>
    <row r="44" spans="1:30" s="10" customFormat="1" ht="16.5" customHeight="1" thickBot="1">
      <c r="A44" s="169"/>
      <c r="B44" s="175"/>
      <c r="C44" s="644"/>
      <c r="D44" s="644"/>
      <c r="E44" s="644"/>
      <c r="F44" s="644"/>
      <c r="G44" s="644"/>
      <c r="H44" s="644"/>
      <c r="I44" s="644"/>
      <c r="J44" s="272"/>
      <c r="K44" s="644"/>
      <c r="L44" s="644"/>
      <c r="M44" s="29"/>
      <c r="N44" s="29"/>
      <c r="O44" s="644"/>
      <c r="P44" s="644"/>
      <c r="Q44" s="644"/>
      <c r="R44" s="644"/>
      <c r="S44" s="339"/>
      <c r="T44" s="343"/>
      <c r="U44" s="349"/>
      <c r="V44" s="381"/>
      <c r="W44" s="382"/>
      <c r="X44" s="383"/>
      <c r="Y44" s="384"/>
      <c r="Z44" s="373"/>
      <c r="AA44" s="379"/>
      <c r="AB44" s="29"/>
      <c r="AC44" s="217"/>
      <c r="AD44" s="38"/>
    </row>
    <row r="45" spans="1:30" s="10" customFormat="1" ht="16.5" customHeight="1" thickBot="1" thickTop="1">
      <c r="A45" s="169"/>
      <c r="B45" s="175"/>
      <c r="C45" s="718" t="s">
        <v>153</v>
      </c>
      <c r="D45" s="719" t="s">
        <v>151</v>
      </c>
      <c r="E45" s="681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4">
        <f aca="true" t="shared" si="17" ref="T45:AA45">SUM(T22:T44)</f>
        <v>5.491530000000001</v>
      </c>
      <c r="U45" s="350">
        <f t="shared" si="17"/>
        <v>0</v>
      </c>
      <c r="V45" s="359">
        <f t="shared" si="17"/>
        <v>0</v>
      </c>
      <c r="W45" s="359">
        <f t="shared" si="17"/>
        <v>0</v>
      </c>
      <c r="X45" s="368">
        <f t="shared" si="17"/>
        <v>0</v>
      </c>
      <c r="Y45" s="368">
        <f t="shared" si="17"/>
        <v>0</v>
      </c>
      <c r="Z45" s="374">
        <f t="shared" si="17"/>
        <v>0</v>
      </c>
      <c r="AA45" s="380">
        <f t="shared" si="17"/>
        <v>0</v>
      </c>
      <c r="AB45" s="31"/>
      <c r="AC45" s="256">
        <f>ROUND(SUM(AC22:AC44),2)</f>
        <v>5.49</v>
      </c>
      <c r="AD45" s="38"/>
    </row>
    <row r="46" spans="1:30" s="258" customFormat="1" ht="9.75" thickTop="1">
      <c r="A46" s="259"/>
      <c r="B46" s="260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262"/>
      <c r="V46" s="262"/>
      <c r="W46" s="262"/>
      <c r="X46" s="262"/>
      <c r="Y46" s="262"/>
      <c r="Z46" s="262"/>
      <c r="AA46" s="262"/>
      <c r="AB46" s="261"/>
      <c r="AC46" s="263"/>
      <c r="AD46" s="264"/>
    </row>
    <row r="47" spans="1:30" s="10" customFormat="1" ht="16.5" customHeight="1" thickBot="1">
      <c r="A47" s="169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43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70" zoomScaleNormal="70" workbookViewId="0" topLeftCell="A1">
      <selection activeCell="A24" sqref="A24:IV2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0"/>
    </row>
    <row r="2" spans="2:23" s="109" customFormat="1" ht="26.25">
      <c r="B2" s="110" t="str">
        <f>+'TOT-0513'!B2</f>
        <v>ANEXO V al Memorándum  D.T.E.E.  N°           / 2014.-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84" t="s">
        <v>16</v>
      </c>
      <c r="C4" s="683"/>
      <c r="D4" s="683"/>
    </row>
    <row r="5" spans="1:4" s="112" customFormat="1" ht="11.25">
      <c r="A5" s="684" t="s">
        <v>128</v>
      </c>
      <c r="C5" s="683"/>
      <c r="D5" s="683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36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124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+'TOT-0513'!B14</f>
        <v>Desde el 01 al 31 de mayo de 2013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2" t="s">
        <v>77</v>
      </c>
      <c r="G15" s="223">
        <v>15.7740927</v>
      </c>
      <c r="H15" s="93">
        <f>60*'TOT-0513'!B13</f>
        <v>60</v>
      </c>
      <c r="I15" s="122"/>
      <c r="J15" s="238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2" t="s">
        <v>78</v>
      </c>
      <c r="G16" s="223">
        <v>6.3079374</v>
      </c>
      <c r="H16" s="93">
        <f>50*'TOT-0513'!B13</f>
        <v>50</v>
      </c>
      <c r="J16" s="238" t="str">
        <f>IF(H16=50," ",IF(H16=100,"Coeficiente duplicado por tasa de falla &gt;4 Sal. x año/100 km.","REVISAR COEFICIENTE"))</f>
        <v> </v>
      </c>
      <c r="Q16" s="274"/>
      <c r="S16" s="8"/>
      <c r="T16" s="8"/>
      <c r="U16" s="8"/>
      <c r="V16" s="219"/>
      <c r="W16" s="11"/>
    </row>
    <row r="17" spans="2:23" s="10" customFormat="1" ht="16.5" customHeight="1" thickBot="1" thickTop="1">
      <c r="B17" s="44"/>
      <c r="C17" s="8"/>
      <c r="D17" s="8"/>
      <c r="E17" s="8"/>
      <c r="F17" s="224" t="s">
        <v>79</v>
      </c>
      <c r="G17" s="225">
        <v>4.733608800000001</v>
      </c>
      <c r="H17" s="226">
        <f>25*'TOT-0513'!B13</f>
        <v>25</v>
      </c>
      <c r="J17" s="238" t="str">
        <f>IF(H17=25," ",IF(H17=50,"Coeficiente duplicado por tasa de falla &gt;4 Sal. x año/100 km.","REVISAR COEFICIENTE"))</f>
        <v> </v>
      </c>
      <c r="K17" s="167"/>
      <c r="L17" s="167"/>
      <c r="M17" s="8"/>
      <c r="P17" s="220"/>
      <c r="Q17" s="221"/>
      <c r="R17" s="36"/>
      <c r="S17" s="8"/>
      <c r="T17" s="8"/>
      <c r="U17" s="8"/>
      <c r="V17" s="219"/>
      <c r="W17" s="11"/>
    </row>
    <row r="18" spans="2:23" s="10" customFormat="1" ht="16.5" customHeight="1" thickBot="1" thickTop="1">
      <c r="B18" s="44"/>
      <c r="C18" s="8"/>
      <c r="D18" s="8"/>
      <c r="E18" s="8"/>
      <c r="F18" s="227" t="s">
        <v>80</v>
      </c>
      <c r="G18" s="225">
        <v>4.733608800000001</v>
      </c>
      <c r="H18" s="228">
        <f>20*'TOT-0513'!B13</f>
        <v>20</v>
      </c>
      <c r="J18" s="238" t="str">
        <f>IF(H18=20," ",IF(H18=40,"Coeficiente duplicado por tasa de falla &gt;4 Sal. x año/100 km.","REVISAR COEFICIENTE"))</f>
        <v> </v>
      </c>
      <c r="K18" s="167"/>
      <c r="L18" s="167"/>
      <c r="M18" s="8"/>
      <c r="P18" s="220"/>
      <c r="Q18" s="221"/>
      <c r="R18" s="36"/>
      <c r="S18" s="8"/>
      <c r="T18" s="8"/>
      <c r="U18" s="8"/>
      <c r="V18" s="219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76"/>
      <c r="H19" s="677"/>
      <c r="J19" s="238"/>
      <c r="K19" s="167"/>
      <c r="L19" s="167"/>
      <c r="M19" s="8"/>
      <c r="P19" s="220"/>
      <c r="Q19" s="221"/>
      <c r="R19" s="36"/>
      <c r="S19" s="8"/>
      <c r="T19" s="8"/>
      <c r="U19" s="8"/>
      <c r="V19" s="219"/>
      <c r="W19" s="11"/>
    </row>
    <row r="20" spans="2:23" s="707" customFormat="1" ht="15" customHeight="1" thickBot="1">
      <c r="B20" s="704"/>
      <c r="C20" s="703">
        <v>3</v>
      </c>
      <c r="D20" s="703">
        <v>4</v>
      </c>
      <c r="E20" s="703">
        <v>5</v>
      </c>
      <c r="F20" s="703">
        <v>6</v>
      </c>
      <c r="G20" s="703">
        <v>7</v>
      </c>
      <c r="H20" s="703">
        <v>8</v>
      </c>
      <c r="I20" s="703">
        <v>9</v>
      </c>
      <c r="J20" s="703">
        <v>10</v>
      </c>
      <c r="K20" s="703">
        <v>11</v>
      </c>
      <c r="L20" s="703">
        <v>12</v>
      </c>
      <c r="M20" s="703">
        <v>13</v>
      </c>
      <c r="N20" s="703">
        <v>14</v>
      </c>
      <c r="O20" s="703">
        <v>15</v>
      </c>
      <c r="P20" s="703">
        <v>16</v>
      </c>
      <c r="Q20" s="703">
        <v>17</v>
      </c>
      <c r="R20" s="703">
        <v>18</v>
      </c>
      <c r="S20" s="703">
        <v>19</v>
      </c>
      <c r="T20" s="703">
        <v>20</v>
      </c>
      <c r="U20" s="703">
        <v>21</v>
      </c>
      <c r="V20" s="703">
        <v>22</v>
      </c>
      <c r="W20" s="706"/>
    </row>
    <row r="21" spans="2:23" s="10" customFormat="1" ht="33.75" customHeight="1" thickBot="1" thickTop="1">
      <c r="B21" s="44"/>
      <c r="C21" s="215" t="s">
        <v>42</v>
      </c>
      <c r="D21" s="101" t="s">
        <v>127</v>
      </c>
      <c r="E21" s="101" t="s">
        <v>126</v>
      </c>
      <c r="F21" s="213" t="s">
        <v>65</v>
      </c>
      <c r="G21" s="229" t="s">
        <v>14</v>
      </c>
      <c r="H21" s="232" t="s">
        <v>43</v>
      </c>
      <c r="I21" s="265" t="s">
        <v>45</v>
      </c>
      <c r="J21" s="209" t="s">
        <v>46</v>
      </c>
      <c r="K21" s="229" t="s">
        <v>47</v>
      </c>
      <c r="L21" s="231" t="s">
        <v>69</v>
      </c>
      <c r="M21" s="231" t="s">
        <v>70</v>
      </c>
      <c r="N21" s="105" t="s">
        <v>50</v>
      </c>
      <c r="O21" s="214" t="s">
        <v>71</v>
      </c>
      <c r="P21" s="386" t="s">
        <v>81</v>
      </c>
      <c r="Q21" s="320" t="s">
        <v>52</v>
      </c>
      <c r="R21" s="360" t="s">
        <v>75</v>
      </c>
      <c r="S21" s="361"/>
      <c r="T21" s="396" t="s">
        <v>56</v>
      </c>
      <c r="U21" s="211" t="s">
        <v>58</v>
      </c>
      <c r="V21" s="211" t="s">
        <v>59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3"/>
      <c r="J22" s="33"/>
      <c r="K22" s="34"/>
      <c r="L22" s="35"/>
      <c r="M22" s="64"/>
      <c r="N22" s="388"/>
      <c r="O22" s="388"/>
      <c r="P22" s="389"/>
      <c r="Q22" s="391"/>
      <c r="R22" s="393"/>
      <c r="S22" s="394"/>
      <c r="T22" s="397"/>
      <c r="U22" s="395"/>
      <c r="V22" s="390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3"/>
      <c r="J23" s="33"/>
      <c r="K23" s="34"/>
      <c r="L23" s="35"/>
      <c r="M23" s="64"/>
      <c r="N23" s="28"/>
      <c r="O23" s="28"/>
      <c r="P23" s="387"/>
      <c r="Q23" s="392"/>
      <c r="R23" s="366"/>
      <c r="S23" s="367"/>
      <c r="T23" s="398"/>
      <c r="U23" s="25"/>
      <c r="V23" s="230"/>
      <c r="W23" s="38"/>
    </row>
    <row r="24" spans="2:23" s="10" customFormat="1" ht="16.5" customHeight="1">
      <c r="B24" s="44"/>
      <c r="C24" s="656">
        <v>16</v>
      </c>
      <c r="D24" s="641">
        <v>260765</v>
      </c>
      <c r="E24" s="641">
        <v>1775</v>
      </c>
      <c r="F24" s="657" t="s">
        <v>13</v>
      </c>
      <c r="G24" s="657" t="s">
        <v>145</v>
      </c>
      <c r="H24" s="663">
        <v>13.2</v>
      </c>
      <c r="I24" s="273">
        <f aca="true" t="shared" si="0" ref="I24:I43">IF(H24=330,$G$15,IF(AND(H24&lt;=132,H24&gt;=66),$G$16,IF(AND(H24&lt;66,H24&gt;=33),$G$17,$G$18)))</f>
        <v>4.733608800000001</v>
      </c>
      <c r="J24" s="658">
        <v>41411.46805555555</v>
      </c>
      <c r="K24" s="659">
        <v>41411.54513888889</v>
      </c>
      <c r="L24" s="35">
        <f aca="true" t="shared" si="1" ref="L24:L43">IF(F24="","",(K24-J24)*24)</f>
        <v>1.8500000000931323</v>
      </c>
      <c r="M24" s="64">
        <f aca="true" t="shared" si="2" ref="M24:M43">IF(F24="","",ROUND((K24-J24)*24*60,0))</f>
        <v>111</v>
      </c>
      <c r="N24" s="660" t="s">
        <v>133</v>
      </c>
      <c r="O24" s="28" t="str">
        <f aca="true" t="shared" si="3" ref="O24:O43">IF(F24="","",IF(N24="P","--","NO"))</f>
        <v>--</v>
      </c>
      <c r="P24" s="387">
        <f aca="true" t="shared" si="4" ref="P24:P43">IF(H24=330,$H$15,IF(AND(H24&lt;=132,H24&gt;=66),$H$16,IF(AND(H24&lt;66,H24&gt;13.2),$H$17,$H$18)))</f>
        <v>20</v>
      </c>
      <c r="Q24" s="701">
        <f aca="true" t="shared" si="5" ref="Q24:Q43">IF(N24="P",I24*P24*ROUND(M24/60,2)*0.1,"--")</f>
        <v>17.514352560000003</v>
      </c>
      <c r="R24" s="366" t="str">
        <f aca="true" t="shared" si="6" ref="R24:R43">IF(AND(N24="F",O24="NO"),I24*P24,"--")</f>
        <v>--</v>
      </c>
      <c r="S24" s="367" t="str">
        <f aca="true" t="shared" si="7" ref="S24:S43">IF(N24="F",I24*P24*ROUND(M24/60,2),"--")</f>
        <v>--</v>
      </c>
      <c r="T24" s="398" t="str">
        <f aca="true" t="shared" si="8" ref="T24:T43">IF(N24="RF",I24*P24*ROUND(M24/60,2),"--")</f>
        <v>--</v>
      </c>
      <c r="U24" s="25" t="str">
        <f aca="true" t="shared" si="9" ref="U24:U43">IF(F24="","","SI")</f>
        <v>SI</v>
      </c>
      <c r="V24" s="65">
        <f aca="true" t="shared" si="10" ref="V24:V43">IF(F24="","",SUM(Q24:T24)*IF(U24="SI",1,2)*IF(H24="500/220",0,1))</f>
        <v>17.514352560000003</v>
      </c>
      <c r="W24" s="38"/>
    </row>
    <row r="25" spans="2:23" s="10" customFormat="1" ht="16.5" customHeight="1">
      <c r="B25" s="44"/>
      <c r="C25" s="656">
        <v>17</v>
      </c>
      <c r="D25" s="641">
        <v>260945</v>
      </c>
      <c r="E25" s="641">
        <v>1774</v>
      </c>
      <c r="F25" s="657" t="s">
        <v>13</v>
      </c>
      <c r="G25" s="657" t="s">
        <v>146</v>
      </c>
      <c r="H25" s="663">
        <v>13.2</v>
      </c>
      <c r="I25" s="273">
        <f t="shared" si="0"/>
        <v>4.733608800000001</v>
      </c>
      <c r="J25" s="658">
        <v>41414.63333333333</v>
      </c>
      <c r="K25" s="659">
        <v>41414.691666666666</v>
      </c>
      <c r="L25" s="35">
        <f t="shared" si="1"/>
        <v>1.400000000023283</v>
      </c>
      <c r="M25" s="64">
        <f t="shared" si="2"/>
        <v>84</v>
      </c>
      <c r="N25" s="660" t="s">
        <v>133</v>
      </c>
      <c r="O25" s="28" t="str">
        <f t="shared" si="3"/>
        <v>--</v>
      </c>
      <c r="P25" s="387">
        <f t="shared" si="4"/>
        <v>20</v>
      </c>
      <c r="Q25" s="701">
        <f t="shared" si="5"/>
        <v>13.254104640000001</v>
      </c>
      <c r="R25" s="366" t="str">
        <f t="shared" si="6"/>
        <v>--</v>
      </c>
      <c r="S25" s="367" t="str">
        <f t="shared" si="7"/>
        <v>--</v>
      </c>
      <c r="T25" s="398" t="str">
        <f t="shared" si="8"/>
        <v>--</v>
      </c>
      <c r="U25" s="25" t="str">
        <f t="shared" si="9"/>
        <v>SI</v>
      </c>
      <c r="V25" s="65">
        <f t="shared" si="10"/>
        <v>13.254104640000001</v>
      </c>
      <c r="W25" s="38"/>
    </row>
    <row r="26" spans="2:23" s="10" customFormat="1" ht="16.5" customHeight="1">
      <c r="B26" s="44"/>
      <c r="C26" s="656">
        <v>18</v>
      </c>
      <c r="D26" s="641">
        <v>260947</v>
      </c>
      <c r="E26" s="641">
        <v>1750</v>
      </c>
      <c r="F26" s="657" t="s">
        <v>144</v>
      </c>
      <c r="G26" s="657" t="s">
        <v>147</v>
      </c>
      <c r="H26" s="663">
        <v>33</v>
      </c>
      <c r="I26" s="273">
        <f t="shared" si="0"/>
        <v>4.733608800000001</v>
      </c>
      <c r="J26" s="658">
        <v>41415.459027777775</v>
      </c>
      <c r="K26" s="659">
        <v>41415.59166666667</v>
      </c>
      <c r="L26" s="35">
        <f t="shared" si="1"/>
        <v>3.183333333407063</v>
      </c>
      <c r="M26" s="64">
        <f t="shared" si="2"/>
        <v>191</v>
      </c>
      <c r="N26" s="660" t="s">
        <v>133</v>
      </c>
      <c r="O26" s="28" t="str">
        <f t="shared" si="3"/>
        <v>--</v>
      </c>
      <c r="P26" s="387">
        <f t="shared" si="4"/>
        <v>25</v>
      </c>
      <c r="Q26" s="701">
        <f t="shared" si="5"/>
        <v>37.632189960000005</v>
      </c>
      <c r="R26" s="366" t="str">
        <f t="shared" si="6"/>
        <v>--</v>
      </c>
      <c r="S26" s="367" t="str">
        <f t="shared" si="7"/>
        <v>--</v>
      </c>
      <c r="T26" s="398" t="str">
        <f t="shared" si="8"/>
        <v>--</v>
      </c>
      <c r="U26" s="25" t="str">
        <f t="shared" si="9"/>
        <v>SI</v>
      </c>
      <c r="V26" s="65">
        <f t="shared" si="10"/>
        <v>37.632189960000005</v>
      </c>
      <c r="W26" s="38"/>
    </row>
    <row r="27" spans="2:23" s="10" customFormat="1" ht="16.5" customHeight="1">
      <c r="B27" s="44"/>
      <c r="C27" s="656">
        <v>19</v>
      </c>
      <c r="D27" s="641">
        <v>260951</v>
      </c>
      <c r="E27" s="641">
        <v>4893</v>
      </c>
      <c r="F27" s="657" t="s">
        <v>13</v>
      </c>
      <c r="G27" s="657" t="s">
        <v>148</v>
      </c>
      <c r="H27" s="663">
        <v>13.2</v>
      </c>
      <c r="I27" s="273">
        <f t="shared" si="0"/>
        <v>4.733608800000001</v>
      </c>
      <c r="J27" s="658">
        <v>41416.384722222225</v>
      </c>
      <c r="K27" s="659">
        <v>41416.55625</v>
      </c>
      <c r="L27" s="35">
        <f t="shared" si="1"/>
        <v>4.116666666639503</v>
      </c>
      <c r="M27" s="64">
        <f t="shared" si="2"/>
        <v>247</v>
      </c>
      <c r="N27" s="660" t="s">
        <v>133</v>
      </c>
      <c r="O27" s="28" t="str">
        <f t="shared" si="3"/>
        <v>--</v>
      </c>
      <c r="P27" s="387">
        <f t="shared" si="4"/>
        <v>20</v>
      </c>
      <c r="Q27" s="701">
        <f t="shared" si="5"/>
        <v>39.00493651200001</v>
      </c>
      <c r="R27" s="366" t="str">
        <f t="shared" si="6"/>
        <v>--</v>
      </c>
      <c r="S27" s="367" t="str">
        <f t="shared" si="7"/>
        <v>--</v>
      </c>
      <c r="T27" s="398" t="str">
        <f t="shared" si="8"/>
        <v>--</v>
      </c>
      <c r="U27" s="25" t="str">
        <f t="shared" si="9"/>
        <v>SI</v>
      </c>
      <c r="V27" s="65">
        <f t="shared" si="10"/>
        <v>39.00493651200001</v>
      </c>
      <c r="W27" s="38"/>
    </row>
    <row r="28" spans="2:23" s="10" customFormat="1" ht="16.5" customHeight="1">
      <c r="B28" s="44"/>
      <c r="C28" s="656"/>
      <c r="D28" s="641"/>
      <c r="E28" s="641"/>
      <c r="F28" s="657"/>
      <c r="G28" s="657"/>
      <c r="H28" s="663"/>
      <c r="I28" s="273">
        <f t="shared" si="0"/>
        <v>4.733608800000001</v>
      </c>
      <c r="J28" s="658"/>
      <c r="K28" s="659"/>
      <c r="L28" s="35">
        <f t="shared" si="1"/>
      </c>
      <c r="M28" s="64">
        <f t="shared" si="2"/>
      </c>
      <c r="N28" s="660"/>
      <c r="O28" s="28">
        <f t="shared" si="3"/>
      </c>
      <c r="P28" s="387">
        <f t="shared" si="4"/>
        <v>20</v>
      </c>
      <c r="Q28" s="701" t="str">
        <f t="shared" si="5"/>
        <v>--</v>
      </c>
      <c r="R28" s="366" t="str">
        <f t="shared" si="6"/>
        <v>--</v>
      </c>
      <c r="S28" s="367" t="str">
        <f t="shared" si="7"/>
        <v>--</v>
      </c>
      <c r="T28" s="398" t="str">
        <f t="shared" si="8"/>
        <v>--</v>
      </c>
      <c r="U28" s="25">
        <f t="shared" si="9"/>
      </c>
      <c r="V28" s="65">
        <f t="shared" si="10"/>
      </c>
      <c r="W28" s="38"/>
    </row>
    <row r="29" spans="2:23" s="10" customFormat="1" ht="16.5" customHeight="1">
      <c r="B29" s="44"/>
      <c r="C29" s="656"/>
      <c r="D29" s="641"/>
      <c r="E29" s="641"/>
      <c r="F29" s="657"/>
      <c r="G29" s="657"/>
      <c r="H29" s="663"/>
      <c r="I29" s="273">
        <f t="shared" si="0"/>
        <v>4.733608800000001</v>
      </c>
      <c r="J29" s="658"/>
      <c r="K29" s="659"/>
      <c r="L29" s="35">
        <f t="shared" si="1"/>
      </c>
      <c r="M29" s="64">
        <f t="shared" si="2"/>
      </c>
      <c r="N29" s="660"/>
      <c r="O29" s="28">
        <f t="shared" si="3"/>
      </c>
      <c r="P29" s="387">
        <f t="shared" si="4"/>
        <v>20</v>
      </c>
      <c r="Q29" s="701" t="str">
        <f t="shared" si="5"/>
        <v>--</v>
      </c>
      <c r="R29" s="366" t="str">
        <f t="shared" si="6"/>
        <v>--</v>
      </c>
      <c r="S29" s="367" t="str">
        <f t="shared" si="7"/>
        <v>--</v>
      </c>
      <c r="T29" s="398" t="str">
        <f t="shared" si="8"/>
        <v>--</v>
      </c>
      <c r="U29" s="25">
        <f t="shared" si="9"/>
      </c>
      <c r="V29" s="65">
        <f t="shared" si="10"/>
      </c>
      <c r="W29" s="38"/>
    </row>
    <row r="30" spans="2:23" s="10" customFormat="1" ht="16.5" customHeight="1">
      <c r="B30" s="44"/>
      <c r="C30" s="656"/>
      <c r="D30" s="641"/>
      <c r="E30" s="641"/>
      <c r="F30" s="657"/>
      <c r="G30" s="657"/>
      <c r="H30" s="663"/>
      <c r="I30" s="273">
        <f t="shared" si="0"/>
        <v>4.733608800000001</v>
      </c>
      <c r="J30" s="658"/>
      <c r="K30" s="659"/>
      <c r="L30" s="35">
        <f t="shared" si="1"/>
      </c>
      <c r="M30" s="64">
        <f t="shared" si="2"/>
      </c>
      <c r="N30" s="660"/>
      <c r="O30" s="28">
        <f t="shared" si="3"/>
      </c>
      <c r="P30" s="387">
        <f t="shared" si="4"/>
        <v>20</v>
      </c>
      <c r="Q30" s="701" t="str">
        <f t="shared" si="5"/>
        <v>--</v>
      </c>
      <c r="R30" s="366" t="str">
        <f t="shared" si="6"/>
        <v>--</v>
      </c>
      <c r="S30" s="367" t="str">
        <f t="shared" si="7"/>
        <v>--</v>
      </c>
      <c r="T30" s="398" t="str">
        <f t="shared" si="8"/>
        <v>--</v>
      </c>
      <c r="U30" s="25">
        <f t="shared" si="9"/>
      </c>
      <c r="V30" s="65">
        <f t="shared" si="10"/>
      </c>
      <c r="W30" s="38"/>
    </row>
    <row r="31" spans="2:23" s="10" customFormat="1" ht="16.5" customHeight="1">
      <c r="B31" s="44"/>
      <c r="C31" s="656"/>
      <c r="D31" s="641"/>
      <c r="E31" s="641"/>
      <c r="F31" s="657"/>
      <c r="G31" s="657"/>
      <c r="H31" s="663"/>
      <c r="I31" s="273">
        <f t="shared" si="0"/>
        <v>4.733608800000001</v>
      </c>
      <c r="J31" s="658"/>
      <c r="K31" s="659"/>
      <c r="L31" s="35">
        <f t="shared" si="1"/>
      </c>
      <c r="M31" s="64">
        <f t="shared" si="2"/>
      </c>
      <c r="N31" s="660"/>
      <c r="O31" s="28">
        <f t="shared" si="3"/>
      </c>
      <c r="P31" s="387">
        <f t="shared" si="4"/>
        <v>20</v>
      </c>
      <c r="Q31" s="701" t="str">
        <f t="shared" si="5"/>
        <v>--</v>
      </c>
      <c r="R31" s="366" t="str">
        <f t="shared" si="6"/>
        <v>--</v>
      </c>
      <c r="S31" s="367" t="str">
        <f t="shared" si="7"/>
        <v>--</v>
      </c>
      <c r="T31" s="398" t="str">
        <f t="shared" si="8"/>
        <v>--</v>
      </c>
      <c r="U31" s="25">
        <f t="shared" si="9"/>
      </c>
      <c r="V31" s="65">
        <f t="shared" si="10"/>
      </c>
      <c r="W31" s="38"/>
    </row>
    <row r="32" spans="2:23" s="10" customFormat="1" ht="16.5" customHeight="1">
      <c r="B32" s="44"/>
      <c r="C32" s="656"/>
      <c r="D32" s="641"/>
      <c r="E32" s="641"/>
      <c r="F32" s="657"/>
      <c r="G32" s="657"/>
      <c r="H32" s="663"/>
      <c r="I32" s="273">
        <f t="shared" si="0"/>
        <v>4.733608800000001</v>
      </c>
      <c r="J32" s="658"/>
      <c r="K32" s="659"/>
      <c r="L32" s="35">
        <f t="shared" si="1"/>
      </c>
      <c r="M32" s="64">
        <f t="shared" si="2"/>
      </c>
      <c r="N32" s="660"/>
      <c r="O32" s="28">
        <f t="shared" si="3"/>
      </c>
      <c r="P32" s="387">
        <f t="shared" si="4"/>
        <v>20</v>
      </c>
      <c r="Q32" s="701" t="str">
        <f t="shared" si="5"/>
        <v>--</v>
      </c>
      <c r="R32" s="366" t="str">
        <f t="shared" si="6"/>
        <v>--</v>
      </c>
      <c r="S32" s="367" t="str">
        <f t="shared" si="7"/>
        <v>--</v>
      </c>
      <c r="T32" s="398" t="str">
        <f t="shared" si="8"/>
        <v>--</v>
      </c>
      <c r="U32" s="25">
        <f t="shared" si="9"/>
      </c>
      <c r="V32" s="65">
        <f t="shared" si="10"/>
      </c>
      <c r="W32" s="38"/>
    </row>
    <row r="33" spans="2:23" s="10" customFormat="1" ht="16.5" customHeight="1">
      <c r="B33" s="44"/>
      <c r="C33" s="656"/>
      <c r="D33" s="641"/>
      <c r="E33" s="641"/>
      <c r="F33" s="657"/>
      <c r="G33" s="657"/>
      <c r="H33" s="663"/>
      <c r="I33" s="273">
        <f t="shared" si="0"/>
        <v>4.733608800000001</v>
      </c>
      <c r="J33" s="658"/>
      <c r="K33" s="659"/>
      <c r="L33" s="35">
        <f t="shared" si="1"/>
      </c>
      <c r="M33" s="64">
        <f t="shared" si="2"/>
      </c>
      <c r="N33" s="660"/>
      <c r="O33" s="28">
        <f t="shared" si="3"/>
      </c>
      <c r="P33" s="387">
        <f t="shared" si="4"/>
        <v>20</v>
      </c>
      <c r="Q33" s="701" t="str">
        <f t="shared" si="5"/>
        <v>--</v>
      </c>
      <c r="R33" s="366" t="str">
        <f t="shared" si="6"/>
        <v>--</v>
      </c>
      <c r="S33" s="367" t="str">
        <f t="shared" si="7"/>
        <v>--</v>
      </c>
      <c r="T33" s="398" t="str">
        <f t="shared" si="8"/>
        <v>--</v>
      </c>
      <c r="U33" s="25">
        <f t="shared" si="9"/>
      </c>
      <c r="V33" s="65">
        <f t="shared" si="10"/>
      </c>
      <c r="W33" s="38"/>
    </row>
    <row r="34" spans="2:23" s="10" customFormat="1" ht="16.5" customHeight="1">
      <c r="B34" s="44"/>
      <c r="C34" s="656"/>
      <c r="D34" s="641"/>
      <c r="E34" s="641"/>
      <c r="F34" s="657"/>
      <c r="G34" s="657"/>
      <c r="H34" s="663"/>
      <c r="I34" s="273">
        <f t="shared" si="0"/>
        <v>4.733608800000001</v>
      </c>
      <c r="J34" s="658"/>
      <c r="K34" s="659"/>
      <c r="L34" s="35">
        <f t="shared" si="1"/>
      </c>
      <c r="M34" s="64">
        <f t="shared" si="2"/>
      </c>
      <c r="N34" s="660"/>
      <c r="O34" s="28">
        <f t="shared" si="3"/>
      </c>
      <c r="P34" s="387">
        <f t="shared" si="4"/>
        <v>20</v>
      </c>
      <c r="Q34" s="701" t="str">
        <f t="shared" si="5"/>
        <v>--</v>
      </c>
      <c r="R34" s="366" t="str">
        <f t="shared" si="6"/>
        <v>--</v>
      </c>
      <c r="S34" s="367" t="str">
        <f t="shared" si="7"/>
        <v>--</v>
      </c>
      <c r="T34" s="398" t="str">
        <f t="shared" si="8"/>
        <v>--</v>
      </c>
      <c r="U34" s="25">
        <f t="shared" si="9"/>
      </c>
      <c r="V34" s="65">
        <f t="shared" si="10"/>
      </c>
      <c r="W34" s="38"/>
    </row>
    <row r="35" spans="2:23" s="10" customFormat="1" ht="16.5" customHeight="1">
      <c r="B35" s="44"/>
      <c r="C35" s="656"/>
      <c r="D35" s="641"/>
      <c r="E35" s="641"/>
      <c r="F35" s="657"/>
      <c r="G35" s="657"/>
      <c r="H35" s="663"/>
      <c r="I35" s="273">
        <f t="shared" si="0"/>
        <v>4.733608800000001</v>
      </c>
      <c r="J35" s="658"/>
      <c r="K35" s="659"/>
      <c r="L35" s="35">
        <f t="shared" si="1"/>
      </c>
      <c r="M35" s="64">
        <f t="shared" si="2"/>
      </c>
      <c r="N35" s="660"/>
      <c r="O35" s="28">
        <f t="shared" si="3"/>
      </c>
      <c r="P35" s="387">
        <f t="shared" si="4"/>
        <v>20</v>
      </c>
      <c r="Q35" s="701" t="str">
        <f t="shared" si="5"/>
        <v>--</v>
      </c>
      <c r="R35" s="366" t="str">
        <f t="shared" si="6"/>
        <v>--</v>
      </c>
      <c r="S35" s="367" t="str">
        <f t="shared" si="7"/>
        <v>--</v>
      </c>
      <c r="T35" s="398" t="str">
        <f t="shared" si="8"/>
        <v>--</v>
      </c>
      <c r="U35" s="25">
        <f t="shared" si="9"/>
      </c>
      <c r="V35" s="65">
        <f t="shared" si="10"/>
      </c>
      <c r="W35" s="38"/>
    </row>
    <row r="36" spans="2:23" s="10" customFormat="1" ht="16.5" customHeight="1">
      <c r="B36" s="44"/>
      <c r="C36" s="656"/>
      <c r="D36" s="641"/>
      <c r="E36" s="641"/>
      <c r="F36" s="657"/>
      <c r="G36" s="657"/>
      <c r="H36" s="663"/>
      <c r="I36" s="273">
        <f t="shared" si="0"/>
        <v>4.733608800000001</v>
      </c>
      <c r="J36" s="658"/>
      <c r="K36" s="659"/>
      <c r="L36" s="35">
        <f t="shared" si="1"/>
      </c>
      <c r="M36" s="64">
        <f t="shared" si="2"/>
      </c>
      <c r="N36" s="660"/>
      <c r="O36" s="28">
        <f t="shared" si="3"/>
      </c>
      <c r="P36" s="387">
        <f t="shared" si="4"/>
        <v>20</v>
      </c>
      <c r="Q36" s="701" t="str">
        <f t="shared" si="5"/>
        <v>--</v>
      </c>
      <c r="R36" s="366" t="str">
        <f t="shared" si="6"/>
        <v>--</v>
      </c>
      <c r="S36" s="367" t="str">
        <f t="shared" si="7"/>
        <v>--</v>
      </c>
      <c r="T36" s="398" t="str">
        <f t="shared" si="8"/>
        <v>--</v>
      </c>
      <c r="U36" s="25">
        <f t="shared" si="9"/>
      </c>
      <c r="V36" s="65">
        <f t="shared" si="10"/>
      </c>
      <c r="W36" s="38"/>
    </row>
    <row r="37" spans="2:23" s="10" customFormat="1" ht="16.5" customHeight="1">
      <c r="B37" s="44"/>
      <c r="C37" s="656"/>
      <c r="D37" s="641"/>
      <c r="E37" s="641"/>
      <c r="F37" s="657"/>
      <c r="G37" s="657"/>
      <c r="H37" s="663"/>
      <c r="I37" s="273">
        <f t="shared" si="0"/>
        <v>4.733608800000001</v>
      </c>
      <c r="J37" s="658"/>
      <c r="K37" s="659"/>
      <c r="L37" s="35">
        <f t="shared" si="1"/>
      </c>
      <c r="M37" s="64">
        <f t="shared" si="2"/>
      </c>
      <c r="N37" s="660"/>
      <c r="O37" s="28">
        <f t="shared" si="3"/>
      </c>
      <c r="P37" s="387">
        <f t="shared" si="4"/>
        <v>20</v>
      </c>
      <c r="Q37" s="701" t="str">
        <f t="shared" si="5"/>
        <v>--</v>
      </c>
      <c r="R37" s="366" t="str">
        <f t="shared" si="6"/>
        <v>--</v>
      </c>
      <c r="S37" s="367" t="str">
        <f t="shared" si="7"/>
        <v>--</v>
      </c>
      <c r="T37" s="398" t="str">
        <f t="shared" si="8"/>
        <v>--</v>
      </c>
      <c r="U37" s="25">
        <f t="shared" si="9"/>
      </c>
      <c r="V37" s="65">
        <f t="shared" si="10"/>
      </c>
      <c r="W37" s="38"/>
    </row>
    <row r="38" spans="2:23" s="10" customFormat="1" ht="16.5" customHeight="1">
      <c r="B38" s="44"/>
      <c r="C38" s="656"/>
      <c r="D38" s="641"/>
      <c r="E38" s="641"/>
      <c r="F38" s="657"/>
      <c r="G38" s="657"/>
      <c r="H38" s="663"/>
      <c r="I38" s="273">
        <f t="shared" si="0"/>
        <v>4.733608800000001</v>
      </c>
      <c r="J38" s="658"/>
      <c r="K38" s="659"/>
      <c r="L38" s="35">
        <f t="shared" si="1"/>
      </c>
      <c r="M38" s="64">
        <f t="shared" si="2"/>
      </c>
      <c r="N38" s="660"/>
      <c r="O38" s="28">
        <f t="shared" si="3"/>
      </c>
      <c r="P38" s="387">
        <f t="shared" si="4"/>
        <v>20</v>
      </c>
      <c r="Q38" s="701" t="str">
        <f t="shared" si="5"/>
        <v>--</v>
      </c>
      <c r="R38" s="366" t="str">
        <f t="shared" si="6"/>
        <v>--</v>
      </c>
      <c r="S38" s="367" t="str">
        <f t="shared" si="7"/>
        <v>--</v>
      </c>
      <c r="T38" s="398" t="str">
        <f t="shared" si="8"/>
        <v>--</v>
      </c>
      <c r="U38" s="25">
        <f t="shared" si="9"/>
      </c>
      <c r="V38" s="65">
        <f t="shared" si="10"/>
      </c>
      <c r="W38" s="38"/>
    </row>
    <row r="39" spans="2:23" s="10" customFormat="1" ht="16.5" customHeight="1">
      <c r="B39" s="44"/>
      <c r="C39" s="656"/>
      <c r="D39" s="641"/>
      <c r="E39" s="641"/>
      <c r="F39" s="657"/>
      <c r="G39" s="657"/>
      <c r="H39" s="663"/>
      <c r="I39" s="273">
        <f t="shared" si="0"/>
        <v>4.733608800000001</v>
      </c>
      <c r="J39" s="658"/>
      <c r="K39" s="659"/>
      <c r="L39" s="35">
        <f t="shared" si="1"/>
      </c>
      <c r="M39" s="64">
        <f t="shared" si="2"/>
      </c>
      <c r="N39" s="660"/>
      <c r="O39" s="28">
        <f t="shared" si="3"/>
      </c>
      <c r="P39" s="387">
        <f t="shared" si="4"/>
        <v>20</v>
      </c>
      <c r="Q39" s="701" t="str">
        <f t="shared" si="5"/>
        <v>--</v>
      </c>
      <c r="R39" s="366" t="str">
        <f t="shared" si="6"/>
        <v>--</v>
      </c>
      <c r="S39" s="367" t="str">
        <f t="shared" si="7"/>
        <v>--</v>
      </c>
      <c r="T39" s="398" t="str">
        <f t="shared" si="8"/>
        <v>--</v>
      </c>
      <c r="U39" s="25">
        <f t="shared" si="9"/>
      </c>
      <c r="V39" s="65">
        <f t="shared" si="10"/>
      </c>
      <c r="W39" s="38"/>
    </row>
    <row r="40" spans="2:23" s="10" customFormat="1" ht="16.5" customHeight="1">
      <c r="B40" s="44"/>
      <c r="C40" s="656"/>
      <c r="D40" s="641"/>
      <c r="E40" s="641"/>
      <c r="F40" s="657"/>
      <c r="G40" s="657"/>
      <c r="H40" s="663"/>
      <c r="I40" s="273">
        <f t="shared" si="0"/>
        <v>4.733608800000001</v>
      </c>
      <c r="J40" s="658"/>
      <c r="K40" s="659"/>
      <c r="L40" s="35">
        <f t="shared" si="1"/>
      </c>
      <c r="M40" s="64">
        <f t="shared" si="2"/>
      </c>
      <c r="N40" s="660"/>
      <c r="O40" s="28">
        <f t="shared" si="3"/>
      </c>
      <c r="P40" s="387">
        <f t="shared" si="4"/>
        <v>20</v>
      </c>
      <c r="Q40" s="701" t="str">
        <f t="shared" si="5"/>
        <v>--</v>
      </c>
      <c r="R40" s="366" t="str">
        <f t="shared" si="6"/>
        <v>--</v>
      </c>
      <c r="S40" s="367" t="str">
        <f t="shared" si="7"/>
        <v>--</v>
      </c>
      <c r="T40" s="398" t="str">
        <f t="shared" si="8"/>
        <v>--</v>
      </c>
      <c r="U40" s="25">
        <f t="shared" si="9"/>
      </c>
      <c r="V40" s="65">
        <f t="shared" si="10"/>
      </c>
      <c r="W40" s="38"/>
    </row>
    <row r="41" spans="2:23" s="10" customFormat="1" ht="16.5" customHeight="1">
      <c r="B41" s="44"/>
      <c r="C41" s="656"/>
      <c r="D41" s="641"/>
      <c r="E41" s="641"/>
      <c r="F41" s="657"/>
      <c r="G41" s="657"/>
      <c r="H41" s="663"/>
      <c r="I41" s="273">
        <f t="shared" si="0"/>
        <v>4.733608800000001</v>
      </c>
      <c r="J41" s="658"/>
      <c r="K41" s="659"/>
      <c r="L41" s="35">
        <f t="shared" si="1"/>
      </c>
      <c r="M41" s="64">
        <f t="shared" si="2"/>
      </c>
      <c r="N41" s="660"/>
      <c r="O41" s="28">
        <f t="shared" si="3"/>
      </c>
      <c r="P41" s="387">
        <f t="shared" si="4"/>
        <v>20</v>
      </c>
      <c r="Q41" s="701" t="str">
        <f t="shared" si="5"/>
        <v>--</v>
      </c>
      <c r="R41" s="366" t="str">
        <f t="shared" si="6"/>
        <v>--</v>
      </c>
      <c r="S41" s="367" t="str">
        <f t="shared" si="7"/>
        <v>--</v>
      </c>
      <c r="T41" s="398" t="str">
        <f t="shared" si="8"/>
        <v>--</v>
      </c>
      <c r="U41" s="25">
        <f t="shared" si="9"/>
      </c>
      <c r="V41" s="65">
        <f t="shared" si="10"/>
      </c>
      <c r="W41" s="38"/>
    </row>
    <row r="42" spans="2:23" s="10" customFormat="1" ht="16.5" customHeight="1">
      <c r="B42" s="44"/>
      <c r="C42" s="656"/>
      <c r="D42" s="641"/>
      <c r="E42" s="641"/>
      <c r="F42" s="657"/>
      <c r="G42" s="657"/>
      <c r="H42" s="663"/>
      <c r="I42" s="273">
        <f t="shared" si="0"/>
        <v>4.733608800000001</v>
      </c>
      <c r="J42" s="658"/>
      <c r="K42" s="659"/>
      <c r="L42" s="35">
        <f t="shared" si="1"/>
      </c>
      <c r="M42" s="64">
        <f t="shared" si="2"/>
      </c>
      <c r="N42" s="660"/>
      <c r="O42" s="28">
        <f t="shared" si="3"/>
      </c>
      <c r="P42" s="387">
        <f t="shared" si="4"/>
        <v>20</v>
      </c>
      <c r="Q42" s="701" t="str">
        <f t="shared" si="5"/>
        <v>--</v>
      </c>
      <c r="R42" s="366" t="str">
        <f t="shared" si="6"/>
        <v>--</v>
      </c>
      <c r="S42" s="367" t="str">
        <f t="shared" si="7"/>
        <v>--</v>
      </c>
      <c r="T42" s="398" t="str">
        <f t="shared" si="8"/>
        <v>--</v>
      </c>
      <c r="U42" s="25">
        <f t="shared" si="9"/>
      </c>
      <c r="V42" s="65">
        <f t="shared" si="10"/>
      </c>
      <c r="W42" s="38"/>
    </row>
    <row r="43" spans="2:23" s="10" customFormat="1" ht="16.5" customHeight="1">
      <c r="B43" s="44"/>
      <c r="C43" s="656"/>
      <c r="D43" s="641"/>
      <c r="E43" s="641"/>
      <c r="F43" s="657"/>
      <c r="G43" s="657"/>
      <c r="H43" s="663"/>
      <c r="I43" s="273">
        <f t="shared" si="0"/>
        <v>4.733608800000001</v>
      </c>
      <c r="J43" s="658"/>
      <c r="K43" s="659"/>
      <c r="L43" s="35">
        <f t="shared" si="1"/>
      </c>
      <c r="M43" s="64">
        <f t="shared" si="2"/>
      </c>
      <c r="N43" s="660"/>
      <c r="O43" s="28">
        <f t="shared" si="3"/>
      </c>
      <c r="P43" s="387">
        <f t="shared" si="4"/>
        <v>20</v>
      </c>
      <c r="Q43" s="701" t="str">
        <f t="shared" si="5"/>
        <v>--</v>
      </c>
      <c r="R43" s="366" t="str">
        <f t="shared" si="6"/>
        <v>--</v>
      </c>
      <c r="S43" s="367" t="str">
        <f t="shared" si="7"/>
        <v>--</v>
      </c>
      <c r="T43" s="398" t="str">
        <f t="shared" si="8"/>
        <v>--</v>
      </c>
      <c r="U43" s="25">
        <f t="shared" si="9"/>
      </c>
      <c r="V43" s="65">
        <f t="shared" si="10"/>
      </c>
      <c r="W43" s="38"/>
    </row>
    <row r="44" spans="2:23" s="10" customFormat="1" ht="16.5" customHeight="1" thickBot="1">
      <c r="B44" s="44"/>
      <c r="C44" s="644"/>
      <c r="D44" s="644"/>
      <c r="E44" s="644"/>
      <c r="F44" s="644"/>
      <c r="G44" s="644"/>
      <c r="H44" s="644"/>
      <c r="I44" s="272"/>
      <c r="J44" s="644"/>
      <c r="K44" s="644"/>
      <c r="L44" s="29"/>
      <c r="M44" s="29"/>
      <c r="N44" s="644"/>
      <c r="O44" s="644"/>
      <c r="P44" s="661"/>
      <c r="Q44" s="662"/>
      <c r="R44" s="652"/>
      <c r="S44" s="653"/>
      <c r="T44" s="647"/>
      <c r="U44" s="644"/>
      <c r="V44" s="217"/>
      <c r="W44" s="38"/>
    </row>
    <row r="45" spans="2:23" s="10" customFormat="1" ht="16.5" customHeight="1" thickBot="1" thickTop="1">
      <c r="B45" s="44"/>
      <c r="C45" s="718" t="s">
        <v>153</v>
      </c>
      <c r="D45" s="719" t="s">
        <v>151</v>
      </c>
      <c r="E45" s="681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9">
        <f>ROUND(SUM(Q22:Q44),2)</f>
        <v>107.41</v>
      </c>
      <c r="R45" s="327">
        <f>SUM(R22:R44)</f>
        <v>0</v>
      </c>
      <c r="S45" s="327">
        <f>SUM(S22:S44)</f>
        <v>0</v>
      </c>
      <c r="T45" s="400">
        <f>SUM(T22:T44)</f>
        <v>0</v>
      </c>
      <c r="U45" s="66"/>
      <c r="V45" s="256">
        <f>SUM(V22:V44)</f>
        <v>107.405583672</v>
      </c>
      <c r="W45" s="38"/>
    </row>
    <row r="46" spans="2:23" s="258" customFormat="1" ht="9.75" thickTop="1">
      <c r="B46" s="257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">
      <selection activeCell="H16" sqref="H16:N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4.57421875" style="0" customWidth="1"/>
    <col min="11" max="11" width="8.421875" style="0" customWidth="1"/>
    <col min="12" max="12" width="33.28125" style="0" customWidth="1"/>
    <col min="13" max="13" width="9.003906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0"/>
    </row>
    <row r="2" spans="1:16" s="109" customFormat="1" ht="26.25">
      <c r="A2" s="170"/>
      <c r="B2" s="679" t="str">
        <f>'TOT-0513'!B2</f>
        <v>ANEXO V al Memorándum  D.T.E.E.  N°           / 2014.-</v>
      </c>
      <c r="C2" s="679"/>
      <c r="D2" s="67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84" t="s">
        <v>130</v>
      </c>
      <c r="B3" s="10"/>
      <c r="C3" s="10"/>
      <c r="D3" s="10"/>
    </row>
    <row r="4" spans="1:4" s="112" customFormat="1" ht="11.25">
      <c r="A4" s="684" t="s">
        <v>129</v>
      </c>
      <c r="B4" s="233"/>
      <c r="C4" s="233"/>
      <c r="D4" s="233"/>
    </row>
    <row r="5" spans="1:4" s="10" customFormat="1" ht="13.5" thickBot="1">
      <c r="A5" s="684"/>
      <c r="B5" s="233"/>
      <c r="C5" s="233"/>
      <c r="D5" s="233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36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5"/>
      <c r="C8" s="73"/>
      <c r="D8" s="411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9"/>
    </row>
    <row r="9" spans="1:19" s="114" customFormat="1" ht="20.25">
      <c r="A9" s="45"/>
      <c r="B9" s="412"/>
      <c r="C9"/>
      <c r="D9" s="22" t="s">
        <v>154</v>
      </c>
      <c r="E9" s="413"/>
      <c r="F9" s="413"/>
      <c r="G9" s="413"/>
      <c r="H9" s="414"/>
      <c r="I9" s="413"/>
      <c r="J9" s="413"/>
      <c r="K9" s="413"/>
      <c r="L9" s="413"/>
      <c r="M9" s="413"/>
      <c r="N9" s="413"/>
      <c r="O9" s="413"/>
      <c r="P9" s="415"/>
      <c r="Q9" s="234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7" t="str">
        <f>+'TOT-0513'!B14</f>
        <v>Desde el 01 al 31 de mayo de 2013</v>
      </c>
      <c r="C11" s="143"/>
      <c r="D11" s="196"/>
      <c r="E11" s="196"/>
      <c r="F11" s="196"/>
      <c r="G11" s="196"/>
      <c r="H11" s="196"/>
      <c r="I11" s="143"/>
      <c r="J11" s="196"/>
      <c r="K11" s="196"/>
      <c r="L11" s="196"/>
      <c r="M11" s="196"/>
      <c r="N11" s="196"/>
      <c r="O11" s="196"/>
      <c r="P11" s="416"/>
      <c r="Q11" s="417"/>
      <c r="R11" s="417"/>
      <c r="S11" s="417"/>
    </row>
    <row r="12" spans="1:19" ht="15">
      <c r="A12" s="1"/>
      <c r="B12" s="275"/>
      <c r="C12" s="73"/>
      <c r="D12" s="69"/>
      <c r="E12" s="69"/>
      <c r="F12" s="69"/>
      <c r="G12" s="69"/>
      <c r="H12" s="418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19"/>
    </row>
    <row r="13" spans="1:19" ht="18" customHeight="1">
      <c r="A13" s="1"/>
      <c r="B13" s="275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19"/>
    </row>
    <row r="14" spans="1:19" ht="18" customHeight="1">
      <c r="A14" s="1"/>
      <c r="B14" s="275"/>
      <c r="C14" s="73"/>
      <c r="D14" s="68"/>
      <c r="E14" s="420"/>
      <c r="F14" s="69"/>
      <c r="G14" s="69"/>
      <c r="H14" s="81"/>
      <c r="I14" s="81"/>
      <c r="J14" s="69"/>
      <c r="K14" s="69"/>
      <c r="P14" s="70"/>
      <c r="Q14" s="4"/>
      <c r="R14" s="4"/>
      <c r="S14" s="419"/>
    </row>
    <row r="15" spans="1:16" ht="16.5" thickBot="1">
      <c r="A15" s="1"/>
      <c r="B15" s="275"/>
      <c r="C15" s="421" t="s">
        <v>82</v>
      </c>
      <c r="D15" s="71"/>
      <c r="E15" s="276"/>
      <c r="F15" s="277"/>
      <c r="G15" s="73"/>
      <c r="H15" s="73"/>
      <c r="I15" s="73"/>
      <c r="J15" s="72"/>
      <c r="K15" s="72"/>
      <c r="L15" s="278"/>
      <c r="M15" s="73"/>
      <c r="N15" s="73"/>
      <c r="O15" s="73"/>
      <c r="P15" s="279"/>
    </row>
    <row r="16" spans="1:16" ht="16.5" thickBot="1">
      <c r="A16" s="1"/>
      <c r="B16" s="275"/>
      <c r="C16" s="280"/>
      <c r="D16" s="71"/>
      <c r="E16" s="276"/>
      <c r="F16" s="277"/>
      <c r="G16" s="73"/>
      <c r="H16" s="73"/>
      <c r="L16" s="422" t="s">
        <v>78</v>
      </c>
      <c r="M16" s="423">
        <v>6.3079374</v>
      </c>
      <c r="N16" s="424"/>
      <c r="O16" s="73"/>
      <c r="P16" s="279"/>
    </row>
    <row r="17" spans="1:16" ht="15.75">
      <c r="A17" s="1"/>
      <c r="B17" s="275"/>
      <c r="C17" s="280"/>
      <c r="D17" s="72" t="s">
        <v>83</v>
      </c>
      <c r="E17" s="281">
        <f>MID(B11,16,2)*24</f>
        <v>744</v>
      </c>
      <c r="F17" s="73" t="s">
        <v>84</v>
      </c>
      <c r="G17" s="69"/>
      <c r="H17" s="425"/>
      <c r="I17" s="426" t="s">
        <v>85</v>
      </c>
      <c r="J17" s="427">
        <v>135.6652707</v>
      </c>
      <c r="K17" s="406"/>
      <c r="L17" s="428" t="s">
        <v>79</v>
      </c>
      <c r="M17" s="429">
        <v>4.733608800000001</v>
      </c>
      <c r="N17" s="430"/>
      <c r="O17" s="73"/>
      <c r="P17" s="279"/>
    </row>
    <row r="18" spans="1:16" ht="16.5" thickBot="1">
      <c r="A18" s="1"/>
      <c r="B18" s="275"/>
      <c r="C18" s="280"/>
      <c r="D18" s="72" t="s">
        <v>86</v>
      </c>
      <c r="E18" s="283">
        <v>0.025</v>
      </c>
      <c r="F18" s="69"/>
      <c r="G18" s="69"/>
      <c r="H18" s="431"/>
      <c r="I18" s="432" t="s">
        <v>87</v>
      </c>
      <c r="J18" s="433">
        <v>0.473</v>
      </c>
      <c r="K18" s="434"/>
      <c r="L18" s="435" t="s">
        <v>80</v>
      </c>
      <c r="M18" s="436">
        <v>4.733608800000001</v>
      </c>
      <c r="N18" s="437"/>
      <c r="O18" s="73"/>
      <c r="P18" s="279"/>
    </row>
    <row r="19" spans="1:16" ht="15.75">
      <c r="A19" s="1"/>
      <c r="B19" s="275"/>
      <c r="C19" s="280"/>
      <c r="D19" s="72"/>
      <c r="E19" s="283"/>
      <c r="F19" s="69"/>
      <c r="G19" s="69"/>
      <c r="H19" s="69"/>
      <c r="I19" s="69"/>
      <c r="L19" s="278"/>
      <c r="M19" s="73"/>
      <c r="N19" s="73"/>
      <c r="O19" s="73"/>
      <c r="P19" s="279"/>
    </row>
    <row r="20" spans="1:16" ht="15">
      <c r="A20" s="1"/>
      <c r="B20" s="275"/>
      <c r="C20" s="68" t="s">
        <v>88</v>
      </c>
      <c r="D20" s="76"/>
      <c r="E20" s="276"/>
      <c r="F20" s="277"/>
      <c r="G20" s="73"/>
      <c r="H20" s="73"/>
      <c r="I20" s="73"/>
      <c r="J20" s="72"/>
      <c r="K20" s="72"/>
      <c r="L20" s="278"/>
      <c r="M20" s="73"/>
      <c r="N20" s="73"/>
      <c r="O20" s="73"/>
      <c r="P20" s="279"/>
    </row>
    <row r="21" spans="1:16" ht="15">
      <c r="A21" s="1"/>
      <c r="B21" s="275"/>
      <c r="C21" s="73"/>
      <c r="D21" s="73"/>
      <c r="E21" s="73"/>
      <c r="F21" s="73"/>
      <c r="G21" s="73"/>
      <c r="H21" s="284"/>
      <c r="I21" s="73"/>
      <c r="J21" s="73"/>
      <c r="K21" s="73"/>
      <c r="L21" s="73"/>
      <c r="M21" s="73"/>
      <c r="N21" s="73"/>
      <c r="O21" s="73"/>
      <c r="P21" s="279"/>
    </row>
    <row r="22" spans="1:16" ht="15">
      <c r="A22" s="1"/>
      <c r="B22" s="275"/>
      <c r="C22" s="73"/>
      <c r="D22" s="72" t="s">
        <v>89</v>
      </c>
      <c r="E22" s="73"/>
      <c r="F22" s="284" t="s">
        <v>19</v>
      </c>
      <c r="G22" s="73"/>
      <c r="H22" s="71"/>
      <c r="I22" s="438">
        <f>'TOT-0513'!I20</f>
        <v>248.4</v>
      </c>
      <c r="J22" s="73"/>
      <c r="K22" s="73"/>
      <c r="L22" s="439" t="s">
        <v>90</v>
      </c>
      <c r="M22" s="73"/>
      <c r="N22" s="73"/>
      <c r="O22" s="73"/>
      <c r="P22" s="279"/>
    </row>
    <row r="23" spans="1:16" ht="15">
      <c r="A23" s="1"/>
      <c r="B23" s="275"/>
      <c r="C23" s="73"/>
      <c r="D23" s="73"/>
      <c r="E23" s="73"/>
      <c r="F23" s="284" t="s">
        <v>91</v>
      </c>
      <c r="G23" s="73"/>
      <c r="H23" s="71"/>
      <c r="I23" s="438">
        <f>'TOT-0513'!I26</f>
        <v>5.49</v>
      </c>
      <c r="J23" s="73"/>
      <c r="K23" s="73"/>
      <c r="L23" s="439" t="s">
        <v>92</v>
      </c>
      <c r="M23" s="73"/>
      <c r="N23" s="73"/>
      <c r="O23" s="73"/>
      <c r="P23" s="279"/>
    </row>
    <row r="24" spans="1:16" ht="15">
      <c r="A24" s="1"/>
      <c r="B24" s="275"/>
      <c r="C24" s="73"/>
      <c r="D24" s="73"/>
      <c r="E24" s="73"/>
      <c r="F24" s="284" t="s">
        <v>3</v>
      </c>
      <c r="G24" s="73"/>
      <c r="H24" s="71"/>
      <c r="I24" s="440">
        <f>'TOT-0513'!I29</f>
        <v>107.405583672</v>
      </c>
      <c r="J24" s="73"/>
      <c r="K24" s="73"/>
      <c r="L24" s="439" t="s">
        <v>93</v>
      </c>
      <c r="M24" s="73"/>
      <c r="N24" s="73"/>
      <c r="O24" s="73"/>
      <c r="P24" s="279"/>
    </row>
    <row r="25" spans="1:16" ht="15.75" thickBot="1">
      <c r="A25" s="1"/>
      <c r="B25" s="275"/>
      <c r="C25" s="73"/>
      <c r="D25" s="73"/>
      <c r="E25" s="73"/>
      <c r="F25" s="73"/>
      <c r="G25" s="73"/>
      <c r="H25" s="284"/>
      <c r="I25" s="73"/>
      <c r="J25" s="73"/>
      <c r="K25" s="73"/>
      <c r="L25" s="73"/>
      <c r="M25" s="73"/>
      <c r="N25" s="73"/>
      <c r="O25" s="73"/>
      <c r="P25" s="279"/>
    </row>
    <row r="26" spans="2:16" ht="20.25" thickBot="1" thickTop="1">
      <c r="B26" s="275"/>
      <c r="C26" s="80"/>
      <c r="H26" s="441" t="s">
        <v>94</v>
      </c>
      <c r="I26" s="156">
        <f>SUM(I22:I25)</f>
        <v>361.295583672</v>
      </c>
      <c r="L26" s="77"/>
      <c r="M26" s="77"/>
      <c r="N26" s="78"/>
      <c r="O26" s="79"/>
      <c r="P26" s="285"/>
    </row>
    <row r="27" spans="2:16" ht="15.75" thickTop="1">
      <c r="B27" s="275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5"/>
    </row>
    <row r="28" spans="2:16" ht="15">
      <c r="B28" s="275"/>
      <c r="C28" s="68" t="s">
        <v>95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5"/>
    </row>
    <row r="29" spans="2:16" ht="15">
      <c r="B29" s="275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5"/>
    </row>
    <row r="30" spans="2:16" ht="15.75">
      <c r="B30" s="275"/>
      <c r="C30" s="80"/>
      <c r="D30" s="442" t="s">
        <v>96</v>
      </c>
      <c r="E30" s="443" t="s">
        <v>15</v>
      </c>
      <c r="F30" s="444" t="s">
        <v>97</v>
      </c>
      <c r="G30" s="445"/>
      <c r="H30" s="671" t="s">
        <v>122</v>
      </c>
      <c r="I30" s="670" t="s">
        <v>121</v>
      </c>
      <c r="J30" s="666"/>
      <c r="K30" s="468"/>
      <c r="L30" s="446" t="s">
        <v>2</v>
      </c>
      <c r="N30" s="78"/>
      <c r="O30" s="79"/>
      <c r="P30" s="285"/>
    </row>
    <row r="31" spans="2:16" ht="15.75">
      <c r="B31" s="275"/>
      <c r="C31" s="80"/>
      <c r="D31" s="447" t="s">
        <v>4</v>
      </c>
      <c r="E31" s="448">
        <v>132</v>
      </c>
      <c r="F31" s="449">
        <v>31</v>
      </c>
      <c r="G31" s="450"/>
      <c r="H31" s="451">
        <f>F31*$J$17*$E$17/100</f>
        <v>31289.838034247998</v>
      </c>
      <c r="I31" s="452">
        <v>0</v>
      </c>
      <c r="J31" s="668" t="s">
        <v>155</v>
      </c>
      <c r="K31" s="454"/>
      <c r="L31" s="455">
        <f>SUM(H31:K31)</f>
        <v>31289.838034247998</v>
      </c>
      <c r="M31" s="77"/>
      <c r="N31" s="78"/>
      <c r="O31" s="79"/>
      <c r="P31" s="285"/>
    </row>
    <row r="32" spans="2:16" ht="15.75">
      <c r="B32" s="275"/>
      <c r="C32" s="80"/>
      <c r="D32" s="475" t="s">
        <v>5</v>
      </c>
      <c r="E32" s="76">
        <v>132</v>
      </c>
      <c r="F32" s="82">
        <v>110.3</v>
      </c>
      <c r="G32" s="77"/>
      <c r="H32" s="290">
        <f>F32*$J$17*$E$17/100</f>
        <v>111331.2624250824</v>
      </c>
      <c r="I32" s="492">
        <v>231</v>
      </c>
      <c r="J32" s="667" t="s">
        <v>155</v>
      </c>
      <c r="K32" s="282"/>
      <c r="L32" s="476">
        <f>SUM(H32:K32)</f>
        <v>111562.2624250824</v>
      </c>
      <c r="M32" s="77"/>
      <c r="N32" s="78"/>
      <c r="O32" s="79"/>
      <c r="P32" s="285"/>
    </row>
    <row r="33" spans="2:16" ht="15.75">
      <c r="B33" s="275"/>
      <c r="C33" s="80"/>
      <c r="D33" s="475" t="s">
        <v>6</v>
      </c>
      <c r="E33" s="76">
        <v>132</v>
      </c>
      <c r="F33" s="82">
        <v>185.6</v>
      </c>
      <c r="G33" s="77"/>
      <c r="H33" s="290">
        <f>F33*$J$17*$E$17/100</f>
        <v>187335.2883598848</v>
      </c>
      <c r="I33" s="492">
        <v>0</v>
      </c>
      <c r="J33" s="667" t="s">
        <v>155</v>
      </c>
      <c r="K33" s="282"/>
      <c r="L33" s="476">
        <f>SUM(H33:K33)</f>
        <v>187335.2883598848</v>
      </c>
      <c r="M33" s="77"/>
      <c r="N33" s="78"/>
      <c r="O33" s="79"/>
      <c r="P33" s="285"/>
    </row>
    <row r="34" spans="2:16" ht="15.75">
      <c r="B34" s="275"/>
      <c r="C34" s="80"/>
      <c r="D34" s="456" t="s">
        <v>7</v>
      </c>
      <c r="E34" s="457">
        <v>132</v>
      </c>
      <c r="F34" s="458">
        <v>7</v>
      </c>
      <c r="G34" s="459"/>
      <c r="H34" s="460">
        <f>F34*$J$17*$E$17/100</f>
        <v>7065.447298056</v>
      </c>
      <c r="I34" s="461">
        <v>67</v>
      </c>
      <c r="J34" s="669" t="s">
        <v>155</v>
      </c>
      <c r="K34" s="463"/>
      <c r="L34" s="464">
        <f>SUM(H34:K34)</f>
        <v>7132.447298056</v>
      </c>
      <c r="M34" s="77"/>
      <c r="N34" s="78"/>
      <c r="O34" s="79"/>
      <c r="P34" s="285"/>
    </row>
    <row r="35" spans="2:16" ht="15">
      <c r="B35" s="275"/>
      <c r="C35" s="80"/>
      <c r="D35" s="76"/>
      <c r="E35" s="76"/>
      <c r="F35" s="286"/>
      <c r="G35" s="77"/>
      <c r="I35" s="83"/>
      <c r="J35" s="282"/>
      <c r="K35" s="282"/>
      <c r="L35" s="465">
        <f>SUM(L31:L34)</f>
        <v>337319.8361172712</v>
      </c>
      <c r="M35" s="77"/>
      <c r="N35" s="78"/>
      <c r="O35" s="79"/>
      <c r="P35" s="285"/>
    </row>
    <row r="36" spans="2:16" ht="15">
      <c r="B36" s="275"/>
      <c r="C36" s="80"/>
      <c r="D36" s="76"/>
      <c r="E36" s="76"/>
      <c r="F36" s="286"/>
      <c r="G36" s="77"/>
      <c r="I36" s="83"/>
      <c r="J36" s="282"/>
      <c r="K36" s="282"/>
      <c r="L36" s="287"/>
      <c r="M36" s="77"/>
      <c r="N36" s="78"/>
      <c r="O36" s="79"/>
      <c r="P36" s="285"/>
    </row>
    <row r="37" spans="2:16" ht="15.75">
      <c r="B37" s="275"/>
      <c r="C37" s="80"/>
      <c r="D37" s="442" t="s">
        <v>98</v>
      </c>
      <c r="E37" s="443" t="s">
        <v>99</v>
      </c>
      <c r="F37" s="493" t="s">
        <v>109</v>
      </c>
      <c r="G37" s="494"/>
      <c r="H37" s="672" t="s">
        <v>123</v>
      </c>
      <c r="J37" s="466" t="s">
        <v>100</v>
      </c>
      <c r="K37" s="467"/>
      <c r="L37" s="468" t="s">
        <v>46</v>
      </c>
      <c r="M37" s="443" t="s">
        <v>15</v>
      </c>
      <c r="N37" s="469" t="s">
        <v>101</v>
      </c>
      <c r="O37" s="470"/>
      <c r="P37" s="285"/>
    </row>
    <row r="38" spans="2:16" ht="15">
      <c r="B38" s="275"/>
      <c r="C38" s="80"/>
      <c r="D38" s="447" t="s">
        <v>9</v>
      </c>
      <c r="E38" s="448" t="s">
        <v>110</v>
      </c>
      <c r="F38" s="495">
        <v>30</v>
      </c>
      <c r="G38" s="496"/>
      <c r="H38" s="455">
        <f>+F38*$J$18*$E$17</f>
        <v>10557.359999999999</v>
      </c>
      <c r="J38" s="471" t="s">
        <v>111</v>
      </c>
      <c r="K38" s="453"/>
      <c r="L38" s="450" t="s">
        <v>112</v>
      </c>
      <c r="M38" s="472">
        <v>132</v>
      </c>
      <c r="N38" s="473">
        <f>M16*E17</f>
        <v>4693.1054256</v>
      </c>
      <c r="O38" s="474"/>
      <c r="P38" s="285"/>
    </row>
    <row r="39" spans="2:16" ht="15">
      <c r="B39" s="275"/>
      <c r="C39" s="80"/>
      <c r="D39" s="475" t="s">
        <v>12</v>
      </c>
      <c r="E39" s="76" t="s">
        <v>113</v>
      </c>
      <c r="F39" s="497">
        <v>88</v>
      </c>
      <c r="G39" s="498"/>
      <c r="H39" s="476">
        <f>+F39*$J$18*$E$17</f>
        <v>30968.255999999998</v>
      </c>
      <c r="J39" s="477" t="s">
        <v>10</v>
      </c>
      <c r="K39" s="478"/>
      <c r="L39" s="77" t="s">
        <v>114</v>
      </c>
      <c r="M39" s="78">
        <v>33</v>
      </c>
      <c r="N39" s="479">
        <f>+M17*E17*2</f>
        <v>7043.609894400001</v>
      </c>
      <c r="O39" s="480"/>
      <c r="P39" s="285"/>
    </row>
    <row r="40" spans="2:16" ht="15">
      <c r="B40" s="275"/>
      <c r="C40" s="80"/>
      <c r="D40" s="475" t="s">
        <v>10</v>
      </c>
      <c r="E40" s="76" t="s">
        <v>8</v>
      </c>
      <c r="F40" s="497">
        <v>7.5</v>
      </c>
      <c r="G40" s="498"/>
      <c r="H40" s="476">
        <f>+F40*$J$18*$E$17</f>
        <v>2639.3399999999997</v>
      </c>
      <c r="J40" s="477" t="s">
        <v>11</v>
      </c>
      <c r="K40" s="478"/>
      <c r="L40" s="77" t="s">
        <v>115</v>
      </c>
      <c r="M40" s="78">
        <v>33</v>
      </c>
      <c r="N40" s="479">
        <f>3*M17*E17</f>
        <v>10565.4148416</v>
      </c>
      <c r="O40" s="480"/>
      <c r="P40" s="285"/>
    </row>
    <row r="41" spans="2:16" ht="15">
      <c r="B41" s="275"/>
      <c r="C41" s="80"/>
      <c r="D41" s="475" t="s">
        <v>11</v>
      </c>
      <c r="E41" s="76" t="s">
        <v>8</v>
      </c>
      <c r="F41" s="497">
        <v>15</v>
      </c>
      <c r="G41" s="498"/>
      <c r="H41" s="476">
        <f>+F41*$J$18*$E$17</f>
        <v>5278.679999999999</v>
      </c>
      <c r="J41" s="477" t="s">
        <v>13</v>
      </c>
      <c r="K41" s="478"/>
      <c r="L41" s="77" t="s">
        <v>116</v>
      </c>
      <c r="M41" s="78">
        <v>13.2</v>
      </c>
      <c r="N41" s="479">
        <f>+M18*E17*6</f>
        <v>21130.829683200005</v>
      </c>
      <c r="O41" s="480"/>
      <c r="P41" s="285"/>
    </row>
    <row r="42" spans="2:16" ht="15">
      <c r="B42" s="275"/>
      <c r="C42" s="80"/>
      <c r="D42" s="456" t="s">
        <v>13</v>
      </c>
      <c r="E42" s="457" t="s">
        <v>117</v>
      </c>
      <c r="F42" s="499">
        <v>30</v>
      </c>
      <c r="G42" s="500"/>
      <c r="H42" s="476">
        <f>+F42*$J$18*$E$17</f>
        <v>10557.359999999999</v>
      </c>
      <c r="J42" s="477" t="s">
        <v>9</v>
      </c>
      <c r="K42" s="478"/>
      <c r="L42" s="77" t="s">
        <v>118</v>
      </c>
      <c r="M42" s="78"/>
      <c r="N42" s="479">
        <f>+M17*E17+M18*E17*2</f>
        <v>10565.414841600003</v>
      </c>
      <c r="O42" s="480"/>
      <c r="P42" s="285"/>
    </row>
    <row r="43" spans="2:16" ht="15">
      <c r="B43" s="275"/>
      <c r="C43" s="80"/>
      <c r="D43" s="76"/>
      <c r="E43" s="76"/>
      <c r="F43" s="286"/>
      <c r="G43" s="77"/>
      <c r="H43" s="465">
        <f>SUM(H38:H42)</f>
        <v>60000.99599999999</v>
      </c>
      <c r="J43" s="481" t="s">
        <v>12</v>
      </c>
      <c r="K43" s="462"/>
      <c r="L43" s="459" t="s">
        <v>119</v>
      </c>
      <c r="M43" s="482"/>
      <c r="N43" s="483">
        <f>(M16+M17+M18*5)*E17</f>
        <v>25823.9351088</v>
      </c>
      <c r="O43" s="484"/>
      <c r="P43" s="285"/>
    </row>
    <row r="44" spans="2:16" ht="15">
      <c r="B44" s="275"/>
      <c r="C44" s="80"/>
      <c r="D44" s="76"/>
      <c r="E44" s="76"/>
      <c r="F44" s="286"/>
      <c r="G44" s="77"/>
      <c r="I44" s="83"/>
      <c r="J44" s="282"/>
      <c r="K44" s="282"/>
      <c r="L44" s="287"/>
      <c r="M44" s="77"/>
      <c r="N44" s="485">
        <f>SUM(N38:N43)</f>
        <v>79822.30979520001</v>
      </c>
      <c r="O44" s="470"/>
      <c r="P44" s="285"/>
    </row>
    <row r="45" spans="2:16" ht="12.75" customHeight="1" thickBot="1">
      <c r="B45" s="275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5"/>
    </row>
    <row r="46" spans="2:16" ht="20.25" thickBot="1" thickTop="1">
      <c r="B46" s="275"/>
      <c r="C46" s="80"/>
      <c r="D46" s="76"/>
      <c r="E46" s="76"/>
      <c r="F46" s="82"/>
      <c r="G46" s="77"/>
      <c r="H46" s="486" t="s">
        <v>102</v>
      </c>
      <c r="I46" s="487">
        <f>+H43+N44+L35</f>
        <v>477143.1419124712</v>
      </c>
      <c r="J46" s="76"/>
      <c r="K46" s="76"/>
      <c r="L46" s="77"/>
      <c r="M46" s="77"/>
      <c r="N46" s="78"/>
      <c r="O46" s="79"/>
      <c r="P46" s="285"/>
    </row>
    <row r="47" spans="2:16" ht="15.75" thickTop="1">
      <c r="B47" s="275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5"/>
    </row>
    <row r="48" spans="2:16" ht="15.75">
      <c r="B48" s="275"/>
      <c r="C48" s="488" t="s">
        <v>103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5"/>
    </row>
    <row r="49" spans="2:16" ht="15.75" thickBot="1">
      <c r="B49" s="275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5"/>
    </row>
    <row r="50" spans="2:16" ht="20.25" thickBot="1" thickTop="1">
      <c r="B50" s="275"/>
      <c r="C50" s="80"/>
      <c r="D50" s="235" t="s">
        <v>104</v>
      </c>
      <c r="F50" s="288"/>
      <c r="G50" s="73"/>
      <c r="H50" s="155" t="s">
        <v>105</v>
      </c>
      <c r="I50" s="489">
        <f>E18*I46</f>
        <v>11928.578547811781</v>
      </c>
      <c r="J50" s="69"/>
      <c r="K50" s="69"/>
      <c r="O50" s="69"/>
      <c r="P50" s="285"/>
    </row>
    <row r="51" spans="2:16" ht="21.75" thickTop="1">
      <c r="B51" s="275"/>
      <c r="C51" s="80"/>
      <c r="F51" s="289"/>
      <c r="G51" s="45"/>
      <c r="I51" s="69"/>
      <c r="J51" s="69"/>
      <c r="K51" s="69"/>
      <c r="O51" s="69"/>
      <c r="P51" s="285"/>
    </row>
    <row r="52" spans="2:16" ht="15">
      <c r="B52" s="275"/>
      <c r="C52" s="68" t="s">
        <v>106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5"/>
    </row>
    <row r="53" spans="2:16" ht="15">
      <c r="B53" s="275"/>
      <c r="C53" s="80"/>
      <c r="D53" s="75" t="s">
        <v>107</v>
      </c>
      <c r="E53" s="290">
        <f>10*I26*I50/I46</f>
        <v>90.32389591800002</v>
      </c>
      <c r="F53" s="490"/>
      <c r="H53" s="69"/>
      <c r="I53" s="77"/>
      <c r="J53" s="77"/>
      <c r="K53" s="77"/>
      <c r="L53" s="77"/>
      <c r="M53" s="77"/>
      <c r="N53" s="78"/>
      <c r="O53" s="79"/>
      <c r="P53" s="285"/>
    </row>
    <row r="54" spans="2:16" ht="15">
      <c r="B54" s="275"/>
      <c r="C54" s="80"/>
      <c r="D54" s="69"/>
      <c r="E54" s="69"/>
      <c r="J54" s="77"/>
      <c r="K54" s="77"/>
      <c r="L54" s="77"/>
      <c r="M54" s="77"/>
      <c r="N54" s="78"/>
      <c r="O54" s="79"/>
      <c r="P54" s="285"/>
    </row>
    <row r="55" spans="2:16" ht="15">
      <c r="B55" s="275"/>
      <c r="C55" s="80"/>
      <c r="D55" s="69" t="s">
        <v>120</v>
      </c>
      <c r="E55" s="69"/>
      <c r="F55" s="69"/>
      <c r="G55" s="69"/>
      <c r="H55" s="69"/>
      <c r="M55" s="77"/>
      <c r="N55" s="78"/>
      <c r="O55" s="79"/>
      <c r="P55" s="285"/>
    </row>
    <row r="56" spans="2:16" ht="15.75" thickBot="1">
      <c r="B56" s="275"/>
      <c r="C56" s="80"/>
      <c r="D56" s="69"/>
      <c r="E56" s="69"/>
      <c r="F56" s="69"/>
      <c r="G56" s="69"/>
      <c r="H56" s="69"/>
      <c r="M56" s="77"/>
      <c r="N56" s="78"/>
      <c r="O56" s="79"/>
      <c r="P56" s="285"/>
    </row>
    <row r="57" spans="2:16" ht="20.25" thickBot="1" thickTop="1">
      <c r="B57" s="275"/>
      <c r="C57" s="80"/>
      <c r="D57" s="76"/>
      <c r="E57" s="76"/>
      <c r="F57" s="82"/>
      <c r="G57" s="77"/>
      <c r="H57" s="236" t="s">
        <v>108</v>
      </c>
      <c r="I57" s="491">
        <f>IF($E$53&gt;3*I50,3*I50,$E$53)</f>
        <v>90.32389591800002</v>
      </c>
      <c r="J57" s="77"/>
      <c r="K57" s="77"/>
      <c r="L57" s="77"/>
      <c r="M57" s="77"/>
      <c r="N57" s="78"/>
      <c r="O57" s="79"/>
      <c r="P57" s="285"/>
    </row>
    <row r="58" spans="2:16" ht="16.5" thickBot="1" thickTop="1"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937007874015748" right="0.1968503937007874" top="0.42" bottom="0.7874015748031497" header="0.28" footer="0.5118110236220472"/>
  <pageSetup fitToHeight="1" fitToWidth="1" orientation="landscape" paperSize="9" scale="54" r:id="rId4"/>
  <headerFooter alignWithMargins="0">
    <oddFooter>&amp;L&amp;"Times New Roman,Normal"&amp;8&amp;Z&amp;F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73"/>
  <sheetViews>
    <sheetView zoomScale="75" zoomScaleNormal="75" workbookViewId="0" topLeftCell="B48">
      <selection activeCell="R72" sqref="R7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10"/>
    </row>
    <row r="2" spans="2:20" s="722" customFormat="1" ht="30.75">
      <c r="B2" s="110" t="str">
        <f>'TOT-0513'!B2</f>
        <v>ANEXO V al Memorándum  D.T.E.E.  N°           / 2014.-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</row>
    <row r="3" spans="1:2" ht="17.25" customHeight="1">
      <c r="A3" s="724" t="s">
        <v>16</v>
      </c>
      <c r="B3" s="725"/>
    </row>
    <row r="4" spans="1:4" ht="12.75" customHeight="1">
      <c r="A4" s="724" t="s">
        <v>17</v>
      </c>
      <c r="B4" s="725"/>
      <c r="D4" s="726"/>
    </row>
    <row r="5" spans="1:4" ht="21.75" customHeight="1">
      <c r="A5" s="727"/>
      <c r="D5" s="726"/>
    </row>
    <row r="6" spans="1:20" ht="26.25">
      <c r="A6" s="727"/>
      <c r="B6" s="728" t="s">
        <v>159</v>
      </c>
      <c r="C6" s="85"/>
      <c r="D6" s="726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4" ht="18.75" customHeight="1">
      <c r="A7" s="727"/>
      <c r="D7" s="726"/>
    </row>
    <row r="8" spans="1:20" ht="26.25">
      <c r="A8" s="727"/>
      <c r="B8" s="729" t="s">
        <v>1</v>
      </c>
      <c r="C8" s="85"/>
      <c r="D8" s="726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4" ht="18.75" customHeight="1">
      <c r="A9" s="727"/>
      <c r="D9" s="726"/>
    </row>
    <row r="10" spans="1:20" ht="26.25">
      <c r="A10" s="727"/>
      <c r="B10" s="729" t="s">
        <v>160</v>
      </c>
      <c r="C10" s="85"/>
      <c r="D10" s="726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18.75" customHeight="1" thickBot="1"/>
    <row r="12" spans="2:20" ht="18.75" customHeight="1" thickTop="1">
      <c r="B12" s="730"/>
      <c r="C12" s="731"/>
      <c r="D12" s="732"/>
      <c r="E12" s="732"/>
      <c r="F12" s="732"/>
      <c r="G12" s="731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3"/>
    </row>
    <row r="13" spans="2:20" ht="19.5">
      <c r="B13" s="237" t="s">
        <v>168</v>
      </c>
      <c r="C13" s="85"/>
      <c r="D13" s="734"/>
      <c r="E13" s="734"/>
      <c r="F13" s="734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6"/>
    </row>
    <row r="14" spans="2:20" ht="18.75" customHeight="1" thickBot="1">
      <c r="B14" s="2"/>
      <c r="C14" s="737"/>
      <c r="D14" s="738"/>
      <c r="E14" s="738"/>
      <c r="F14" s="7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47" customFormat="1" ht="34.5" customHeight="1" thickBot="1" thickTop="1">
      <c r="A15" s="725"/>
      <c r="B15" s="740"/>
      <c r="C15" s="741"/>
      <c r="D15" s="742" t="s">
        <v>19</v>
      </c>
      <c r="E15" s="743" t="s">
        <v>43</v>
      </c>
      <c r="F15" s="744" t="s">
        <v>44</v>
      </c>
      <c r="G15" s="745">
        <f>'[3]Tasa de Falla'!HI15</f>
        <v>41030</v>
      </c>
      <c r="H15" s="745">
        <f>'[3]Tasa de Falla'!HJ15</f>
        <v>41061</v>
      </c>
      <c r="I15" s="745">
        <f>'[3]Tasa de Falla'!HK15</f>
        <v>41091</v>
      </c>
      <c r="J15" s="745">
        <f>'[3]Tasa de Falla'!HL15</f>
        <v>41122</v>
      </c>
      <c r="K15" s="745">
        <f>'[3]Tasa de Falla'!HM15</f>
        <v>41153</v>
      </c>
      <c r="L15" s="745">
        <f>'[3]Tasa de Falla'!HN15</f>
        <v>41183</v>
      </c>
      <c r="M15" s="745">
        <f>'[3]Tasa de Falla'!HO15</f>
        <v>41214</v>
      </c>
      <c r="N15" s="745">
        <f>'[3]Tasa de Falla'!HP15</f>
        <v>41244</v>
      </c>
      <c r="O15" s="745">
        <f>'[3]Tasa de Falla'!HQ15</f>
        <v>41275</v>
      </c>
      <c r="P15" s="745">
        <f>'[3]Tasa de Falla'!HR15</f>
        <v>41306</v>
      </c>
      <c r="Q15" s="745">
        <f>'[3]Tasa de Falla'!HS15</f>
        <v>41334</v>
      </c>
      <c r="R15" s="745">
        <f>'[3]Tasa de Falla'!HT15</f>
        <v>41365</v>
      </c>
      <c r="S15" s="745">
        <f>'[3]Tasa de Falla'!HU15</f>
        <v>41395</v>
      </c>
      <c r="T15" s="746"/>
    </row>
    <row r="16" spans="2:20" ht="15" customHeight="1" thickTop="1">
      <c r="B16" s="2"/>
      <c r="C16" s="748"/>
      <c r="D16" s="749"/>
      <c r="E16" s="749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1"/>
      <c r="T16" s="3"/>
    </row>
    <row r="17" spans="2:20" ht="12.75" hidden="1">
      <c r="B17" s="2"/>
      <c r="C17" s="752">
        <f>IF('[1]Tasa de Falla'!C17=0,"",'[1]Tasa de Falla'!C17)</f>
        <v>1</v>
      </c>
      <c r="D17" s="753" t="str">
        <f>IF('[1]Tasa de Falla'!D17=0,"",'[1]Tasa de Falla'!D17)</f>
        <v>AMEGHINO - COMODORO RIVADAVIA</v>
      </c>
      <c r="E17" s="753">
        <f>IF('[1]Tasa de Falla'!E17=0,"",'[1]Tasa de Falla'!E17)</f>
        <v>132</v>
      </c>
      <c r="F17" s="754">
        <f>IF('[1]Tasa de Falla'!F17=0,"",'[1]Tasa de Falla'!F17)</f>
        <v>305</v>
      </c>
      <c r="G17" s="755" t="str">
        <f>IF('[1]Tasa de Falla'!EA17=0,"",'[1]Tasa de Falla'!EA17)</f>
        <v>XXXX</v>
      </c>
      <c r="H17" s="755" t="str">
        <f>IF('[1]Tasa de Falla'!EB17=0,"",'[1]Tasa de Falla'!EB17)</f>
        <v>XXXX</v>
      </c>
      <c r="I17" s="755" t="str">
        <f>IF('[1]Tasa de Falla'!EC17=0,"",'[1]Tasa de Falla'!EC17)</f>
        <v>XXXX</v>
      </c>
      <c r="J17" s="755" t="str">
        <f>IF('[1]Tasa de Falla'!ED17=0,"",'[1]Tasa de Falla'!ED17)</f>
        <v>XXXX</v>
      </c>
      <c r="K17" s="755" t="str">
        <f>IF('[1]Tasa de Falla'!EE17=0,"",'[1]Tasa de Falla'!EE17)</f>
        <v>XXXX</v>
      </c>
      <c r="L17" s="755" t="str">
        <f>IF('[1]Tasa de Falla'!EF17=0,"",'[1]Tasa de Falla'!EF17)</f>
        <v>XXXX</v>
      </c>
      <c r="M17" s="755" t="str">
        <f>IF('[1]Tasa de Falla'!EG17=0,"",'[1]Tasa de Falla'!EG17)</f>
        <v>XXXX</v>
      </c>
      <c r="N17" s="755" t="str">
        <f>IF('[1]Tasa de Falla'!EH17=0,"",'[1]Tasa de Falla'!EH17)</f>
        <v>XXXX</v>
      </c>
      <c r="O17" s="755" t="str">
        <f>IF('[1]Tasa de Falla'!EI17=0,"",'[1]Tasa de Falla'!EI17)</f>
        <v>XXXX</v>
      </c>
      <c r="P17" s="755" t="str">
        <f>IF('[1]Tasa de Falla'!EJ17=0,"",'[1]Tasa de Falla'!EJ17)</f>
        <v>XXXX</v>
      </c>
      <c r="Q17" s="755" t="str">
        <f>IF('[1]Tasa de Falla'!EK17=0,"",'[1]Tasa de Falla'!EK17)</f>
        <v>XXXX</v>
      </c>
      <c r="R17" s="755" t="str">
        <f>IF('[1]Tasa de Falla'!EL17=0,"",'[1]Tasa de Falla'!EL17)</f>
        <v>XXXX</v>
      </c>
      <c r="S17" s="756"/>
      <c r="T17" s="3"/>
    </row>
    <row r="18" spans="2:20" ht="18" customHeight="1">
      <c r="B18" s="2"/>
      <c r="C18" s="757">
        <f>IF('[3]Tasa de Falla'!C17="","",'[3]Tasa de Falla'!C17)</f>
        <v>1</v>
      </c>
      <c r="D18" s="757" t="str">
        <f>IF('[3]Tasa de Falla'!D17="","",'[3]Tasa de Falla'!D17)</f>
        <v>AMEGHINO - COMODORO RIVADAVIA</v>
      </c>
      <c r="E18" s="757">
        <f>IF('[3]Tasa de Falla'!E17="","",'[3]Tasa de Falla'!E17)</f>
        <v>132</v>
      </c>
      <c r="F18" s="757">
        <f>IF('[3]Tasa de Falla'!F17="","",'[3]Tasa de Falla'!F17)</f>
        <v>305</v>
      </c>
      <c r="G18" s="758" t="str">
        <f>IF('[3]Tasa de Falla'!HI17="","",'[3]Tasa de Falla'!HI17)</f>
        <v>XXXX</v>
      </c>
      <c r="H18" s="758" t="str">
        <f>IF('[3]Tasa de Falla'!HJ17="","",'[3]Tasa de Falla'!HJ17)</f>
        <v>XXXX</v>
      </c>
      <c r="I18" s="758" t="str">
        <f>IF('[3]Tasa de Falla'!HK17="","",'[3]Tasa de Falla'!HK17)</f>
        <v>XXXX</v>
      </c>
      <c r="J18" s="758" t="str">
        <f>IF('[3]Tasa de Falla'!HL17="","",'[3]Tasa de Falla'!HL17)</f>
        <v>XXXX</v>
      </c>
      <c r="K18" s="758" t="str">
        <f>IF('[3]Tasa de Falla'!HM17="","",'[3]Tasa de Falla'!HM17)</f>
        <v>XXXX</v>
      </c>
      <c r="L18" s="758" t="str">
        <f>IF('[3]Tasa de Falla'!HN17="","",'[3]Tasa de Falla'!HN17)</f>
        <v>XXXX</v>
      </c>
      <c r="M18" s="758" t="str">
        <f>IF('[3]Tasa de Falla'!HO17="","",'[3]Tasa de Falla'!HO17)</f>
        <v>XXXX</v>
      </c>
      <c r="N18" s="758" t="str">
        <f>IF('[3]Tasa de Falla'!HP17="","",'[3]Tasa de Falla'!HP17)</f>
        <v>XXXX</v>
      </c>
      <c r="O18" s="758" t="str">
        <f>IF('[3]Tasa de Falla'!HQ17="","",'[3]Tasa de Falla'!HQ17)</f>
        <v>XXXX</v>
      </c>
      <c r="P18" s="758" t="str">
        <f>IF('[3]Tasa de Falla'!HR17="","",'[3]Tasa de Falla'!HR17)</f>
        <v>XXXX</v>
      </c>
      <c r="Q18" s="758" t="str">
        <f>IF('[3]Tasa de Falla'!HS17="","",'[3]Tasa de Falla'!HS17)</f>
        <v>XXXX</v>
      </c>
      <c r="R18" s="758" t="str">
        <f>IF('[3]Tasa de Falla'!HT17="","",'[3]Tasa de Falla'!HT17)</f>
        <v>XXXX</v>
      </c>
      <c r="S18" s="756"/>
      <c r="T18" s="3"/>
    </row>
    <row r="19" spans="2:20" ht="15" customHeight="1">
      <c r="B19" s="2"/>
      <c r="C19" s="759">
        <f>IF('[3]Tasa de Falla'!C18="","",'[3]Tasa de Falla'!C18)</f>
        <v>2</v>
      </c>
      <c r="D19" s="759" t="str">
        <f>IF('[3]Tasa de Falla'!D18="","",'[3]Tasa de Falla'!D18)</f>
        <v>AMEGHINO - ESTACION PATAGONIA</v>
      </c>
      <c r="E19" s="759">
        <f>IF('[3]Tasa de Falla'!E18="","",'[3]Tasa de Falla'!E18)</f>
        <v>132</v>
      </c>
      <c r="F19" s="759">
        <f>IF('[3]Tasa de Falla'!F18="","",'[3]Tasa de Falla'!F18)</f>
        <v>299.6</v>
      </c>
      <c r="G19" s="760">
        <f>IF('[3]Tasa de Falla'!HI18="","",'[3]Tasa de Falla'!HI18)</f>
      </c>
      <c r="H19" s="760">
        <f>IF('[3]Tasa de Falla'!HJ18="","",'[3]Tasa de Falla'!HJ18)</f>
      </c>
      <c r="I19" s="760">
        <f>IF('[3]Tasa de Falla'!HK18="","",'[3]Tasa de Falla'!HK18)</f>
      </c>
      <c r="J19" s="760">
        <f>IF('[3]Tasa de Falla'!HL18="","",'[3]Tasa de Falla'!HL18)</f>
      </c>
      <c r="K19" s="760">
        <f>IF('[3]Tasa de Falla'!HM18="","",'[3]Tasa de Falla'!HM18)</f>
      </c>
      <c r="L19" s="760">
        <f>IF('[3]Tasa de Falla'!HN18="","",'[3]Tasa de Falla'!HN18)</f>
      </c>
      <c r="M19" s="760">
        <f>IF('[3]Tasa de Falla'!HO18="","",'[3]Tasa de Falla'!HO18)</f>
      </c>
      <c r="N19" s="760">
        <f>IF('[3]Tasa de Falla'!HP18="","",'[3]Tasa de Falla'!HP18)</f>
        <v>1</v>
      </c>
      <c r="O19" s="760">
        <f>IF('[3]Tasa de Falla'!HQ18="","",'[3]Tasa de Falla'!HQ18)</f>
      </c>
      <c r="P19" s="760">
        <f>IF('[3]Tasa de Falla'!HR18="","",'[3]Tasa de Falla'!HR18)</f>
      </c>
      <c r="Q19" s="760">
        <f>IF('[3]Tasa de Falla'!HS18="","",'[3]Tasa de Falla'!HS18)</f>
      </c>
      <c r="R19" s="760">
        <f>IF('[3]Tasa de Falla'!HT18="","",'[3]Tasa de Falla'!HT18)</f>
        <v>2</v>
      </c>
      <c r="S19" s="756"/>
      <c r="T19" s="3"/>
    </row>
    <row r="20" spans="2:20" ht="18" customHeight="1">
      <c r="B20" s="2"/>
      <c r="C20" s="757">
        <f>IF('[3]Tasa de Falla'!C19="","",'[3]Tasa de Falla'!C19)</f>
        <v>3</v>
      </c>
      <c r="D20" s="757" t="str">
        <f>IF('[3]Tasa de Falla'!D19="","",'[3]Tasa de Falla'!D19)</f>
        <v>AMEGHINO - TRELEW</v>
      </c>
      <c r="E20" s="757">
        <f>IF('[3]Tasa de Falla'!E19="","",'[3]Tasa de Falla'!E19)</f>
        <v>132</v>
      </c>
      <c r="F20" s="757">
        <f>IF('[3]Tasa de Falla'!F19="","",'[3]Tasa de Falla'!F19)</f>
        <v>112</v>
      </c>
      <c r="G20" s="758">
        <f>IF('[3]Tasa de Falla'!HI19="","",'[3]Tasa de Falla'!HI19)</f>
      </c>
      <c r="H20" s="758">
        <f>IF('[3]Tasa de Falla'!HJ19="","",'[3]Tasa de Falla'!HJ19)</f>
      </c>
      <c r="I20" s="758">
        <f>IF('[3]Tasa de Falla'!HK19="","",'[3]Tasa de Falla'!HK19)</f>
      </c>
      <c r="J20" s="758">
        <f>IF('[3]Tasa de Falla'!HL19="","",'[3]Tasa de Falla'!HL19)</f>
      </c>
      <c r="K20" s="758">
        <f>IF('[3]Tasa de Falla'!HM19="","",'[3]Tasa de Falla'!HM19)</f>
      </c>
      <c r="L20" s="758">
        <f>IF('[3]Tasa de Falla'!HN19="","",'[3]Tasa de Falla'!HN19)</f>
      </c>
      <c r="M20" s="758">
        <f>IF('[3]Tasa de Falla'!HO19="","",'[3]Tasa de Falla'!HO19)</f>
      </c>
      <c r="N20" s="758">
        <f>IF('[3]Tasa de Falla'!HP19="","",'[3]Tasa de Falla'!HP19)</f>
      </c>
      <c r="O20" s="758">
        <f>IF('[3]Tasa de Falla'!HQ19="","",'[3]Tasa de Falla'!HQ19)</f>
      </c>
      <c r="P20" s="758">
        <f>IF('[3]Tasa de Falla'!HR19="","",'[3]Tasa de Falla'!HR19)</f>
        <v>1</v>
      </c>
      <c r="Q20" s="758">
        <f>IF('[3]Tasa de Falla'!HS19="","",'[3]Tasa de Falla'!HS19)</f>
      </c>
      <c r="R20" s="758">
        <f>IF('[3]Tasa de Falla'!HT19="","",'[3]Tasa de Falla'!HT19)</f>
      </c>
      <c r="S20" s="756"/>
      <c r="T20" s="3"/>
    </row>
    <row r="21" spans="2:20" ht="15" customHeight="1">
      <c r="B21" s="2"/>
      <c r="C21" s="759">
        <f>IF('[3]Tasa de Falla'!C20="","",'[3]Tasa de Falla'!C20)</f>
        <v>4</v>
      </c>
      <c r="D21" s="759" t="str">
        <f>IF('[3]Tasa de Falla'!D20="","",'[3]Tasa de Falla'!D20)</f>
        <v>FUTALEUFU - ESQUEL</v>
      </c>
      <c r="E21" s="759">
        <f>IF('[3]Tasa de Falla'!E20="","",'[3]Tasa de Falla'!E20)</f>
        <v>132</v>
      </c>
      <c r="F21" s="759">
        <f>IF('[3]Tasa de Falla'!F20="","",'[3]Tasa de Falla'!F20)</f>
        <v>28.4</v>
      </c>
      <c r="G21" s="760">
        <f>IF('[3]Tasa de Falla'!HI20="","",'[3]Tasa de Falla'!HI20)</f>
      </c>
      <c r="H21" s="760">
        <f>IF('[3]Tasa de Falla'!HJ20="","",'[3]Tasa de Falla'!HJ20)</f>
      </c>
      <c r="I21" s="760">
        <f>IF('[3]Tasa de Falla'!HK20="","",'[3]Tasa de Falla'!HK20)</f>
      </c>
      <c r="J21" s="760">
        <f>IF('[3]Tasa de Falla'!HL20="","",'[3]Tasa de Falla'!HL20)</f>
      </c>
      <c r="K21" s="760">
        <f>IF('[3]Tasa de Falla'!HM20="","",'[3]Tasa de Falla'!HM20)</f>
      </c>
      <c r="L21" s="760">
        <f>IF('[3]Tasa de Falla'!HN20="","",'[3]Tasa de Falla'!HN20)</f>
      </c>
      <c r="M21" s="760">
        <f>IF('[3]Tasa de Falla'!HO20="","",'[3]Tasa de Falla'!HO20)</f>
      </c>
      <c r="N21" s="760">
        <f>IF('[3]Tasa de Falla'!HP20="","",'[3]Tasa de Falla'!HP20)</f>
      </c>
      <c r="O21" s="760">
        <f>IF('[3]Tasa de Falla'!HQ20="","",'[3]Tasa de Falla'!HQ20)</f>
      </c>
      <c r="P21" s="760">
        <f>IF('[3]Tasa de Falla'!HR20="","",'[3]Tasa de Falla'!HR20)</f>
      </c>
      <c r="Q21" s="760">
        <f>IF('[3]Tasa de Falla'!HS20="","",'[3]Tasa de Falla'!HS20)</f>
      </c>
      <c r="R21" s="760">
        <f>IF('[3]Tasa de Falla'!HT20="","",'[3]Tasa de Falla'!HT20)</f>
      </c>
      <c r="S21" s="756"/>
      <c r="T21" s="3"/>
    </row>
    <row r="22" spans="2:20" ht="18" customHeight="1">
      <c r="B22" s="2"/>
      <c r="C22" s="757">
        <f>IF('[3]Tasa de Falla'!C21="","",'[3]Tasa de Falla'!C21)</f>
        <v>5</v>
      </c>
      <c r="D22" s="757" t="str">
        <f>IF('[3]Tasa de Falla'!D21="","",'[3]Tasa de Falla'!D21)</f>
        <v>BARRIO SAN MARTIN - ESTACION PATAGONIA</v>
      </c>
      <c r="E22" s="757">
        <f>IF('[3]Tasa de Falla'!E21="","",'[3]Tasa de Falla'!E21)</f>
        <v>132</v>
      </c>
      <c r="F22" s="757">
        <f>IF('[3]Tasa de Falla'!F21="","",'[3]Tasa de Falla'!F21)</f>
        <v>9.4</v>
      </c>
      <c r="G22" s="758">
        <f>IF('[3]Tasa de Falla'!HI21="","",'[3]Tasa de Falla'!HI21)</f>
      </c>
      <c r="H22" s="758">
        <f>IF('[3]Tasa de Falla'!HJ21="","",'[3]Tasa de Falla'!HJ21)</f>
      </c>
      <c r="I22" s="758">
        <f>IF('[3]Tasa de Falla'!HK21="","",'[3]Tasa de Falla'!HK21)</f>
      </c>
      <c r="J22" s="758">
        <f>IF('[3]Tasa de Falla'!HL21="","",'[3]Tasa de Falla'!HL21)</f>
      </c>
      <c r="K22" s="758">
        <f>IF('[3]Tasa de Falla'!HM21="","",'[3]Tasa de Falla'!HM21)</f>
      </c>
      <c r="L22" s="758">
        <f>IF('[3]Tasa de Falla'!HN21="","",'[3]Tasa de Falla'!HN21)</f>
      </c>
      <c r="M22" s="758">
        <f>IF('[3]Tasa de Falla'!HO21="","",'[3]Tasa de Falla'!HO21)</f>
      </c>
      <c r="N22" s="758">
        <f>IF('[3]Tasa de Falla'!HP21="","",'[3]Tasa de Falla'!HP21)</f>
      </c>
      <c r="O22" s="758">
        <f>IF('[3]Tasa de Falla'!HQ21="","",'[3]Tasa de Falla'!HQ21)</f>
      </c>
      <c r="P22" s="758">
        <f>IF('[3]Tasa de Falla'!HR21="","",'[3]Tasa de Falla'!HR21)</f>
      </c>
      <c r="Q22" s="758">
        <f>IF('[3]Tasa de Falla'!HS21="","",'[3]Tasa de Falla'!HS21)</f>
      </c>
      <c r="R22" s="758">
        <f>IF('[3]Tasa de Falla'!HT21="","",'[3]Tasa de Falla'!HT21)</f>
      </c>
      <c r="S22" s="756"/>
      <c r="T22" s="3"/>
    </row>
    <row r="23" spans="2:20" ht="15" customHeight="1">
      <c r="B23" s="2"/>
      <c r="C23" s="759">
        <f>IF('[3]Tasa de Falla'!C22="","",'[3]Tasa de Falla'!C22)</f>
        <v>6</v>
      </c>
      <c r="D23" s="759" t="str">
        <f>IF('[3]Tasa de Falla'!D22="","",'[3]Tasa de Falla'!D22)</f>
        <v>COMODORO RIVADAVIA - E.T. A1</v>
      </c>
      <c r="E23" s="759">
        <f>IF('[3]Tasa de Falla'!E22="","",'[3]Tasa de Falla'!E22)</f>
        <v>132</v>
      </c>
      <c r="F23" s="759">
        <f>IF('[3]Tasa de Falla'!F22="","",'[3]Tasa de Falla'!F22)</f>
        <v>0.5</v>
      </c>
      <c r="G23" s="760">
        <f>IF('[3]Tasa de Falla'!HI22="","",'[3]Tasa de Falla'!HI22)</f>
      </c>
      <c r="H23" s="760">
        <f>IF('[3]Tasa de Falla'!HJ22="","",'[3]Tasa de Falla'!HJ22)</f>
      </c>
      <c r="I23" s="760">
        <f>IF('[3]Tasa de Falla'!HK22="","",'[3]Tasa de Falla'!HK22)</f>
      </c>
      <c r="J23" s="760">
        <f>IF('[3]Tasa de Falla'!HL22="","",'[3]Tasa de Falla'!HL22)</f>
      </c>
      <c r="K23" s="760">
        <f>IF('[3]Tasa de Falla'!HM22="","",'[3]Tasa de Falla'!HM22)</f>
      </c>
      <c r="L23" s="760">
        <f>IF('[3]Tasa de Falla'!HN22="","",'[3]Tasa de Falla'!HN22)</f>
      </c>
      <c r="M23" s="760">
        <f>IF('[3]Tasa de Falla'!HO22="","",'[3]Tasa de Falla'!HO22)</f>
      </c>
      <c r="N23" s="760">
        <f>IF('[3]Tasa de Falla'!HP22="","",'[3]Tasa de Falla'!HP22)</f>
      </c>
      <c r="O23" s="760">
        <f>IF('[3]Tasa de Falla'!HQ22="","",'[3]Tasa de Falla'!HQ22)</f>
      </c>
      <c r="P23" s="760">
        <f>IF('[3]Tasa de Falla'!HR22="","",'[3]Tasa de Falla'!HR22)</f>
      </c>
      <c r="Q23" s="760">
        <f>IF('[3]Tasa de Falla'!HS22="","",'[3]Tasa de Falla'!HS22)</f>
      </c>
      <c r="R23" s="760">
        <f>IF('[3]Tasa de Falla'!HT22="","",'[3]Tasa de Falla'!HT22)</f>
      </c>
      <c r="S23" s="756"/>
      <c r="T23" s="3"/>
    </row>
    <row r="24" spans="2:20" ht="18" customHeight="1">
      <c r="B24" s="2"/>
      <c r="C24" s="757">
        <f>IF('[3]Tasa de Falla'!C23="","",'[3]Tasa de Falla'!C23)</f>
        <v>7</v>
      </c>
      <c r="D24" s="757" t="str">
        <f>IF('[3]Tasa de Falla'!D23="","",'[3]Tasa de Falla'!D23)</f>
        <v>COMODORO RIVADAVIA (A1) - ESTACION PATAGONIA</v>
      </c>
      <c r="E24" s="757">
        <f>IF('[3]Tasa de Falla'!E23="","",'[3]Tasa de Falla'!E23)</f>
        <v>132</v>
      </c>
      <c r="F24" s="757">
        <f>IF('[3]Tasa de Falla'!F23="","",'[3]Tasa de Falla'!F23)</f>
        <v>6.9</v>
      </c>
      <c r="G24" s="758">
        <f>IF('[3]Tasa de Falla'!HI23="","",'[3]Tasa de Falla'!HI23)</f>
      </c>
      <c r="H24" s="758">
        <f>IF('[3]Tasa de Falla'!HJ23="","",'[3]Tasa de Falla'!HJ23)</f>
      </c>
      <c r="I24" s="758">
        <f>IF('[3]Tasa de Falla'!HK23="","",'[3]Tasa de Falla'!HK23)</f>
      </c>
      <c r="J24" s="758">
        <f>IF('[3]Tasa de Falla'!HL23="","",'[3]Tasa de Falla'!HL23)</f>
      </c>
      <c r="K24" s="758">
        <f>IF('[3]Tasa de Falla'!HM23="","",'[3]Tasa de Falla'!HM23)</f>
      </c>
      <c r="L24" s="758">
        <f>IF('[3]Tasa de Falla'!HN23="","",'[3]Tasa de Falla'!HN23)</f>
      </c>
      <c r="M24" s="758">
        <f>IF('[3]Tasa de Falla'!HO23="","",'[3]Tasa de Falla'!HO23)</f>
      </c>
      <c r="N24" s="758">
        <f>IF('[3]Tasa de Falla'!HP23="","",'[3]Tasa de Falla'!HP23)</f>
      </c>
      <c r="O24" s="758">
        <f>IF('[3]Tasa de Falla'!HQ23="","",'[3]Tasa de Falla'!HQ23)</f>
      </c>
      <c r="P24" s="758">
        <f>IF('[3]Tasa de Falla'!HR23="","",'[3]Tasa de Falla'!HR23)</f>
      </c>
      <c r="Q24" s="758">
        <f>IF('[3]Tasa de Falla'!HS23="","",'[3]Tasa de Falla'!HS23)</f>
      </c>
      <c r="R24" s="758">
        <f>IF('[3]Tasa de Falla'!HT23="","",'[3]Tasa de Falla'!HT23)</f>
      </c>
      <c r="S24" s="756"/>
      <c r="T24" s="3"/>
    </row>
    <row r="25" spans="2:20" ht="15" customHeight="1">
      <c r="B25" s="2"/>
      <c r="C25" s="759">
        <f>IF('[3]Tasa de Falla'!C24="","",'[3]Tasa de Falla'!C24)</f>
        <v>8</v>
      </c>
      <c r="D25" s="759" t="str">
        <f>IF('[3]Tasa de Falla'!D24="","",'[3]Tasa de Falla'!D24)</f>
        <v>COMODORO RIVADAVIA - PICO TRUNCADO</v>
      </c>
      <c r="E25" s="759">
        <f>IF('[3]Tasa de Falla'!E24="","",'[3]Tasa de Falla'!E24)</f>
        <v>132</v>
      </c>
      <c r="F25" s="759">
        <f>IF('[3]Tasa de Falla'!F24="","",'[3]Tasa de Falla'!F24)</f>
        <v>138</v>
      </c>
      <c r="G25" s="760">
        <f>IF('[3]Tasa de Falla'!HI24="","",'[3]Tasa de Falla'!HI24)</f>
        <v>1</v>
      </c>
      <c r="H25" s="760">
        <f>IF('[3]Tasa de Falla'!HJ24="","",'[3]Tasa de Falla'!HJ24)</f>
      </c>
      <c r="I25" s="760">
        <f>IF('[3]Tasa de Falla'!HK24="","",'[3]Tasa de Falla'!HK24)</f>
      </c>
      <c r="J25" s="760">
        <f>IF('[3]Tasa de Falla'!HL24="","",'[3]Tasa de Falla'!HL24)</f>
      </c>
      <c r="K25" s="760">
        <f>IF('[3]Tasa de Falla'!HM24="","",'[3]Tasa de Falla'!HM24)</f>
      </c>
      <c r="L25" s="760">
        <f>IF('[3]Tasa de Falla'!HN24="","",'[3]Tasa de Falla'!HN24)</f>
      </c>
      <c r="M25" s="760">
        <f>IF('[3]Tasa de Falla'!HO24="","",'[3]Tasa de Falla'!HO24)</f>
      </c>
      <c r="N25" s="760">
        <f>IF('[3]Tasa de Falla'!HP24="","",'[3]Tasa de Falla'!HP24)</f>
      </c>
      <c r="O25" s="760">
        <f>IF('[3]Tasa de Falla'!HQ24="","",'[3]Tasa de Falla'!HQ24)</f>
      </c>
      <c r="P25" s="760">
        <f>IF('[3]Tasa de Falla'!HR24="","",'[3]Tasa de Falla'!HR24)</f>
      </c>
      <c r="Q25" s="760">
        <f>IF('[3]Tasa de Falla'!HS24="","",'[3]Tasa de Falla'!HS24)</f>
      </c>
      <c r="R25" s="760">
        <f>IF('[3]Tasa de Falla'!HT24="","",'[3]Tasa de Falla'!HT24)</f>
      </c>
      <c r="S25" s="756"/>
      <c r="T25" s="3"/>
    </row>
    <row r="26" spans="2:20" ht="18" customHeight="1">
      <c r="B26" s="2"/>
      <c r="C26" s="757">
        <f>IF('[3]Tasa de Falla'!C25="","",'[3]Tasa de Falla'!C25)</f>
        <v>9</v>
      </c>
      <c r="D26" s="757" t="str">
        <f>IF('[3]Tasa de Falla'!D25="","",'[3]Tasa de Falla'!D25)</f>
        <v>FUTALEUFÚ - PUERTO MADRYN 1</v>
      </c>
      <c r="E26" s="757">
        <f>IF('[3]Tasa de Falla'!E25="","",'[3]Tasa de Falla'!E25)</f>
        <v>330</v>
      </c>
      <c r="F26" s="757">
        <f>IF('[3]Tasa de Falla'!F25="","",'[3]Tasa de Falla'!F25)</f>
        <v>550</v>
      </c>
      <c r="G26" s="758">
        <f>IF('[3]Tasa de Falla'!HI25="","",'[3]Tasa de Falla'!HI25)</f>
      </c>
      <c r="H26" s="758">
        <f>IF('[3]Tasa de Falla'!HJ25="","",'[3]Tasa de Falla'!HJ25)</f>
      </c>
      <c r="I26" s="758">
        <f>IF('[3]Tasa de Falla'!HK25="","",'[3]Tasa de Falla'!HK25)</f>
      </c>
      <c r="J26" s="758">
        <f>IF('[3]Tasa de Falla'!HL25="","",'[3]Tasa de Falla'!HL25)</f>
      </c>
      <c r="K26" s="758">
        <f>IF('[3]Tasa de Falla'!HM25="","",'[3]Tasa de Falla'!HM25)</f>
      </c>
      <c r="L26" s="758">
        <f>IF('[3]Tasa de Falla'!HN25="","",'[3]Tasa de Falla'!HN25)</f>
      </c>
      <c r="M26" s="758">
        <f>IF('[3]Tasa de Falla'!HO25="","",'[3]Tasa de Falla'!HO25)</f>
      </c>
      <c r="N26" s="758">
        <f>IF('[3]Tasa de Falla'!HP25="","",'[3]Tasa de Falla'!HP25)</f>
      </c>
      <c r="O26" s="758">
        <f>IF('[3]Tasa de Falla'!HQ25="","",'[3]Tasa de Falla'!HQ25)</f>
      </c>
      <c r="P26" s="758">
        <f>IF('[3]Tasa de Falla'!HR25="","",'[3]Tasa de Falla'!HR25)</f>
      </c>
      <c r="Q26" s="758">
        <f>IF('[3]Tasa de Falla'!HS25="","",'[3]Tasa de Falla'!HS25)</f>
      </c>
      <c r="R26" s="758">
        <f>IF('[3]Tasa de Falla'!HT25="","",'[3]Tasa de Falla'!HT25)</f>
      </c>
      <c r="S26" s="756"/>
      <c r="T26" s="3"/>
    </row>
    <row r="27" spans="2:20" ht="15" customHeight="1">
      <c r="B27" s="2"/>
      <c r="C27" s="759">
        <f>IF('[3]Tasa de Falla'!C26="","",'[3]Tasa de Falla'!C26)</f>
        <v>10</v>
      </c>
      <c r="D27" s="759" t="str">
        <f>IF('[3]Tasa de Falla'!D26="","",'[3]Tasa de Falla'!D26)</f>
        <v>FUTALEUFÚ - PUERTO MADRYN 2</v>
      </c>
      <c r="E27" s="759">
        <f>IF('[3]Tasa de Falla'!E26="","",'[3]Tasa de Falla'!E26)</f>
        <v>330</v>
      </c>
      <c r="F27" s="759">
        <f>IF('[3]Tasa de Falla'!F26="","",'[3]Tasa de Falla'!F26)</f>
        <v>550</v>
      </c>
      <c r="G27" s="760">
        <f>IF('[3]Tasa de Falla'!HI26="","",'[3]Tasa de Falla'!HI26)</f>
      </c>
      <c r="H27" s="760">
        <f>IF('[3]Tasa de Falla'!HJ26="","",'[3]Tasa de Falla'!HJ26)</f>
      </c>
      <c r="I27" s="760">
        <f>IF('[3]Tasa de Falla'!HK26="","",'[3]Tasa de Falla'!HK26)</f>
      </c>
      <c r="J27" s="760">
        <f>IF('[3]Tasa de Falla'!HL26="","",'[3]Tasa de Falla'!HL26)</f>
      </c>
      <c r="K27" s="760">
        <f>IF('[3]Tasa de Falla'!HM26="","",'[3]Tasa de Falla'!HM26)</f>
      </c>
      <c r="L27" s="760">
        <f>IF('[3]Tasa de Falla'!HN26="","",'[3]Tasa de Falla'!HN26)</f>
      </c>
      <c r="M27" s="760">
        <f>IF('[3]Tasa de Falla'!HO26="","",'[3]Tasa de Falla'!HO26)</f>
      </c>
      <c r="N27" s="760">
        <f>IF('[3]Tasa de Falla'!HP26="","",'[3]Tasa de Falla'!HP26)</f>
      </c>
      <c r="O27" s="760">
        <f>IF('[3]Tasa de Falla'!HQ26="","",'[3]Tasa de Falla'!HQ26)</f>
      </c>
      <c r="P27" s="760">
        <f>IF('[3]Tasa de Falla'!HR26="","",'[3]Tasa de Falla'!HR26)</f>
      </c>
      <c r="Q27" s="760">
        <f>IF('[3]Tasa de Falla'!HS26="","",'[3]Tasa de Falla'!HS26)</f>
      </c>
      <c r="R27" s="760">
        <f>IF('[3]Tasa de Falla'!HT26="","",'[3]Tasa de Falla'!HT26)</f>
      </c>
      <c r="S27" s="756"/>
      <c r="T27" s="3"/>
    </row>
    <row r="28" spans="2:20" ht="18" customHeight="1">
      <c r="B28" s="2"/>
      <c r="C28" s="757">
        <f>IF('[3]Tasa de Falla'!C27="","",'[3]Tasa de Falla'!C27)</f>
        <v>11</v>
      </c>
      <c r="D28" s="757" t="str">
        <f>IF('[3]Tasa de Falla'!D27="","",'[3]Tasa de Falla'!D27)</f>
        <v>PLANTA ALUMINIO APPA - PUERTO MADRYN 1</v>
      </c>
      <c r="E28" s="757">
        <f>IF('[3]Tasa de Falla'!E27="","",'[3]Tasa de Falla'!E27)</f>
        <v>330</v>
      </c>
      <c r="F28" s="757">
        <f>IF('[3]Tasa de Falla'!F27="","",'[3]Tasa de Falla'!F27)</f>
        <v>5.5</v>
      </c>
      <c r="G28" s="758">
        <f>IF('[3]Tasa de Falla'!HI27="","",'[3]Tasa de Falla'!HI27)</f>
      </c>
      <c r="H28" s="758">
        <f>IF('[3]Tasa de Falla'!HJ27="","",'[3]Tasa de Falla'!HJ27)</f>
        <v>1</v>
      </c>
      <c r="I28" s="758">
        <f>IF('[3]Tasa de Falla'!HK27="","",'[3]Tasa de Falla'!HK27)</f>
      </c>
      <c r="J28" s="758">
        <f>IF('[3]Tasa de Falla'!HL27="","",'[3]Tasa de Falla'!HL27)</f>
      </c>
      <c r="K28" s="758">
        <f>IF('[3]Tasa de Falla'!HM27="","",'[3]Tasa de Falla'!HM27)</f>
      </c>
      <c r="L28" s="758">
        <f>IF('[3]Tasa de Falla'!HN27="","",'[3]Tasa de Falla'!HN27)</f>
      </c>
      <c r="M28" s="758">
        <f>IF('[3]Tasa de Falla'!HO27="","",'[3]Tasa de Falla'!HO27)</f>
      </c>
      <c r="N28" s="758">
        <f>IF('[3]Tasa de Falla'!HP27="","",'[3]Tasa de Falla'!HP27)</f>
      </c>
      <c r="O28" s="758">
        <f>IF('[3]Tasa de Falla'!HQ27="","",'[3]Tasa de Falla'!HQ27)</f>
        <v>1</v>
      </c>
      <c r="P28" s="758">
        <f>IF('[3]Tasa de Falla'!HR27="","",'[3]Tasa de Falla'!HR27)</f>
      </c>
      <c r="Q28" s="758">
        <f>IF('[3]Tasa de Falla'!HS27="","",'[3]Tasa de Falla'!HS27)</f>
      </c>
      <c r="R28" s="758">
        <f>IF('[3]Tasa de Falla'!HT27="","",'[3]Tasa de Falla'!HT27)</f>
      </c>
      <c r="S28" s="756"/>
      <c r="T28" s="3"/>
    </row>
    <row r="29" spans="2:20" ht="15" customHeight="1">
      <c r="B29" s="2"/>
      <c r="C29" s="759">
        <f>IF('[3]Tasa de Falla'!C28="","",'[3]Tasa de Falla'!C28)</f>
        <v>12</v>
      </c>
      <c r="D29" s="759" t="str">
        <f>IF('[3]Tasa de Falla'!D28="","",'[3]Tasa de Falla'!D28)</f>
        <v>PLANTA ALUMINIO APPA - PUERTO MADRYN 2</v>
      </c>
      <c r="E29" s="759">
        <f>IF('[3]Tasa de Falla'!E28="","",'[3]Tasa de Falla'!E28)</f>
        <v>330</v>
      </c>
      <c r="F29" s="759">
        <f>IF('[3]Tasa de Falla'!F28="","",'[3]Tasa de Falla'!F28)</f>
        <v>5.5</v>
      </c>
      <c r="G29" s="760">
        <f>IF('[3]Tasa de Falla'!HI28="","",'[3]Tasa de Falla'!HI28)</f>
      </c>
      <c r="H29" s="760">
        <f>IF('[3]Tasa de Falla'!HJ28="","",'[3]Tasa de Falla'!HJ28)</f>
      </c>
      <c r="I29" s="760">
        <f>IF('[3]Tasa de Falla'!HK28="","",'[3]Tasa de Falla'!HK28)</f>
      </c>
      <c r="J29" s="760">
        <f>IF('[3]Tasa de Falla'!HL28="","",'[3]Tasa de Falla'!HL28)</f>
      </c>
      <c r="K29" s="760">
        <f>IF('[3]Tasa de Falla'!HM28="","",'[3]Tasa de Falla'!HM28)</f>
      </c>
      <c r="L29" s="760">
        <f>IF('[3]Tasa de Falla'!HN28="","",'[3]Tasa de Falla'!HN28)</f>
      </c>
      <c r="M29" s="760">
        <f>IF('[3]Tasa de Falla'!HO28="","",'[3]Tasa de Falla'!HO28)</f>
      </c>
      <c r="N29" s="760">
        <f>IF('[3]Tasa de Falla'!HP28="","",'[3]Tasa de Falla'!HP28)</f>
      </c>
      <c r="O29" s="760">
        <f>IF('[3]Tasa de Falla'!HQ28="","",'[3]Tasa de Falla'!HQ28)</f>
      </c>
      <c r="P29" s="760">
        <f>IF('[3]Tasa de Falla'!HR28="","",'[3]Tasa de Falla'!HR28)</f>
      </c>
      <c r="Q29" s="760">
        <f>IF('[3]Tasa de Falla'!HS28="","",'[3]Tasa de Falla'!HS28)</f>
      </c>
      <c r="R29" s="760">
        <f>IF('[3]Tasa de Falla'!HT28="","",'[3]Tasa de Falla'!HT28)</f>
      </c>
      <c r="S29" s="756"/>
      <c r="T29" s="3"/>
    </row>
    <row r="30" spans="2:20" ht="18" customHeight="1">
      <c r="B30" s="2"/>
      <c r="C30" s="757">
        <f>IF('[3]Tasa de Falla'!C29="","",'[3]Tasa de Falla'!C29)</f>
        <v>13</v>
      </c>
      <c r="D30" s="757" t="str">
        <f>IF('[3]Tasa de Falla'!D29="","",'[3]Tasa de Falla'!D29)</f>
        <v>PICO TRUNCADO I - PICO TRUNCADO II</v>
      </c>
      <c r="E30" s="757">
        <f>IF('[3]Tasa de Falla'!E29="","",'[3]Tasa de Falla'!E29)</f>
        <v>132</v>
      </c>
      <c r="F30" s="757">
        <f>IF('[3]Tasa de Falla'!F29="","",'[3]Tasa de Falla'!F29)</f>
        <v>13.4</v>
      </c>
      <c r="G30" s="758">
        <f>IF('[3]Tasa de Falla'!HI29="","",'[3]Tasa de Falla'!HI29)</f>
      </c>
      <c r="H30" s="758">
        <f>IF('[3]Tasa de Falla'!HJ29="","",'[3]Tasa de Falla'!HJ29)</f>
      </c>
      <c r="I30" s="758">
        <f>IF('[3]Tasa de Falla'!HK29="","",'[3]Tasa de Falla'!HK29)</f>
      </c>
      <c r="J30" s="758">
        <f>IF('[3]Tasa de Falla'!HL29="","",'[3]Tasa de Falla'!HL29)</f>
      </c>
      <c r="K30" s="758">
        <f>IF('[3]Tasa de Falla'!HM29="","",'[3]Tasa de Falla'!HM29)</f>
      </c>
      <c r="L30" s="758">
        <f>IF('[3]Tasa de Falla'!HN29="","",'[3]Tasa de Falla'!HN29)</f>
      </c>
      <c r="M30" s="758">
        <f>IF('[3]Tasa de Falla'!HO29="","",'[3]Tasa de Falla'!HO29)</f>
      </c>
      <c r="N30" s="758">
        <f>IF('[3]Tasa de Falla'!HP29="","",'[3]Tasa de Falla'!HP29)</f>
      </c>
      <c r="O30" s="758">
        <f>IF('[3]Tasa de Falla'!HQ29="","",'[3]Tasa de Falla'!HQ29)</f>
      </c>
      <c r="P30" s="758">
        <f>IF('[3]Tasa de Falla'!HR29="","",'[3]Tasa de Falla'!HR29)</f>
      </c>
      <c r="Q30" s="758">
        <f>IF('[3]Tasa de Falla'!HS29="","",'[3]Tasa de Falla'!HS29)</f>
      </c>
      <c r="R30" s="758">
        <f>IF('[3]Tasa de Falla'!HT29="","",'[3]Tasa de Falla'!HT29)</f>
      </c>
      <c r="S30" s="756"/>
      <c r="T30" s="3"/>
    </row>
    <row r="31" spans="2:20" ht="15" customHeight="1">
      <c r="B31" s="2"/>
      <c r="C31" s="759">
        <f>IF('[3]Tasa de Falla'!C30="","",'[3]Tasa de Falla'!C30)</f>
        <v>14</v>
      </c>
      <c r="D31" s="759" t="str">
        <f>IF('[3]Tasa de Falla'!D30="","",'[3]Tasa de Falla'!D30)</f>
        <v>PLANTA ALUMINIO DGPA - PTO MADRYN</v>
      </c>
      <c r="E31" s="759">
        <f>IF('[3]Tasa de Falla'!E30="","",'[3]Tasa de Falla'!E30)</f>
        <v>132</v>
      </c>
      <c r="F31" s="759">
        <f>IF('[3]Tasa de Falla'!F30="","",'[3]Tasa de Falla'!F30)</f>
        <v>5.7</v>
      </c>
      <c r="G31" s="760">
        <f>IF('[3]Tasa de Falla'!HI30="","",'[3]Tasa de Falla'!HI30)</f>
      </c>
      <c r="H31" s="760">
        <f>IF('[3]Tasa de Falla'!HJ30="","",'[3]Tasa de Falla'!HJ30)</f>
      </c>
      <c r="I31" s="760">
        <f>IF('[3]Tasa de Falla'!HK30="","",'[3]Tasa de Falla'!HK30)</f>
      </c>
      <c r="J31" s="760">
        <f>IF('[3]Tasa de Falla'!HL30="","",'[3]Tasa de Falla'!HL30)</f>
      </c>
      <c r="K31" s="760">
        <f>IF('[3]Tasa de Falla'!HM30="","",'[3]Tasa de Falla'!HM30)</f>
      </c>
      <c r="L31" s="760">
        <f>IF('[3]Tasa de Falla'!HN30="","",'[3]Tasa de Falla'!HN30)</f>
      </c>
      <c r="M31" s="760">
        <f>IF('[3]Tasa de Falla'!HO30="","",'[3]Tasa de Falla'!HO30)</f>
        <v>1</v>
      </c>
      <c r="N31" s="760">
        <f>IF('[3]Tasa de Falla'!HP30="","",'[3]Tasa de Falla'!HP30)</f>
      </c>
      <c r="O31" s="760">
        <f>IF('[3]Tasa de Falla'!HQ30="","",'[3]Tasa de Falla'!HQ30)</f>
      </c>
      <c r="P31" s="760">
        <f>IF('[3]Tasa de Falla'!HR30="","",'[3]Tasa de Falla'!HR30)</f>
      </c>
      <c r="Q31" s="760">
        <f>IF('[3]Tasa de Falla'!HS30="","",'[3]Tasa de Falla'!HS30)</f>
      </c>
      <c r="R31" s="760">
        <f>IF('[3]Tasa de Falla'!HT30="","",'[3]Tasa de Falla'!HT30)</f>
      </c>
      <c r="S31" s="756"/>
      <c r="T31" s="3"/>
    </row>
    <row r="32" spans="2:20" ht="18" customHeight="1">
      <c r="B32" s="2"/>
      <c r="C32" s="757">
        <f>IF('[3]Tasa de Falla'!C31="","",'[3]Tasa de Falla'!C31)</f>
        <v>15</v>
      </c>
      <c r="D32" s="757" t="str">
        <f>IF('[3]Tasa de Falla'!D31="","",'[3]Tasa de Falla'!D31)</f>
        <v>PLANTA ALUMINIO DGPA - SS.AA. PTO MADRYN</v>
      </c>
      <c r="E32" s="757">
        <f>IF('[3]Tasa de Falla'!E31="","",'[3]Tasa de Falla'!E31)</f>
        <v>33</v>
      </c>
      <c r="F32" s="757">
        <f>IF('[3]Tasa de Falla'!F31="","",'[3]Tasa de Falla'!F31)</f>
        <v>6</v>
      </c>
      <c r="G32" s="758" t="str">
        <f>IF('[3]Tasa de Falla'!HI31="","",'[3]Tasa de Falla'!HI31)</f>
        <v>XXXX</v>
      </c>
      <c r="H32" s="758" t="str">
        <f>IF('[3]Tasa de Falla'!HJ31="","",'[3]Tasa de Falla'!HJ31)</f>
        <v>XXXX</v>
      </c>
      <c r="I32" s="758" t="str">
        <f>IF('[3]Tasa de Falla'!HK31="","",'[3]Tasa de Falla'!HK31)</f>
        <v>XXXX</v>
      </c>
      <c r="J32" s="758" t="str">
        <f>IF('[3]Tasa de Falla'!HL31="","",'[3]Tasa de Falla'!HL31)</f>
        <v>XXXX</v>
      </c>
      <c r="K32" s="758" t="str">
        <f>IF('[3]Tasa de Falla'!HM31="","",'[3]Tasa de Falla'!HM31)</f>
        <v>XXXX</v>
      </c>
      <c r="L32" s="758" t="str">
        <f>IF('[3]Tasa de Falla'!HN31="","",'[3]Tasa de Falla'!HN31)</f>
        <v>XXXX</v>
      </c>
      <c r="M32" s="758" t="str">
        <f>IF('[3]Tasa de Falla'!HO31="","",'[3]Tasa de Falla'!HO31)</f>
        <v>XXXX</v>
      </c>
      <c r="N32" s="758" t="str">
        <f>IF('[3]Tasa de Falla'!HP31="","",'[3]Tasa de Falla'!HP31)</f>
        <v>XXXX</v>
      </c>
      <c r="O32" s="758" t="str">
        <f>IF('[3]Tasa de Falla'!HQ31="","",'[3]Tasa de Falla'!HQ31)</f>
        <v>XXXX</v>
      </c>
      <c r="P32" s="758" t="str">
        <f>IF('[3]Tasa de Falla'!HR31="","",'[3]Tasa de Falla'!HR31)</f>
        <v>XXXX</v>
      </c>
      <c r="Q32" s="758" t="str">
        <f>IF('[3]Tasa de Falla'!HS31="","",'[3]Tasa de Falla'!HS31)</f>
        <v>XXXX</v>
      </c>
      <c r="R32" s="758" t="str">
        <f>IF('[3]Tasa de Falla'!HT31="","",'[3]Tasa de Falla'!HT31)</f>
        <v>XXXX</v>
      </c>
      <c r="S32" s="756"/>
      <c r="T32" s="3"/>
    </row>
    <row r="33" spans="2:20" ht="15" customHeight="1">
      <c r="B33" s="2"/>
      <c r="C33" s="759">
        <f>IF('[3]Tasa de Falla'!C32="","",'[3]Tasa de Falla'!C32)</f>
        <v>16</v>
      </c>
      <c r="D33" s="759" t="str">
        <f>IF('[3]Tasa de Falla'!D32="","",'[3]Tasa de Falla'!D32)</f>
        <v>PLANTA ALUMINIO DGPA - TRELEW</v>
      </c>
      <c r="E33" s="759">
        <f>IF('[3]Tasa de Falla'!E32="","",'[3]Tasa de Falla'!E32)</f>
        <v>132</v>
      </c>
      <c r="F33" s="759">
        <f>IF('[3]Tasa de Falla'!F32="","",'[3]Tasa de Falla'!F32)</f>
        <v>62</v>
      </c>
      <c r="G33" s="760">
        <f>IF('[3]Tasa de Falla'!HI32="","",'[3]Tasa de Falla'!HI32)</f>
      </c>
      <c r="H33" s="760">
        <f>IF('[3]Tasa de Falla'!HJ32="","",'[3]Tasa de Falla'!HJ32)</f>
      </c>
      <c r="I33" s="760">
        <f>IF('[3]Tasa de Falla'!HK32="","",'[3]Tasa de Falla'!HK32)</f>
      </c>
      <c r="J33" s="760">
        <f>IF('[3]Tasa de Falla'!HL32="","",'[3]Tasa de Falla'!HL32)</f>
      </c>
      <c r="K33" s="760">
        <f>IF('[3]Tasa de Falla'!HM32="","",'[3]Tasa de Falla'!HM32)</f>
      </c>
      <c r="L33" s="760">
        <f>IF('[3]Tasa de Falla'!HN32="","",'[3]Tasa de Falla'!HN32)</f>
      </c>
      <c r="M33" s="760">
        <f>IF('[3]Tasa de Falla'!HO32="","",'[3]Tasa de Falla'!HO32)</f>
      </c>
      <c r="N33" s="760">
        <f>IF('[3]Tasa de Falla'!HP32="","",'[3]Tasa de Falla'!HP32)</f>
      </c>
      <c r="O33" s="760">
        <f>IF('[3]Tasa de Falla'!HQ32="","",'[3]Tasa de Falla'!HQ32)</f>
      </c>
      <c r="P33" s="760">
        <f>IF('[3]Tasa de Falla'!HR32="","",'[3]Tasa de Falla'!HR32)</f>
      </c>
      <c r="Q33" s="760">
        <f>IF('[3]Tasa de Falla'!HS32="","",'[3]Tasa de Falla'!HS32)</f>
      </c>
      <c r="R33" s="760">
        <f>IF('[3]Tasa de Falla'!HT32="","",'[3]Tasa de Falla'!HT32)</f>
        <v>1</v>
      </c>
      <c r="S33" s="756"/>
      <c r="T33" s="3"/>
    </row>
    <row r="34" spans="2:20" ht="18" customHeight="1">
      <c r="B34" s="2"/>
      <c r="C34" s="757">
        <f>IF('[3]Tasa de Falla'!C33="","",'[3]Tasa de Falla'!C33)</f>
        <v>17</v>
      </c>
      <c r="D34" s="757" t="str">
        <f>IF('[3]Tasa de Falla'!D33="","",'[3]Tasa de Falla'!D33)</f>
        <v>PUERTO MADRYN - SIERRA GRANDE</v>
      </c>
      <c r="E34" s="757">
        <f>IF('[3]Tasa de Falla'!E33="","",'[3]Tasa de Falla'!E33)</f>
        <v>132</v>
      </c>
      <c r="F34" s="757">
        <f>IF('[3]Tasa de Falla'!F33="","",'[3]Tasa de Falla'!F33)</f>
        <v>121.5</v>
      </c>
      <c r="G34" s="758">
        <f>IF('[3]Tasa de Falla'!HI33="","",'[3]Tasa de Falla'!HI33)</f>
      </c>
      <c r="H34" s="758">
        <f>IF('[3]Tasa de Falla'!HJ33="","",'[3]Tasa de Falla'!HJ33)</f>
      </c>
      <c r="I34" s="758">
        <f>IF('[3]Tasa de Falla'!HK33="","",'[3]Tasa de Falla'!HK33)</f>
        <v>1</v>
      </c>
      <c r="J34" s="758">
        <f>IF('[3]Tasa de Falla'!HL33="","",'[3]Tasa de Falla'!HL33)</f>
      </c>
      <c r="K34" s="758">
        <f>IF('[3]Tasa de Falla'!HM33="","",'[3]Tasa de Falla'!HM33)</f>
      </c>
      <c r="L34" s="758">
        <f>IF('[3]Tasa de Falla'!HN33="","",'[3]Tasa de Falla'!HN33)</f>
      </c>
      <c r="M34" s="758">
        <f>IF('[3]Tasa de Falla'!HO33="","",'[3]Tasa de Falla'!HO33)</f>
        <v>1</v>
      </c>
      <c r="N34" s="758">
        <f>IF('[3]Tasa de Falla'!HP33="","",'[3]Tasa de Falla'!HP33)</f>
      </c>
      <c r="O34" s="758">
        <f>IF('[3]Tasa de Falla'!HQ33="","",'[3]Tasa de Falla'!HQ33)</f>
        <v>1</v>
      </c>
      <c r="P34" s="758">
        <f>IF('[3]Tasa de Falla'!HR33="","",'[3]Tasa de Falla'!HR33)</f>
      </c>
      <c r="Q34" s="758">
        <f>IF('[3]Tasa de Falla'!HS33="","",'[3]Tasa de Falla'!HS33)</f>
      </c>
      <c r="R34" s="758">
        <f>IF('[3]Tasa de Falla'!HT33="","",'[3]Tasa de Falla'!HT33)</f>
      </c>
      <c r="S34" s="756"/>
      <c r="T34" s="3"/>
    </row>
    <row r="35" spans="2:20" ht="15" customHeight="1">
      <c r="B35" s="2"/>
      <c r="C35" s="759">
        <f>IF('[3]Tasa de Falla'!C34="","",'[3]Tasa de Falla'!C34)</f>
        <v>18</v>
      </c>
      <c r="D35" s="759" t="str">
        <f>IF('[3]Tasa de Falla'!D34="","",'[3]Tasa de Falla'!D34)</f>
        <v>BARRIO SAN MARTIN - A CONEXION "T"</v>
      </c>
      <c r="E35" s="759">
        <f>IF('[3]Tasa de Falla'!E34="","",'[3]Tasa de Falla'!E34)</f>
        <v>132</v>
      </c>
      <c r="F35" s="759">
        <f>IF('[3]Tasa de Falla'!F34="","",'[3]Tasa de Falla'!F34)</f>
        <v>7.5</v>
      </c>
      <c r="G35" s="760" t="str">
        <f>IF('[3]Tasa de Falla'!HI34="","",'[3]Tasa de Falla'!HI34)</f>
        <v>XXXX</v>
      </c>
      <c r="H35" s="760" t="str">
        <f>IF('[3]Tasa de Falla'!HJ34="","",'[3]Tasa de Falla'!HJ34)</f>
        <v>XXXX</v>
      </c>
      <c r="I35" s="760" t="str">
        <f>IF('[3]Tasa de Falla'!HK34="","",'[3]Tasa de Falla'!HK34)</f>
        <v>XXXX</v>
      </c>
      <c r="J35" s="760" t="str">
        <f>IF('[3]Tasa de Falla'!HL34="","",'[3]Tasa de Falla'!HL34)</f>
        <v>XXXX</v>
      </c>
      <c r="K35" s="760" t="str">
        <f>IF('[3]Tasa de Falla'!HM34="","",'[3]Tasa de Falla'!HM34)</f>
        <v>XXXX</v>
      </c>
      <c r="L35" s="760" t="str">
        <f>IF('[3]Tasa de Falla'!HN34="","",'[3]Tasa de Falla'!HN34)</f>
        <v>XXXX</v>
      </c>
      <c r="M35" s="760" t="str">
        <f>IF('[3]Tasa de Falla'!HO34="","",'[3]Tasa de Falla'!HO34)</f>
        <v>XXXX</v>
      </c>
      <c r="N35" s="760" t="str">
        <f>IF('[3]Tasa de Falla'!HP34="","",'[3]Tasa de Falla'!HP34)</f>
        <v>XXXX</v>
      </c>
      <c r="O35" s="760" t="str">
        <f>IF('[3]Tasa de Falla'!HQ34="","",'[3]Tasa de Falla'!HQ34)</f>
        <v>XXXX</v>
      </c>
      <c r="P35" s="760" t="str">
        <f>IF('[3]Tasa de Falla'!HR34="","",'[3]Tasa de Falla'!HR34)</f>
        <v>XXXX</v>
      </c>
      <c r="Q35" s="760" t="str">
        <f>IF('[3]Tasa de Falla'!HS34="","",'[3]Tasa de Falla'!HS34)</f>
        <v>XXXX</v>
      </c>
      <c r="R35" s="760" t="str">
        <f>IF('[3]Tasa de Falla'!HT34="","",'[3]Tasa de Falla'!HT34)</f>
        <v>XXXX</v>
      </c>
      <c r="S35" s="756"/>
      <c r="T35" s="3"/>
    </row>
    <row r="36" spans="2:20" ht="18" customHeight="1">
      <c r="B36" s="2"/>
      <c r="C36" s="757">
        <f>IF('[3]Tasa de Falla'!C35="","",'[3]Tasa de Falla'!C35)</f>
        <v>19</v>
      </c>
      <c r="D36" s="757" t="str">
        <f>IF('[3]Tasa de Falla'!D35="","",'[3]Tasa de Falla'!D35)</f>
        <v>PICO TRUNCADO I - LAS HERAS</v>
      </c>
      <c r="E36" s="757">
        <f>IF('[3]Tasa de Falla'!E35="","",'[3]Tasa de Falla'!E35)</f>
        <v>132</v>
      </c>
      <c r="F36" s="757">
        <f>IF('[3]Tasa de Falla'!F35="","",'[3]Tasa de Falla'!F35)</f>
        <v>82.5</v>
      </c>
      <c r="G36" s="758" t="str">
        <f>IF('[3]Tasa de Falla'!HI35="","",'[3]Tasa de Falla'!HI35)</f>
        <v>XXXX</v>
      </c>
      <c r="H36" s="758" t="str">
        <f>IF('[3]Tasa de Falla'!HJ35="","",'[3]Tasa de Falla'!HJ35)</f>
        <v>XXXX</v>
      </c>
      <c r="I36" s="758" t="str">
        <f>IF('[3]Tasa de Falla'!HK35="","",'[3]Tasa de Falla'!HK35)</f>
        <v>XXXX</v>
      </c>
      <c r="J36" s="758" t="str">
        <f>IF('[3]Tasa de Falla'!HL35="","",'[3]Tasa de Falla'!HL35)</f>
        <v>XXXX</v>
      </c>
      <c r="K36" s="758" t="str">
        <f>IF('[3]Tasa de Falla'!HM35="","",'[3]Tasa de Falla'!HM35)</f>
        <v>XXXX</v>
      </c>
      <c r="L36" s="758" t="str">
        <f>IF('[3]Tasa de Falla'!HN35="","",'[3]Tasa de Falla'!HN35)</f>
        <v>XXXX</v>
      </c>
      <c r="M36" s="758" t="str">
        <f>IF('[3]Tasa de Falla'!HO35="","",'[3]Tasa de Falla'!HO35)</f>
        <v>XXXX</v>
      </c>
      <c r="N36" s="758" t="str">
        <f>IF('[3]Tasa de Falla'!HP35="","",'[3]Tasa de Falla'!HP35)</f>
        <v>XXXX</v>
      </c>
      <c r="O36" s="758" t="str">
        <f>IF('[3]Tasa de Falla'!HQ35="","",'[3]Tasa de Falla'!HQ35)</f>
        <v>XXXX</v>
      </c>
      <c r="P36" s="758" t="str">
        <f>IF('[3]Tasa de Falla'!HR35="","",'[3]Tasa de Falla'!HR35)</f>
        <v>XXXX</v>
      </c>
      <c r="Q36" s="758" t="str">
        <f>IF('[3]Tasa de Falla'!HS35="","",'[3]Tasa de Falla'!HS35)</f>
        <v>XXXX</v>
      </c>
      <c r="R36" s="758" t="str">
        <f>IF('[3]Tasa de Falla'!HT35="","",'[3]Tasa de Falla'!HT35)</f>
        <v>XXXX</v>
      </c>
      <c r="S36" s="756"/>
      <c r="T36" s="3"/>
    </row>
    <row r="37" spans="2:20" ht="15" customHeight="1">
      <c r="B37" s="2"/>
      <c r="C37" s="759">
        <f>IF('[3]Tasa de Falla'!C36="","",'[3]Tasa de Falla'!C36)</f>
        <v>20</v>
      </c>
      <c r="D37" s="759" t="str">
        <f>IF('[3]Tasa de Falla'!D36="","",'[3]Tasa de Falla'!D36)</f>
        <v>LAS HERAS - LOS PERALES</v>
      </c>
      <c r="E37" s="759">
        <f>IF('[3]Tasa de Falla'!E36="","",'[3]Tasa de Falla'!E36)</f>
        <v>132</v>
      </c>
      <c r="F37" s="759">
        <f>IF('[3]Tasa de Falla'!F36="","",'[3]Tasa de Falla'!F36)</f>
        <v>47</v>
      </c>
      <c r="G37" s="760">
        <f>IF('[3]Tasa de Falla'!HI36="","",'[3]Tasa de Falla'!HI36)</f>
      </c>
      <c r="H37" s="760">
        <f>IF('[3]Tasa de Falla'!HJ36="","",'[3]Tasa de Falla'!HJ36)</f>
      </c>
      <c r="I37" s="760">
        <f>IF('[3]Tasa de Falla'!HK36="","",'[3]Tasa de Falla'!HK36)</f>
      </c>
      <c r="J37" s="760">
        <f>IF('[3]Tasa de Falla'!HL36="","",'[3]Tasa de Falla'!HL36)</f>
      </c>
      <c r="K37" s="760">
        <f>IF('[3]Tasa de Falla'!HM36="","",'[3]Tasa de Falla'!HM36)</f>
      </c>
      <c r="L37" s="760">
        <f>IF('[3]Tasa de Falla'!HN36="","",'[3]Tasa de Falla'!HN36)</f>
      </c>
      <c r="M37" s="760">
        <f>IF('[3]Tasa de Falla'!HO36="","",'[3]Tasa de Falla'!HO36)</f>
      </c>
      <c r="N37" s="760">
        <f>IF('[3]Tasa de Falla'!HP36="","",'[3]Tasa de Falla'!HP36)</f>
      </c>
      <c r="O37" s="760">
        <f>IF('[3]Tasa de Falla'!HQ36="","",'[3]Tasa de Falla'!HQ36)</f>
      </c>
      <c r="P37" s="760">
        <f>IF('[3]Tasa de Falla'!HR36="","",'[3]Tasa de Falla'!HR36)</f>
      </c>
      <c r="Q37" s="760">
        <f>IF('[3]Tasa de Falla'!HS36="","",'[3]Tasa de Falla'!HS36)</f>
      </c>
      <c r="R37" s="760">
        <f>IF('[3]Tasa de Falla'!HT36="","",'[3]Tasa de Falla'!HT36)</f>
      </c>
      <c r="S37" s="756"/>
      <c r="T37" s="3"/>
    </row>
    <row r="38" spans="2:20" ht="18" customHeight="1">
      <c r="B38" s="2"/>
      <c r="C38" s="757">
        <f>IF('[3]Tasa de Falla'!C37="","",'[3]Tasa de Falla'!C37)</f>
        <v>21</v>
      </c>
      <c r="D38" s="757" t="str">
        <f>IF('[3]Tasa de Falla'!D37="","",'[3]Tasa de Falla'!D37)</f>
        <v>N. P. MADRYN - P. MADRYN 330 kV</v>
      </c>
      <c r="E38" s="757">
        <f>IF('[3]Tasa de Falla'!E37="","",'[3]Tasa de Falla'!E37)</f>
        <v>330</v>
      </c>
      <c r="F38" s="757">
        <f>IF('[3]Tasa de Falla'!F37="","",'[3]Tasa de Falla'!F37)</f>
        <v>0.47</v>
      </c>
      <c r="G38" s="758">
        <f>IF('[3]Tasa de Falla'!HI37="","",'[3]Tasa de Falla'!HI37)</f>
      </c>
      <c r="H38" s="758">
        <f>IF('[3]Tasa de Falla'!HJ37="","",'[3]Tasa de Falla'!HJ37)</f>
      </c>
      <c r="I38" s="758">
        <f>IF('[3]Tasa de Falla'!HK37="","",'[3]Tasa de Falla'!HK37)</f>
      </c>
      <c r="J38" s="758">
        <f>IF('[3]Tasa de Falla'!HL37="","",'[3]Tasa de Falla'!HL37)</f>
      </c>
      <c r="K38" s="758">
        <f>IF('[3]Tasa de Falla'!HM37="","",'[3]Tasa de Falla'!HM37)</f>
      </c>
      <c r="L38" s="758">
        <f>IF('[3]Tasa de Falla'!HN37="","",'[3]Tasa de Falla'!HN37)</f>
      </c>
      <c r="M38" s="758">
        <f>IF('[3]Tasa de Falla'!HO37="","",'[3]Tasa de Falla'!HO37)</f>
      </c>
      <c r="N38" s="758">
        <f>IF('[3]Tasa de Falla'!HP37="","",'[3]Tasa de Falla'!HP37)</f>
      </c>
      <c r="O38" s="758">
        <f>IF('[3]Tasa de Falla'!HQ37="","",'[3]Tasa de Falla'!HQ37)</f>
      </c>
      <c r="P38" s="758">
        <f>IF('[3]Tasa de Falla'!HR37="","",'[3]Tasa de Falla'!HR37)</f>
      </c>
      <c r="Q38" s="758">
        <f>IF('[3]Tasa de Falla'!HS37="","",'[3]Tasa de Falla'!HS37)</f>
      </c>
      <c r="R38" s="758">
        <f>IF('[3]Tasa de Falla'!HT37="","",'[3]Tasa de Falla'!HT37)</f>
      </c>
      <c r="S38" s="756"/>
      <c r="T38" s="3"/>
    </row>
    <row r="39" spans="2:20" ht="15" customHeight="1">
      <c r="B39" s="2"/>
      <c r="C39" s="759">
        <f>IF('[3]Tasa de Falla'!C38="","",'[3]Tasa de Falla'!C38)</f>
        <v>31</v>
      </c>
      <c r="D39" s="759" t="str">
        <f>IF('[3]Tasa de Falla'!D38="","",'[3]Tasa de Falla'!D38)</f>
        <v>LAS HERAS - MINA SAN JOSE</v>
      </c>
      <c r="E39" s="759">
        <f>IF('[3]Tasa de Falla'!E38="","",'[3]Tasa de Falla'!E38)</f>
        <v>132</v>
      </c>
      <c r="F39" s="759">
        <f>IF('[3]Tasa de Falla'!F38="","",'[3]Tasa de Falla'!F38)</f>
        <v>128</v>
      </c>
      <c r="G39" s="760">
        <f>IF('[3]Tasa de Falla'!HI38="","",'[3]Tasa de Falla'!HI38)</f>
      </c>
      <c r="H39" s="760">
        <f>IF('[3]Tasa de Falla'!HJ38="","",'[3]Tasa de Falla'!HJ38)</f>
      </c>
      <c r="I39" s="760">
        <f>IF('[3]Tasa de Falla'!HK38="","",'[3]Tasa de Falla'!HK38)</f>
      </c>
      <c r="J39" s="760">
        <f>IF('[3]Tasa de Falla'!HL38="","",'[3]Tasa de Falla'!HL38)</f>
      </c>
      <c r="K39" s="760">
        <f>IF('[3]Tasa de Falla'!HM38="","",'[3]Tasa de Falla'!HM38)</f>
      </c>
      <c r="L39" s="760">
        <f>IF('[3]Tasa de Falla'!HN38="","",'[3]Tasa de Falla'!HN38)</f>
      </c>
      <c r="M39" s="760">
        <f>IF('[3]Tasa de Falla'!HO38="","",'[3]Tasa de Falla'!HO38)</f>
      </c>
      <c r="N39" s="760">
        <f>IF('[3]Tasa de Falla'!HP38="","",'[3]Tasa de Falla'!HP38)</f>
      </c>
      <c r="O39" s="760">
        <f>IF('[3]Tasa de Falla'!HQ38="","",'[3]Tasa de Falla'!HQ38)</f>
      </c>
      <c r="P39" s="760">
        <f>IF('[3]Tasa de Falla'!HR38="","",'[3]Tasa de Falla'!HR38)</f>
      </c>
      <c r="Q39" s="760">
        <f>IF('[3]Tasa de Falla'!HS38="","",'[3]Tasa de Falla'!HS38)</f>
      </c>
      <c r="R39" s="760">
        <f>IF('[3]Tasa de Falla'!HT38="","",'[3]Tasa de Falla'!HT38)</f>
      </c>
      <c r="S39" s="756"/>
      <c r="T39" s="3"/>
    </row>
    <row r="40" spans="2:20" ht="18" customHeight="1">
      <c r="B40" s="2"/>
      <c r="C40" s="757">
        <f>IF('[3]Tasa de Falla'!C39="","",'[3]Tasa de Falla'!C39)</f>
        <v>27</v>
      </c>
      <c r="D40" s="757" t="str">
        <f>IF('[3]Tasa de Falla'!D39="","",'[3]Tasa de Falla'!D39)</f>
        <v>PAMPA DEL CASTILLO - EL TORDILLO</v>
      </c>
      <c r="E40" s="757">
        <f>IF('[3]Tasa de Falla'!E39="","",'[3]Tasa de Falla'!E39)</f>
        <v>132</v>
      </c>
      <c r="F40" s="757">
        <f>IF('[3]Tasa de Falla'!F39="","",'[3]Tasa de Falla'!F39)</f>
        <v>8.9</v>
      </c>
      <c r="G40" s="758">
        <f>IF('[3]Tasa de Falla'!HI39="","",'[3]Tasa de Falla'!HI39)</f>
      </c>
      <c r="H40" s="758">
        <f>IF('[3]Tasa de Falla'!HJ39="","",'[3]Tasa de Falla'!HJ39)</f>
      </c>
      <c r="I40" s="758">
        <f>IF('[3]Tasa de Falla'!HK39="","",'[3]Tasa de Falla'!HK39)</f>
      </c>
      <c r="J40" s="758">
        <f>IF('[3]Tasa de Falla'!HL39="","",'[3]Tasa de Falla'!HL39)</f>
      </c>
      <c r="K40" s="758">
        <f>IF('[3]Tasa de Falla'!HM39="","",'[3]Tasa de Falla'!HM39)</f>
      </c>
      <c r="L40" s="758">
        <f>IF('[3]Tasa de Falla'!HN39="","",'[3]Tasa de Falla'!HN39)</f>
      </c>
      <c r="M40" s="758">
        <f>IF('[3]Tasa de Falla'!HO39="","",'[3]Tasa de Falla'!HO39)</f>
      </c>
      <c r="N40" s="758">
        <f>IF('[3]Tasa de Falla'!HP39="","",'[3]Tasa de Falla'!HP39)</f>
      </c>
      <c r="O40" s="758">
        <f>IF('[3]Tasa de Falla'!HQ39="","",'[3]Tasa de Falla'!HQ39)</f>
      </c>
      <c r="P40" s="758">
        <f>IF('[3]Tasa de Falla'!HR39="","",'[3]Tasa de Falla'!HR39)</f>
      </c>
      <c r="Q40" s="758">
        <f>IF('[3]Tasa de Falla'!HS39="","",'[3]Tasa de Falla'!HS39)</f>
      </c>
      <c r="R40" s="758">
        <f>IF('[3]Tasa de Falla'!HT39="","",'[3]Tasa de Falla'!HT39)</f>
      </c>
      <c r="S40" s="756"/>
      <c r="T40" s="3"/>
    </row>
    <row r="41" spans="2:20" ht="15" customHeight="1">
      <c r="B41" s="2"/>
      <c r="C41" s="759">
        <f>IF('[3]Tasa de Falla'!C40="","",'[3]Tasa de Falla'!C40)</f>
        <v>28</v>
      </c>
      <c r="D41" s="759" t="str">
        <f>IF('[3]Tasa de Falla'!D40="","",'[3]Tasa de Falla'!D40)</f>
        <v>PLANTA ALUMINIO APPA - PUERTO MADRYN 3</v>
      </c>
      <c r="E41" s="759">
        <f>IF('[3]Tasa de Falla'!E40="","",'[3]Tasa de Falla'!E40)</f>
        <v>330</v>
      </c>
      <c r="F41" s="759">
        <f>IF('[3]Tasa de Falla'!F40="","",'[3]Tasa de Falla'!F40)</f>
        <v>4.9</v>
      </c>
      <c r="G41" s="760">
        <f>IF('[3]Tasa de Falla'!HI40="","",'[3]Tasa de Falla'!HI40)</f>
      </c>
      <c r="H41" s="760">
        <f>IF('[3]Tasa de Falla'!HJ40="","",'[3]Tasa de Falla'!HJ40)</f>
      </c>
      <c r="I41" s="760">
        <f>IF('[3]Tasa de Falla'!HK40="","",'[3]Tasa de Falla'!HK40)</f>
      </c>
      <c r="J41" s="760">
        <f>IF('[3]Tasa de Falla'!HL40="","",'[3]Tasa de Falla'!HL40)</f>
      </c>
      <c r="K41" s="760">
        <f>IF('[3]Tasa de Falla'!HM40="","",'[3]Tasa de Falla'!HM40)</f>
      </c>
      <c r="L41" s="760">
        <f>IF('[3]Tasa de Falla'!HN40="","",'[3]Tasa de Falla'!HN40)</f>
      </c>
      <c r="M41" s="760">
        <f>IF('[3]Tasa de Falla'!HO40="","",'[3]Tasa de Falla'!HO40)</f>
      </c>
      <c r="N41" s="760">
        <f>IF('[3]Tasa de Falla'!HP40="","",'[3]Tasa de Falla'!HP40)</f>
      </c>
      <c r="O41" s="760">
        <f>IF('[3]Tasa de Falla'!HQ40="","",'[3]Tasa de Falla'!HQ40)</f>
      </c>
      <c r="P41" s="760">
        <f>IF('[3]Tasa de Falla'!HR40="","",'[3]Tasa de Falla'!HR40)</f>
      </c>
      <c r="Q41" s="760">
        <f>IF('[3]Tasa de Falla'!HS40="","",'[3]Tasa de Falla'!HS40)</f>
      </c>
      <c r="R41" s="760">
        <f>IF('[3]Tasa de Falla'!HT40="","",'[3]Tasa de Falla'!HT40)</f>
      </c>
      <c r="S41" s="756"/>
      <c r="T41" s="3"/>
    </row>
    <row r="42" spans="2:20" ht="18" customHeight="1">
      <c r="B42" s="2"/>
      <c r="C42" s="757">
        <f>IF('[3]Tasa de Falla'!C41="","",'[3]Tasa de Falla'!C41)</f>
        <v>30</v>
      </c>
      <c r="D42" s="757" t="str">
        <f>IF('[3]Tasa de Falla'!D41="","",'[3]Tasa de Falla'!D41)</f>
        <v>TRELEW - RAWSON</v>
      </c>
      <c r="E42" s="757">
        <f>IF('[3]Tasa de Falla'!E41="","",'[3]Tasa de Falla'!E41)</f>
        <v>132</v>
      </c>
      <c r="F42" s="757">
        <f>IF('[3]Tasa de Falla'!F41="","",'[3]Tasa de Falla'!F41)</f>
        <v>21.8</v>
      </c>
      <c r="G42" s="758">
        <f>IF('[3]Tasa de Falla'!HI41="","",'[3]Tasa de Falla'!HI41)</f>
      </c>
      <c r="H42" s="758">
        <f>IF('[3]Tasa de Falla'!HJ41="","",'[3]Tasa de Falla'!HJ41)</f>
      </c>
      <c r="I42" s="758">
        <f>IF('[3]Tasa de Falla'!HK41="","",'[3]Tasa de Falla'!HK41)</f>
      </c>
      <c r="J42" s="758">
        <f>IF('[3]Tasa de Falla'!HL41="","",'[3]Tasa de Falla'!HL41)</f>
      </c>
      <c r="K42" s="758">
        <f>IF('[3]Tasa de Falla'!HM41="","",'[3]Tasa de Falla'!HM41)</f>
      </c>
      <c r="L42" s="758">
        <f>IF('[3]Tasa de Falla'!HN41="","",'[3]Tasa de Falla'!HN41)</f>
      </c>
      <c r="M42" s="758">
        <f>IF('[3]Tasa de Falla'!HO41="","",'[3]Tasa de Falla'!HO41)</f>
      </c>
      <c r="N42" s="758">
        <f>IF('[3]Tasa de Falla'!HP41="","",'[3]Tasa de Falla'!HP41)</f>
      </c>
      <c r="O42" s="758">
        <f>IF('[3]Tasa de Falla'!HQ41="","",'[3]Tasa de Falla'!HQ41)</f>
      </c>
      <c r="P42" s="758">
        <f>IF('[3]Tasa de Falla'!HR41="","",'[3]Tasa de Falla'!HR41)</f>
        <v>1</v>
      </c>
      <c r="Q42" s="758">
        <f>IF('[3]Tasa de Falla'!HS41="","",'[3]Tasa de Falla'!HS41)</f>
      </c>
      <c r="R42" s="758">
        <f>IF('[3]Tasa de Falla'!HT41="","",'[3]Tasa de Falla'!HT41)</f>
      </c>
      <c r="S42" s="756"/>
      <c r="T42" s="3"/>
    </row>
    <row r="43" spans="2:20" ht="15" customHeight="1">
      <c r="B43" s="2"/>
      <c r="C43" s="759">
        <f>IF('[3]Tasa de Falla'!C42="","",'[3]Tasa de Falla'!C42)</f>
        <v>37</v>
      </c>
      <c r="D43" s="759" t="str">
        <f>IF('[3]Tasa de Falla'!D42="","",'[3]Tasa de Falla'!D42)</f>
        <v>PICO TRUNCADO 1 - SANTA CRUZ NORTE     1</v>
      </c>
      <c r="E43" s="759">
        <f>IF('[3]Tasa de Falla'!E42="","",'[3]Tasa de Falla'!E42)</f>
        <v>132</v>
      </c>
      <c r="F43" s="759">
        <f>IF('[3]Tasa de Falla'!F42="","",'[3]Tasa de Falla'!F42)</f>
        <v>2.5</v>
      </c>
      <c r="G43" s="760">
        <f>IF('[3]Tasa de Falla'!HI42="","",'[3]Tasa de Falla'!HI42)</f>
      </c>
      <c r="H43" s="760">
        <f>IF('[3]Tasa de Falla'!HJ42="","",'[3]Tasa de Falla'!HJ42)</f>
      </c>
      <c r="I43" s="760">
        <f>IF('[3]Tasa de Falla'!HK42="","",'[3]Tasa de Falla'!HK42)</f>
      </c>
      <c r="J43" s="760">
        <f>IF('[3]Tasa de Falla'!HL42="","",'[3]Tasa de Falla'!HL42)</f>
      </c>
      <c r="K43" s="760">
        <f>IF('[3]Tasa de Falla'!HM42="","",'[3]Tasa de Falla'!HM42)</f>
      </c>
      <c r="L43" s="760">
        <f>IF('[3]Tasa de Falla'!HN42="","",'[3]Tasa de Falla'!HN42)</f>
      </c>
      <c r="M43" s="760">
        <f>IF('[3]Tasa de Falla'!HO42="","",'[3]Tasa de Falla'!HO42)</f>
      </c>
      <c r="N43" s="760">
        <f>IF('[3]Tasa de Falla'!HP42="","",'[3]Tasa de Falla'!HP42)</f>
        <v>1</v>
      </c>
      <c r="O43" s="760">
        <f>IF('[3]Tasa de Falla'!HQ42="","",'[3]Tasa de Falla'!HQ42)</f>
      </c>
      <c r="P43" s="760">
        <f>IF('[3]Tasa de Falla'!HR42="","",'[3]Tasa de Falla'!HR42)</f>
      </c>
      <c r="Q43" s="760">
        <f>IF('[3]Tasa de Falla'!HS42="","",'[3]Tasa de Falla'!HS42)</f>
      </c>
      <c r="R43" s="760">
        <f>IF('[3]Tasa de Falla'!HT42="","",'[3]Tasa de Falla'!HT42)</f>
      </c>
      <c r="S43" s="756"/>
      <c r="T43" s="3"/>
    </row>
    <row r="44" spans="2:20" ht="18" customHeight="1">
      <c r="B44" s="2"/>
      <c r="C44" s="757">
        <f>IF('[3]Tasa de Falla'!C43="","",'[3]Tasa de Falla'!C43)</f>
        <v>38</v>
      </c>
      <c r="D44" s="757" t="str">
        <f>IF('[3]Tasa de Falla'!D43="","",'[3]Tasa de Falla'!D43)</f>
        <v>PICO TRUNCADO 1 - SANTA CRUZ NORTE     2</v>
      </c>
      <c r="E44" s="757">
        <f>IF('[3]Tasa de Falla'!E43="","",'[3]Tasa de Falla'!E43)</f>
        <v>132</v>
      </c>
      <c r="F44" s="757">
        <f>IF('[3]Tasa de Falla'!F43="","",'[3]Tasa de Falla'!F43)</f>
        <v>2.5</v>
      </c>
      <c r="G44" s="758">
        <f>IF('[3]Tasa de Falla'!HI43="","",'[3]Tasa de Falla'!HI43)</f>
      </c>
      <c r="H44" s="758">
        <f>IF('[3]Tasa de Falla'!HJ43="","",'[3]Tasa de Falla'!HJ43)</f>
      </c>
      <c r="I44" s="758">
        <f>IF('[3]Tasa de Falla'!HK43="","",'[3]Tasa de Falla'!HK43)</f>
      </c>
      <c r="J44" s="758">
        <f>IF('[3]Tasa de Falla'!HL43="","",'[3]Tasa de Falla'!HL43)</f>
      </c>
      <c r="K44" s="758">
        <f>IF('[3]Tasa de Falla'!HM43="","",'[3]Tasa de Falla'!HM43)</f>
      </c>
      <c r="L44" s="758">
        <f>IF('[3]Tasa de Falla'!HN43="","",'[3]Tasa de Falla'!HN43)</f>
      </c>
      <c r="M44" s="758">
        <f>IF('[3]Tasa de Falla'!HO43="","",'[3]Tasa de Falla'!HO43)</f>
      </c>
      <c r="N44" s="758">
        <f>IF('[3]Tasa de Falla'!HP43="","",'[3]Tasa de Falla'!HP43)</f>
      </c>
      <c r="O44" s="758">
        <f>IF('[3]Tasa de Falla'!HQ43="","",'[3]Tasa de Falla'!HQ43)</f>
      </c>
      <c r="P44" s="758">
        <f>IF('[3]Tasa de Falla'!HR43="","",'[3]Tasa de Falla'!HR43)</f>
      </c>
      <c r="Q44" s="758">
        <f>IF('[3]Tasa de Falla'!HS43="","",'[3]Tasa de Falla'!HS43)</f>
      </c>
      <c r="R44" s="758">
        <f>IF('[3]Tasa de Falla'!HT43="","",'[3]Tasa de Falla'!HT43)</f>
      </c>
      <c r="S44" s="756"/>
      <c r="T44" s="3"/>
    </row>
    <row r="45" spans="2:20" ht="15" customHeight="1">
      <c r="B45" s="2"/>
      <c r="C45" s="759">
        <f>IF('[3]Tasa de Falla'!C44="","",'[3]Tasa de Falla'!C44)</f>
        <v>39</v>
      </c>
      <c r="D45" s="759" t="str">
        <f>IF('[3]Tasa de Falla'!D44="","",'[3]Tasa de Falla'!D44)</f>
        <v>LAS HERAS - SANTA CRUZ NORTE</v>
      </c>
      <c r="E45" s="759">
        <f>IF('[3]Tasa de Falla'!E44="","",'[3]Tasa de Falla'!E44)</f>
        <v>132</v>
      </c>
      <c r="F45" s="759">
        <f>IF('[3]Tasa de Falla'!F44="","",'[3]Tasa de Falla'!F44)</f>
        <v>80</v>
      </c>
      <c r="G45" s="760">
        <f>IF('[3]Tasa de Falla'!HI44="","",'[3]Tasa de Falla'!HI44)</f>
      </c>
      <c r="H45" s="760">
        <f>IF('[3]Tasa de Falla'!HJ44="","",'[3]Tasa de Falla'!HJ44)</f>
      </c>
      <c r="I45" s="760">
        <f>IF('[3]Tasa de Falla'!HK44="","",'[3]Tasa de Falla'!HK44)</f>
      </c>
      <c r="J45" s="760">
        <f>IF('[3]Tasa de Falla'!HL44="","",'[3]Tasa de Falla'!HL44)</f>
      </c>
      <c r="K45" s="760">
        <f>IF('[3]Tasa de Falla'!HM44="","",'[3]Tasa de Falla'!HM44)</f>
      </c>
      <c r="L45" s="760">
        <f>IF('[3]Tasa de Falla'!HN44="","",'[3]Tasa de Falla'!HN44)</f>
      </c>
      <c r="M45" s="760">
        <f>IF('[3]Tasa de Falla'!HO44="","",'[3]Tasa de Falla'!HO44)</f>
      </c>
      <c r="N45" s="760">
        <f>IF('[3]Tasa de Falla'!HP44="","",'[3]Tasa de Falla'!HP44)</f>
      </c>
      <c r="O45" s="760">
        <f>IF('[3]Tasa de Falla'!HQ44="","",'[3]Tasa de Falla'!HQ44)</f>
      </c>
      <c r="P45" s="760">
        <f>IF('[3]Tasa de Falla'!HR44="","",'[3]Tasa de Falla'!HR44)</f>
      </c>
      <c r="Q45" s="760">
        <f>IF('[3]Tasa de Falla'!HS44="","",'[3]Tasa de Falla'!HS44)</f>
      </c>
      <c r="R45" s="760">
        <f>IF('[3]Tasa de Falla'!HT44="","",'[3]Tasa de Falla'!HT44)</f>
      </c>
      <c r="S45" s="756"/>
      <c r="T45" s="3"/>
    </row>
    <row r="46" spans="2:20" ht="15" customHeight="1">
      <c r="B46" s="2"/>
      <c r="C46" s="757">
        <f>IF('[3]Tasa de Falla'!C45="","",'[3]Tasa de Falla'!C45)</f>
        <v>40</v>
      </c>
      <c r="D46" s="757" t="str">
        <f>IF('[3]Tasa de Falla'!D45="","",'[3]Tasa de Falla'!D45)</f>
        <v>RAWSON-RAWSONG1 </v>
      </c>
      <c r="E46" s="757">
        <f>IF('[3]Tasa de Falla'!E45="","",'[3]Tasa de Falla'!E45)</f>
        <v>132</v>
      </c>
      <c r="F46" s="757">
        <f>IF('[3]Tasa de Falla'!F45="","",'[3]Tasa de Falla'!F45)</f>
        <v>7.2</v>
      </c>
      <c r="G46" s="758">
        <f>IF('[3]Tasa de Falla'!HI45="","",'[3]Tasa de Falla'!HI45)</f>
      </c>
      <c r="H46" s="758">
        <f>IF('[3]Tasa de Falla'!HJ45="","",'[3]Tasa de Falla'!HJ45)</f>
      </c>
      <c r="I46" s="758">
        <f>IF('[3]Tasa de Falla'!HK45="","",'[3]Tasa de Falla'!HK45)</f>
      </c>
      <c r="J46" s="758">
        <f>IF('[3]Tasa de Falla'!HL45="","",'[3]Tasa de Falla'!HL45)</f>
      </c>
      <c r="K46" s="758">
        <f>IF('[3]Tasa de Falla'!HM45="","",'[3]Tasa de Falla'!HM45)</f>
      </c>
      <c r="L46" s="758">
        <f>IF('[3]Tasa de Falla'!HN45="","",'[3]Tasa de Falla'!HN45)</f>
      </c>
      <c r="M46" s="758">
        <f>IF('[3]Tasa de Falla'!HO45="","",'[3]Tasa de Falla'!HO45)</f>
      </c>
      <c r="N46" s="758">
        <f>IF('[3]Tasa de Falla'!HP45="","",'[3]Tasa de Falla'!HP45)</f>
      </c>
      <c r="O46" s="758">
        <f>IF('[3]Tasa de Falla'!HQ45="","",'[3]Tasa de Falla'!HQ45)</f>
      </c>
      <c r="P46" s="758">
        <f>IF('[3]Tasa de Falla'!HR45="","",'[3]Tasa de Falla'!HR45)</f>
      </c>
      <c r="Q46" s="758">
        <f>IF('[3]Tasa de Falla'!HS45="","",'[3]Tasa de Falla'!HS45)</f>
      </c>
      <c r="R46" s="758">
        <f>IF('[3]Tasa de Falla'!HT45="","",'[3]Tasa de Falla'!HT45)</f>
      </c>
      <c r="S46" s="756"/>
      <c r="T46" s="3"/>
    </row>
    <row r="47" spans="2:20" ht="15" customHeight="1">
      <c r="B47" s="2"/>
      <c r="C47" s="757">
        <f>IF('[3]Tasa de Falla'!C46="","",'[3]Tasa de Falla'!C46)</f>
      </c>
      <c r="D47" s="757">
        <f>IF('[3]Tasa de Falla'!D46="","",'[3]Tasa de Falla'!D46)</f>
      </c>
      <c r="E47" s="757">
        <f>IF('[3]Tasa de Falla'!E46="","",'[3]Tasa de Falla'!E46)</f>
      </c>
      <c r="F47" s="757">
        <f>IF('[3]Tasa de Falla'!F46="","",'[3]Tasa de Falla'!F46)</f>
      </c>
      <c r="G47" s="758">
        <f>IF('[3]Tasa de Falla'!HI46="","",'[3]Tasa de Falla'!HI46)</f>
      </c>
      <c r="H47" s="758">
        <f>IF('[3]Tasa de Falla'!HJ46="","",'[3]Tasa de Falla'!HJ46)</f>
      </c>
      <c r="I47" s="758">
        <f>IF('[3]Tasa de Falla'!HK46="","",'[3]Tasa de Falla'!HK46)</f>
      </c>
      <c r="J47" s="758">
        <f>IF('[3]Tasa de Falla'!HL46="","",'[3]Tasa de Falla'!HL46)</f>
      </c>
      <c r="K47" s="758">
        <f>IF('[3]Tasa de Falla'!HM46="","",'[3]Tasa de Falla'!HM46)</f>
      </c>
      <c r="L47" s="758">
        <f>IF('[3]Tasa de Falla'!HN46="","",'[3]Tasa de Falla'!HN46)</f>
      </c>
      <c r="M47" s="758">
        <f>IF('[3]Tasa de Falla'!HO46="","",'[3]Tasa de Falla'!HO46)</f>
      </c>
      <c r="N47" s="758">
        <f>IF('[3]Tasa de Falla'!HP46="","",'[3]Tasa de Falla'!HP46)</f>
      </c>
      <c r="O47" s="758">
        <f>IF('[3]Tasa de Falla'!HQ46="","",'[3]Tasa de Falla'!HQ46)</f>
      </c>
      <c r="P47" s="758">
        <f>IF('[3]Tasa de Falla'!HR46="","",'[3]Tasa de Falla'!HR46)</f>
      </c>
      <c r="Q47" s="758">
        <f>IF('[3]Tasa de Falla'!HS46="","",'[3]Tasa de Falla'!HS46)</f>
      </c>
      <c r="R47" s="758">
        <f>IF('[3]Tasa de Falla'!HT46="","",'[3]Tasa de Falla'!HT46)</f>
      </c>
      <c r="S47" s="756"/>
      <c r="T47" s="3"/>
    </row>
    <row r="48" spans="2:20" ht="15" customHeight="1">
      <c r="B48" s="2"/>
      <c r="C48" s="759">
        <f>IF('[3]Tasa de Falla'!C47="","",'[3]Tasa de Falla'!C47)</f>
        <v>19</v>
      </c>
      <c r="D48" s="759" t="str">
        <f>IF('[3]Tasa de Falla'!D47="","",'[3]Tasa de Falla'!D47)</f>
        <v>PUNTA COLORADA - SIERRA GRANDE</v>
      </c>
      <c r="E48" s="759">
        <f>IF('[3]Tasa de Falla'!E47="","",'[3]Tasa de Falla'!E47)</f>
        <v>132</v>
      </c>
      <c r="F48" s="759">
        <f>IF('[3]Tasa de Falla'!F47="","",'[3]Tasa de Falla'!F47)</f>
        <v>31</v>
      </c>
      <c r="G48" s="760">
        <f>IF('[3]Tasa de Falla'!HI47="","",'[3]Tasa de Falla'!HI47)</f>
      </c>
      <c r="H48" s="760">
        <f>IF('[3]Tasa de Falla'!HJ47="","",'[3]Tasa de Falla'!HJ47)</f>
      </c>
      <c r="I48" s="760">
        <f>IF('[3]Tasa de Falla'!HK47="","",'[3]Tasa de Falla'!HK47)</f>
      </c>
      <c r="J48" s="760">
        <f>IF('[3]Tasa de Falla'!HL47="","",'[3]Tasa de Falla'!HL47)</f>
        <v>1</v>
      </c>
      <c r="K48" s="760">
        <f>IF('[3]Tasa de Falla'!HM47="","",'[3]Tasa de Falla'!HM47)</f>
      </c>
      <c r="L48" s="760">
        <f>IF('[3]Tasa de Falla'!HN47="","",'[3]Tasa de Falla'!HN47)</f>
      </c>
      <c r="M48" s="760">
        <f>IF('[3]Tasa de Falla'!HO47="","",'[3]Tasa de Falla'!HO47)</f>
      </c>
      <c r="N48" s="760">
        <f>IF('[3]Tasa de Falla'!HP47="","",'[3]Tasa de Falla'!HP47)</f>
      </c>
      <c r="O48" s="760">
        <f>IF('[3]Tasa de Falla'!HQ47="","",'[3]Tasa de Falla'!HQ47)</f>
      </c>
      <c r="P48" s="760">
        <f>IF('[3]Tasa de Falla'!HR47="","",'[3]Tasa de Falla'!HR47)</f>
      </c>
      <c r="Q48" s="760">
        <f>IF('[3]Tasa de Falla'!HS47="","",'[3]Tasa de Falla'!HS47)</f>
      </c>
      <c r="R48" s="760">
        <f>IF('[3]Tasa de Falla'!HT47="","",'[3]Tasa de Falla'!HT47)</f>
      </c>
      <c r="S48" s="756"/>
      <c r="T48" s="3"/>
    </row>
    <row r="49" spans="2:20" ht="18" customHeight="1">
      <c r="B49" s="2"/>
      <c r="C49" s="757">
        <f>IF('[3]Tasa de Falla'!C48="","",'[3]Tasa de Falla'!C48)</f>
        <v>20</v>
      </c>
      <c r="D49" s="757" t="str">
        <f>IF('[3]Tasa de Falla'!D48="","",'[3]Tasa de Falla'!D48)</f>
        <v>CARMEN DE PATAGONES - VIEDMA</v>
      </c>
      <c r="E49" s="757">
        <f>IF('[3]Tasa de Falla'!E48="","",'[3]Tasa de Falla'!E48)</f>
        <v>132</v>
      </c>
      <c r="F49" s="757">
        <f>IF('[3]Tasa de Falla'!F48="","",'[3]Tasa de Falla'!F48)</f>
        <v>7</v>
      </c>
      <c r="G49" s="758" t="str">
        <f>IF('[3]Tasa de Falla'!HI48="","",'[3]Tasa de Falla'!HI48)</f>
        <v>XXXX</v>
      </c>
      <c r="H49" s="758" t="str">
        <f>IF('[3]Tasa de Falla'!HJ48="","",'[3]Tasa de Falla'!HJ48)</f>
        <v>XXXX</v>
      </c>
      <c r="I49" s="758" t="str">
        <f>IF('[3]Tasa de Falla'!HK48="","",'[3]Tasa de Falla'!HK48)</f>
        <v>XXXX</v>
      </c>
      <c r="J49" s="758" t="str">
        <f>IF('[3]Tasa de Falla'!HL48="","",'[3]Tasa de Falla'!HL48)</f>
        <v>XXXX</v>
      </c>
      <c r="K49" s="758" t="str">
        <f>IF('[3]Tasa de Falla'!HM48="","",'[3]Tasa de Falla'!HM48)</f>
        <v>XXXX</v>
      </c>
      <c r="L49" s="758" t="str">
        <f>IF('[3]Tasa de Falla'!HN48="","",'[3]Tasa de Falla'!HN48)</f>
        <v>XXXX</v>
      </c>
      <c r="M49" s="758" t="str">
        <f>IF('[3]Tasa de Falla'!HO48="","",'[3]Tasa de Falla'!HO48)</f>
        <v>XXXX</v>
      </c>
      <c r="N49" s="758" t="str">
        <f>IF('[3]Tasa de Falla'!HP48="","",'[3]Tasa de Falla'!HP48)</f>
        <v>XXXX</v>
      </c>
      <c r="O49" s="758" t="str">
        <f>IF('[3]Tasa de Falla'!HQ48="","",'[3]Tasa de Falla'!HQ48)</f>
        <v>XXXX</v>
      </c>
      <c r="P49" s="758" t="str">
        <f>IF('[3]Tasa de Falla'!HR48="","",'[3]Tasa de Falla'!HR48)</f>
        <v>XXXX</v>
      </c>
      <c r="Q49" s="758" t="str">
        <f>IF('[3]Tasa de Falla'!HS48="","",'[3]Tasa de Falla'!HS48)</f>
        <v>XXXX</v>
      </c>
      <c r="R49" s="758" t="str">
        <f>IF('[3]Tasa de Falla'!HT48="","",'[3]Tasa de Falla'!HT48)</f>
        <v>XXXX</v>
      </c>
      <c r="S49" s="756"/>
      <c r="T49" s="3"/>
    </row>
    <row r="50" spans="2:20" ht="15" customHeight="1">
      <c r="B50" s="2"/>
      <c r="C50" s="759">
        <f>IF('[3]Tasa de Falla'!C49="","",'[3]Tasa de Falla'!C49)</f>
      </c>
      <c r="D50" s="759" t="str">
        <f>IF('[3]Tasa de Falla'!D49="","",'[3]Tasa de Falla'!D49)</f>
        <v>CARMEN DE PATAGONES - VIEDMA</v>
      </c>
      <c r="E50" s="759">
        <f>IF('[3]Tasa de Falla'!E49="","",'[3]Tasa de Falla'!E49)</f>
        <v>132</v>
      </c>
      <c r="F50" s="759">
        <f>IF('[3]Tasa de Falla'!F49="","",'[3]Tasa de Falla'!F49)</f>
        <v>4.4</v>
      </c>
      <c r="G50" s="760">
        <f>IF('[3]Tasa de Falla'!HI49="","",'[3]Tasa de Falla'!HI49)</f>
      </c>
      <c r="H50" s="760">
        <f>IF('[3]Tasa de Falla'!HJ49="","",'[3]Tasa de Falla'!HJ49)</f>
      </c>
      <c r="I50" s="760">
        <f>IF('[3]Tasa de Falla'!HK49="","",'[3]Tasa de Falla'!HK49)</f>
      </c>
      <c r="J50" s="760">
        <f>IF('[3]Tasa de Falla'!HL49="","",'[3]Tasa de Falla'!HL49)</f>
      </c>
      <c r="K50" s="760">
        <f>IF('[3]Tasa de Falla'!HM49="","",'[3]Tasa de Falla'!HM49)</f>
      </c>
      <c r="L50" s="760">
        <f>IF('[3]Tasa de Falla'!HN49="","",'[3]Tasa de Falla'!HN49)</f>
      </c>
      <c r="M50" s="760">
        <f>IF('[3]Tasa de Falla'!HO49="","",'[3]Tasa de Falla'!HO49)</f>
      </c>
      <c r="N50" s="760">
        <f>IF('[3]Tasa de Falla'!HP49="","",'[3]Tasa de Falla'!HP49)</f>
      </c>
      <c r="O50" s="760">
        <f>IF('[3]Tasa de Falla'!HQ49="","",'[3]Tasa de Falla'!HQ49)</f>
      </c>
      <c r="P50" s="760">
        <f>IF('[3]Tasa de Falla'!HR49="","",'[3]Tasa de Falla'!HR49)</f>
      </c>
      <c r="Q50" s="760">
        <f>IF('[3]Tasa de Falla'!HS49="","",'[3]Tasa de Falla'!HS49)</f>
      </c>
      <c r="R50" s="760">
        <f>IF('[3]Tasa de Falla'!HT49="","",'[3]Tasa de Falla'!HT49)</f>
      </c>
      <c r="S50" s="756"/>
      <c r="T50" s="3"/>
    </row>
    <row r="51" spans="2:20" ht="18" customHeight="1">
      <c r="B51" s="2"/>
      <c r="C51" s="757">
        <f>IF('[3]Tasa de Falla'!C50="","",'[3]Tasa de Falla'!C50)</f>
        <v>21</v>
      </c>
      <c r="D51" s="757" t="str">
        <f>IF('[3]Tasa de Falla'!D50="","",'[3]Tasa de Falla'!D50)</f>
        <v>SAN ANTONIO OESTE - SIERRA GRANDE</v>
      </c>
      <c r="E51" s="757">
        <f>IF('[3]Tasa de Falla'!E50="","",'[3]Tasa de Falla'!E50)</f>
        <v>132</v>
      </c>
      <c r="F51" s="757">
        <f>IF('[3]Tasa de Falla'!F50="","",'[3]Tasa de Falla'!F50)</f>
        <v>110.3</v>
      </c>
      <c r="G51" s="758">
        <f>IF('[3]Tasa de Falla'!HI50="","",'[3]Tasa de Falla'!HI50)</f>
      </c>
      <c r="H51" s="758">
        <f>IF('[3]Tasa de Falla'!HJ50="","",'[3]Tasa de Falla'!HJ50)</f>
      </c>
      <c r="I51" s="758">
        <f>IF('[3]Tasa de Falla'!HK50="","",'[3]Tasa de Falla'!HK50)</f>
      </c>
      <c r="J51" s="758">
        <f>IF('[3]Tasa de Falla'!HL50="","",'[3]Tasa de Falla'!HL50)</f>
      </c>
      <c r="K51" s="758">
        <f>IF('[3]Tasa de Falla'!HM50="","",'[3]Tasa de Falla'!HM50)</f>
      </c>
      <c r="L51" s="758">
        <f>IF('[3]Tasa de Falla'!HN50="","",'[3]Tasa de Falla'!HN50)</f>
      </c>
      <c r="M51" s="758">
        <f>IF('[3]Tasa de Falla'!HO50="","",'[3]Tasa de Falla'!HO50)</f>
      </c>
      <c r="N51" s="758">
        <f>IF('[3]Tasa de Falla'!HP50="","",'[3]Tasa de Falla'!HP50)</f>
      </c>
      <c r="O51" s="758">
        <f>IF('[3]Tasa de Falla'!HQ50="","",'[3]Tasa de Falla'!HQ50)</f>
      </c>
      <c r="P51" s="758">
        <f>IF('[3]Tasa de Falla'!HR50="","",'[3]Tasa de Falla'!HR50)</f>
      </c>
      <c r="Q51" s="758">
        <f>IF('[3]Tasa de Falla'!HS50="","",'[3]Tasa de Falla'!HS50)</f>
      </c>
      <c r="R51" s="758">
        <f>IF('[3]Tasa de Falla'!HT50="","",'[3]Tasa de Falla'!HT50)</f>
      </c>
      <c r="S51" s="756"/>
      <c r="T51" s="3"/>
    </row>
    <row r="52" spans="2:20" ht="15" customHeight="1">
      <c r="B52" s="2"/>
      <c r="C52" s="759">
        <f>IF('[3]Tasa de Falla'!C51="","",'[3]Tasa de Falla'!C51)</f>
        <v>22</v>
      </c>
      <c r="D52" s="759" t="str">
        <f>IF('[3]Tasa de Falla'!D51="","",'[3]Tasa de Falla'!D51)</f>
        <v>SAN ANTONIO OESTE -VIEDMA-SAN ANTONIO ESTE</v>
      </c>
      <c r="E52" s="759">
        <f>IF('[3]Tasa de Falla'!E51="","",'[3]Tasa de Falla'!E51)</f>
        <v>132</v>
      </c>
      <c r="F52" s="759">
        <f>IF('[3]Tasa de Falla'!F51="","",'[3]Tasa de Falla'!F51)</f>
        <v>185.6</v>
      </c>
      <c r="G52" s="760">
        <f>IF('[3]Tasa de Falla'!HI51="","",'[3]Tasa de Falla'!HI51)</f>
      </c>
      <c r="H52" s="760">
        <f>IF('[3]Tasa de Falla'!HJ51="","",'[3]Tasa de Falla'!HJ51)</f>
      </c>
      <c r="I52" s="760">
        <f>IF('[3]Tasa de Falla'!HK51="","",'[3]Tasa de Falla'!HK51)</f>
      </c>
      <c r="J52" s="760">
        <f>IF('[3]Tasa de Falla'!HL51="","",'[3]Tasa de Falla'!HL51)</f>
        <v>2</v>
      </c>
      <c r="K52" s="760">
        <f>IF('[3]Tasa de Falla'!HM51="","",'[3]Tasa de Falla'!HM51)</f>
      </c>
      <c r="L52" s="760">
        <f>IF('[3]Tasa de Falla'!HN51="","",'[3]Tasa de Falla'!HN51)</f>
        <v>2</v>
      </c>
      <c r="M52" s="760">
        <f>IF('[3]Tasa de Falla'!HO51="","",'[3]Tasa de Falla'!HO51)</f>
      </c>
      <c r="N52" s="760">
        <f>IF('[3]Tasa de Falla'!HP51="","",'[3]Tasa de Falla'!HP51)</f>
      </c>
      <c r="O52" s="760">
        <f>IF('[3]Tasa de Falla'!HQ51="","",'[3]Tasa de Falla'!HQ51)</f>
        <v>2</v>
      </c>
      <c r="P52" s="760">
        <f>IF('[3]Tasa de Falla'!HR51="","",'[3]Tasa de Falla'!HR51)</f>
      </c>
      <c r="Q52" s="760">
        <f>IF('[3]Tasa de Falla'!HS51="","",'[3]Tasa de Falla'!HS51)</f>
        <v>1</v>
      </c>
      <c r="R52" s="760">
        <f>IF('[3]Tasa de Falla'!HT51="","",'[3]Tasa de Falla'!HT51)</f>
      </c>
      <c r="S52" s="756"/>
      <c r="T52" s="3"/>
    </row>
    <row r="53" spans="2:20" ht="18" customHeight="1">
      <c r="B53" s="2"/>
      <c r="C53" s="757">
        <f>IF('[3]Tasa de Falla'!C52="","",'[3]Tasa de Falla'!C52)</f>
        <v>32</v>
      </c>
      <c r="D53" s="757" t="str">
        <f>IF('[3]Tasa de Falla'!D52="","",'[3]Tasa de Falla'!D52)</f>
        <v>SAN ANTONIO ESTE - VIEDMA</v>
      </c>
      <c r="E53" s="757">
        <f>IF('[3]Tasa de Falla'!E52="","",'[3]Tasa de Falla'!E52)</f>
        <v>132</v>
      </c>
      <c r="F53" s="757">
        <f>IF('[3]Tasa de Falla'!F52="","",'[3]Tasa de Falla'!F52)</f>
        <v>162.6</v>
      </c>
      <c r="G53" s="758" t="str">
        <f>IF('[3]Tasa de Falla'!HI52="","",'[3]Tasa de Falla'!HI52)</f>
        <v>XXXX</v>
      </c>
      <c r="H53" s="758" t="str">
        <f>IF('[3]Tasa de Falla'!HJ52="","",'[3]Tasa de Falla'!HJ52)</f>
        <v>XXXX</v>
      </c>
      <c r="I53" s="758" t="str">
        <f>IF('[3]Tasa de Falla'!HK52="","",'[3]Tasa de Falla'!HK52)</f>
        <v>XXXX</v>
      </c>
      <c r="J53" s="758" t="str">
        <f>IF('[3]Tasa de Falla'!HL52="","",'[3]Tasa de Falla'!HL52)</f>
        <v>XXXX</v>
      </c>
      <c r="K53" s="758" t="str">
        <f>IF('[3]Tasa de Falla'!HM52="","",'[3]Tasa de Falla'!HM52)</f>
        <v>XXXX</v>
      </c>
      <c r="L53" s="758" t="str">
        <f>IF('[3]Tasa de Falla'!HN52="","",'[3]Tasa de Falla'!HN52)</f>
        <v>XXXX</v>
      </c>
      <c r="M53" s="758" t="str">
        <f>IF('[3]Tasa de Falla'!HO52="","",'[3]Tasa de Falla'!HO52)</f>
        <v>XXXX</v>
      </c>
      <c r="N53" s="758" t="str">
        <f>IF('[3]Tasa de Falla'!HP52="","",'[3]Tasa de Falla'!HP52)</f>
        <v>XXXX</v>
      </c>
      <c r="O53" s="758" t="str">
        <f>IF('[3]Tasa de Falla'!HQ52="","",'[3]Tasa de Falla'!HQ52)</f>
        <v>XXXX</v>
      </c>
      <c r="P53" s="758" t="str">
        <f>IF('[3]Tasa de Falla'!HR52="","",'[3]Tasa de Falla'!HR52)</f>
        <v>XXXX</v>
      </c>
      <c r="Q53" s="758" t="str">
        <f>IF('[3]Tasa de Falla'!HS52="","",'[3]Tasa de Falla'!HS52)</f>
        <v>XXXX</v>
      </c>
      <c r="R53" s="758" t="str">
        <f>IF('[3]Tasa de Falla'!HT52="","",'[3]Tasa de Falla'!HT52)</f>
        <v>XXXX</v>
      </c>
      <c r="S53" s="756"/>
      <c r="T53" s="3"/>
    </row>
    <row r="54" spans="2:20" ht="15" customHeight="1">
      <c r="B54" s="2"/>
      <c r="C54" s="759">
        <f>IF('[3]Tasa de Falla'!C53="","",'[3]Tasa de Falla'!C53)</f>
      </c>
      <c r="D54" s="759">
        <f>IF('[3]Tasa de Falla'!D53="","",'[3]Tasa de Falla'!D53)</f>
      </c>
      <c r="E54" s="759">
        <f>IF('[3]Tasa de Falla'!E53="","",'[3]Tasa de Falla'!E53)</f>
      </c>
      <c r="F54" s="759">
        <f>IF('[3]Tasa de Falla'!F53="","",'[3]Tasa de Falla'!F53)</f>
      </c>
      <c r="G54" s="760">
        <f>IF('[3]Tasa de Falla'!HI53="","",'[3]Tasa de Falla'!HI53)</f>
      </c>
      <c r="H54" s="760">
        <f>IF('[3]Tasa de Falla'!HJ53="","",'[3]Tasa de Falla'!HJ53)</f>
      </c>
      <c r="I54" s="760">
        <f>IF('[3]Tasa de Falla'!HK53="","",'[3]Tasa de Falla'!HK53)</f>
      </c>
      <c r="J54" s="760">
        <f>IF('[3]Tasa de Falla'!HL53="","",'[3]Tasa de Falla'!HL53)</f>
      </c>
      <c r="K54" s="760">
        <f>IF('[3]Tasa de Falla'!HM53="","",'[3]Tasa de Falla'!HM53)</f>
      </c>
      <c r="L54" s="760">
        <f>IF('[3]Tasa de Falla'!HN53="","",'[3]Tasa de Falla'!HN53)</f>
      </c>
      <c r="M54" s="760">
        <f>IF('[3]Tasa de Falla'!HO53="","",'[3]Tasa de Falla'!HO53)</f>
      </c>
      <c r="N54" s="760">
        <f>IF('[3]Tasa de Falla'!HP53="","",'[3]Tasa de Falla'!HP53)</f>
      </c>
      <c r="O54" s="760">
        <f>IF('[3]Tasa de Falla'!HQ53="","",'[3]Tasa de Falla'!HQ53)</f>
      </c>
      <c r="P54" s="760">
        <f>IF('[3]Tasa de Falla'!HR53="","",'[3]Tasa de Falla'!HR53)</f>
      </c>
      <c r="Q54" s="760">
        <f>IF('[3]Tasa de Falla'!HS53="","",'[3]Tasa de Falla'!HS53)</f>
      </c>
      <c r="R54" s="760">
        <f>IF('[3]Tasa de Falla'!HT53="","",'[3]Tasa de Falla'!HT53)</f>
      </c>
      <c r="S54" s="756"/>
      <c r="T54" s="3"/>
    </row>
    <row r="55" spans="2:20" ht="18" customHeight="1">
      <c r="B55" s="2"/>
      <c r="C55" s="757">
        <f>IF('[3]Tasa de Falla'!C54="","",'[3]Tasa de Falla'!C54)</f>
        <v>23</v>
      </c>
      <c r="D55" s="757" t="str">
        <f>IF('[3]Tasa de Falla'!D54="","",'[3]Tasa de Falla'!D54)</f>
        <v>PICO TRUNCADO I - PUERTO DESEADO</v>
      </c>
      <c r="E55" s="757">
        <f>IF('[3]Tasa de Falla'!E54="","",'[3]Tasa de Falla'!E54)</f>
        <v>132</v>
      </c>
      <c r="F55" s="757">
        <f>IF('[3]Tasa de Falla'!F54="","",'[3]Tasa de Falla'!F54)</f>
        <v>209</v>
      </c>
      <c r="G55" s="758" t="str">
        <f>IF('[3]Tasa de Falla'!HI54="","",'[3]Tasa de Falla'!HI54)</f>
        <v>XXXX</v>
      </c>
      <c r="H55" s="758" t="str">
        <f>IF('[3]Tasa de Falla'!HJ54="","",'[3]Tasa de Falla'!HJ54)</f>
        <v>XXXX</v>
      </c>
      <c r="I55" s="758" t="str">
        <f>IF('[3]Tasa de Falla'!HK54="","",'[3]Tasa de Falla'!HK54)</f>
        <v>XXXX</v>
      </c>
      <c r="J55" s="758" t="str">
        <f>IF('[3]Tasa de Falla'!HL54="","",'[3]Tasa de Falla'!HL54)</f>
        <v>XXXX</v>
      </c>
      <c r="K55" s="758" t="str">
        <f>IF('[3]Tasa de Falla'!HM54="","",'[3]Tasa de Falla'!HM54)</f>
        <v>XXXX</v>
      </c>
      <c r="L55" s="758" t="str">
        <f>IF('[3]Tasa de Falla'!HN54="","",'[3]Tasa de Falla'!HN54)</f>
        <v>XXXX</v>
      </c>
      <c r="M55" s="758" t="str">
        <f>IF('[3]Tasa de Falla'!HO54="","",'[3]Tasa de Falla'!HO54)</f>
        <v>XXXX</v>
      </c>
      <c r="N55" s="758" t="str">
        <f>IF('[3]Tasa de Falla'!HP54="","",'[3]Tasa de Falla'!HP54)</f>
        <v>XXXX</v>
      </c>
      <c r="O55" s="758" t="str">
        <f>IF('[3]Tasa de Falla'!HQ54="","",'[3]Tasa de Falla'!HQ54)</f>
        <v>XXXX</v>
      </c>
      <c r="P55" s="758" t="str">
        <f>IF('[3]Tasa de Falla'!HR54="","",'[3]Tasa de Falla'!HR54)</f>
        <v>XXXX</v>
      </c>
      <c r="Q55" s="758" t="str">
        <f>IF('[3]Tasa de Falla'!HS54="","",'[3]Tasa de Falla'!HS54)</f>
        <v>XXXX</v>
      </c>
      <c r="R55" s="758" t="str">
        <f>IF('[3]Tasa de Falla'!HT54="","",'[3]Tasa de Falla'!HT54)</f>
        <v>XXXX</v>
      </c>
      <c r="S55" s="756"/>
      <c r="T55" s="3"/>
    </row>
    <row r="56" spans="2:20" ht="15" customHeight="1">
      <c r="B56" s="2"/>
      <c r="C56" s="759">
        <f>IF('[3]Tasa de Falla'!C55="","",'[3]Tasa de Falla'!C55)</f>
        <v>35</v>
      </c>
      <c r="D56" s="759" t="str">
        <f>IF('[3]Tasa de Falla'!D55="","",'[3]Tasa de Falla'!D55)</f>
        <v>PICO TRUNCADO I - PTQ C.RIVADAVIA</v>
      </c>
      <c r="E56" s="759">
        <f>IF('[3]Tasa de Falla'!E55="","",'[3]Tasa de Falla'!E55)</f>
        <v>132</v>
      </c>
      <c r="F56" s="759">
        <f>IF('[3]Tasa de Falla'!F55="","",'[3]Tasa de Falla'!F55)</f>
        <v>1.5</v>
      </c>
      <c r="G56" s="760">
        <f>IF('[3]Tasa de Falla'!HI55="","",'[3]Tasa de Falla'!HI55)</f>
      </c>
      <c r="H56" s="760">
        <f>IF('[3]Tasa de Falla'!HJ55="","",'[3]Tasa de Falla'!HJ55)</f>
      </c>
      <c r="I56" s="760">
        <f>IF('[3]Tasa de Falla'!HK55="","",'[3]Tasa de Falla'!HK55)</f>
      </c>
      <c r="J56" s="760">
        <f>IF('[3]Tasa de Falla'!HL55="","",'[3]Tasa de Falla'!HL55)</f>
      </c>
      <c r="K56" s="760">
        <f>IF('[3]Tasa de Falla'!HM55="","",'[3]Tasa de Falla'!HM55)</f>
      </c>
      <c r="L56" s="760">
        <f>IF('[3]Tasa de Falla'!HN55="","",'[3]Tasa de Falla'!HN55)</f>
      </c>
      <c r="M56" s="760">
        <f>IF('[3]Tasa de Falla'!HO55="","",'[3]Tasa de Falla'!HO55)</f>
      </c>
      <c r="N56" s="760">
        <f>IF('[3]Tasa de Falla'!HP55="","",'[3]Tasa de Falla'!HP55)</f>
      </c>
      <c r="O56" s="760">
        <f>IF('[3]Tasa de Falla'!HQ55="","",'[3]Tasa de Falla'!HQ55)</f>
      </c>
      <c r="P56" s="760">
        <f>IF('[3]Tasa de Falla'!HR55="","",'[3]Tasa de Falla'!HR55)</f>
      </c>
      <c r="Q56" s="760">
        <f>IF('[3]Tasa de Falla'!HS55="","",'[3]Tasa de Falla'!HS55)</f>
      </c>
      <c r="R56" s="760">
        <f>IF('[3]Tasa de Falla'!HT55="","",'[3]Tasa de Falla'!HT55)</f>
      </c>
      <c r="S56" s="756"/>
      <c r="T56" s="3"/>
    </row>
    <row r="57" spans="2:20" ht="18" customHeight="1">
      <c r="B57" s="2"/>
      <c r="C57" s="757">
        <f>IF('[3]Tasa de Falla'!C56="","",'[3]Tasa de Falla'!C56)</f>
        <v>36</v>
      </c>
      <c r="D57" s="757" t="str">
        <f>IF('[3]Tasa de Falla'!D56="","",'[3]Tasa de Falla'!D56)</f>
        <v>PTQ C.RIVADAVIA - P.DESEADO</v>
      </c>
      <c r="E57" s="757">
        <f>IF('[3]Tasa de Falla'!E56="","",'[3]Tasa de Falla'!E56)</f>
        <v>132</v>
      </c>
      <c r="F57" s="757">
        <f>IF('[3]Tasa de Falla'!F56="","",'[3]Tasa de Falla'!F56)</f>
        <v>207.5</v>
      </c>
      <c r="G57" s="758">
        <f>IF('[3]Tasa de Falla'!HI56="","",'[3]Tasa de Falla'!HI56)</f>
      </c>
      <c r="H57" s="758">
        <f>IF('[3]Tasa de Falla'!HJ56="","",'[3]Tasa de Falla'!HJ56)</f>
      </c>
      <c r="I57" s="758">
        <f>IF('[3]Tasa de Falla'!HK56="","",'[3]Tasa de Falla'!HK56)</f>
      </c>
      <c r="J57" s="758">
        <f>IF('[3]Tasa de Falla'!HL56="","",'[3]Tasa de Falla'!HL56)</f>
      </c>
      <c r="K57" s="758">
        <f>IF('[3]Tasa de Falla'!HM56="","",'[3]Tasa de Falla'!HM56)</f>
      </c>
      <c r="L57" s="758">
        <f>IF('[3]Tasa de Falla'!HN56="","",'[3]Tasa de Falla'!HN56)</f>
      </c>
      <c r="M57" s="758">
        <f>IF('[3]Tasa de Falla'!HO56="","",'[3]Tasa de Falla'!HO56)</f>
      </c>
      <c r="N57" s="758">
        <f>IF('[3]Tasa de Falla'!HP56="","",'[3]Tasa de Falla'!HP56)</f>
      </c>
      <c r="O57" s="758">
        <f>IF('[3]Tasa de Falla'!HQ56="","",'[3]Tasa de Falla'!HQ56)</f>
      </c>
      <c r="P57" s="758">
        <f>IF('[3]Tasa de Falla'!HR56="","",'[3]Tasa de Falla'!HR56)</f>
      </c>
      <c r="Q57" s="758">
        <f>IF('[3]Tasa de Falla'!HS56="","",'[3]Tasa de Falla'!HS56)</f>
      </c>
      <c r="R57" s="758">
        <f>IF('[3]Tasa de Falla'!HT56="","",'[3]Tasa de Falla'!HT56)</f>
        <v>2</v>
      </c>
      <c r="S57" s="756"/>
      <c r="T57" s="3"/>
    </row>
    <row r="58" spans="2:20" ht="15" customHeight="1">
      <c r="B58" s="2"/>
      <c r="C58" s="759">
        <f>IF('[3]Tasa de Falla'!C57="","",'[3]Tasa de Falla'!C57)</f>
      </c>
      <c r="D58" s="759">
        <f>IF('[3]Tasa de Falla'!D57="","",'[3]Tasa de Falla'!D57)</f>
      </c>
      <c r="E58" s="759">
        <f>IF('[3]Tasa de Falla'!E57="","",'[3]Tasa de Falla'!E57)</f>
      </c>
      <c r="F58" s="759">
        <f>IF('[3]Tasa de Falla'!F57="","",'[3]Tasa de Falla'!F57)</f>
      </c>
      <c r="G58" s="760">
        <f>IF('[3]Tasa de Falla'!HI57="","",'[3]Tasa de Falla'!HI57)</f>
      </c>
      <c r="H58" s="760">
        <f>IF('[3]Tasa de Falla'!HJ57="","",'[3]Tasa de Falla'!HJ57)</f>
      </c>
      <c r="I58" s="760">
        <f>IF('[3]Tasa de Falla'!HK57="","",'[3]Tasa de Falla'!HK57)</f>
      </c>
      <c r="J58" s="760">
        <f>IF('[3]Tasa de Falla'!HL57="","",'[3]Tasa de Falla'!HL57)</f>
      </c>
      <c r="K58" s="760">
        <f>IF('[3]Tasa de Falla'!HM57="","",'[3]Tasa de Falla'!HM57)</f>
      </c>
      <c r="L58" s="760">
        <f>IF('[3]Tasa de Falla'!HN57="","",'[3]Tasa de Falla'!HN57)</f>
      </c>
      <c r="M58" s="760">
        <f>IF('[3]Tasa de Falla'!HO57="","",'[3]Tasa de Falla'!HO57)</f>
      </c>
      <c r="N58" s="760">
        <f>IF('[3]Tasa de Falla'!HP57="","",'[3]Tasa de Falla'!HP57)</f>
      </c>
      <c r="O58" s="760">
        <f>IF('[3]Tasa de Falla'!HQ57="","",'[3]Tasa de Falla'!HQ57)</f>
      </c>
      <c r="P58" s="760">
        <f>IF('[3]Tasa de Falla'!HR57="","",'[3]Tasa de Falla'!HR57)</f>
      </c>
      <c r="Q58" s="760">
        <f>IF('[3]Tasa de Falla'!HS57="","",'[3]Tasa de Falla'!HS57)</f>
      </c>
      <c r="R58" s="760">
        <f>IF('[3]Tasa de Falla'!HT57="","",'[3]Tasa de Falla'!HT57)</f>
      </c>
      <c r="S58" s="756"/>
      <c r="T58" s="3"/>
    </row>
    <row r="59" spans="2:20" ht="18" customHeight="1">
      <c r="B59" s="2"/>
      <c r="C59" s="757">
        <f>IF('[3]Tasa de Falla'!C58="","",'[3]Tasa de Falla'!C58)</f>
        <v>24</v>
      </c>
      <c r="D59" s="757" t="str">
        <f>IF('[3]Tasa de Falla'!D58="","",'[3]Tasa de Falla'!D58)</f>
        <v>E.T. PATAGONIA - PAMPA DEL CASTILLO</v>
      </c>
      <c r="E59" s="757">
        <f>IF('[3]Tasa de Falla'!E58="","",'[3]Tasa de Falla'!E58)</f>
        <v>132</v>
      </c>
      <c r="F59" s="757">
        <f>IF('[3]Tasa de Falla'!F58="","",'[3]Tasa de Falla'!F58)</f>
        <v>42.6</v>
      </c>
      <c r="G59" s="758" t="str">
        <f>IF('[3]Tasa de Falla'!HI58="","",'[3]Tasa de Falla'!HI58)</f>
        <v>XXXX</v>
      </c>
      <c r="H59" s="758" t="str">
        <f>IF('[3]Tasa de Falla'!HJ58="","",'[3]Tasa de Falla'!HJ58)</f>
        <v>XXXX</v>
      </c>
      <c r="I59" s="758" t="str">
        <f>IF('[3]Tasa de Falla'!HK58="","",'[3]Tasa de Falla'!HK58)</f>
        <v>XXXX</v>
      </c>
      <c r="J59" s="758" t="str">
        <f>IF('[3]Tasa de Falla'!HL58="","",'[3]Tasa de Falla'!HL58)</f>
        <v>XXXX</v>
      </c>
      <c r="K59" s="758" t="str">
        <f>IF('[3]Tasa de Falla'!HM58="","",'[3]Tasa de Falla'!HM58)</f>
        <v>XXXX</v>
      </c>
      <c r="L59" s="758" t="str">
        <f>IF('[3]Tasa de Falla'!HN58="","",'[3]Tasa de Falla'!HN58)</f>
        <v>XXXX</v>
      </c>
      <c r="M59" s="758" t="str">
        <f>IF('[3]Tasa de Falla'!HO58="","",'[3]Tasa de Falla'!HO58)</f>
        <v>XXXX</v>
      </c>
      <c r="N59" s="758" t="str">
        <f>IF('[3]Tasa de Falla'!HP58="","",'[3]Tasa de Falla'!HP58)</f>
        <v>XXXX</v>
      </c>
      <c r="O59" s="758" t="str">
        <f>IF('[3]Tasa de Falla'!HQ58="","",'[3]Tasa de Falla'!HQ58)</f>
        <v>XXXX</v>
      </c>
      <c r="P59" s="758" t="str">
        <f>IF('[3]Tasa de Falla'!HR58="","",'[3]Tasa de Falla'!HR58)</f>
        <v>XXXX</v>
      </c>
      <c r="Q59" s="758" t="str">
        <f>IF('[3]Tasa de Falla'!HS58="","",'[3]Tasa de Falla'!HS58)</f>
        <v>XXXX</v>
      </c>
      <c r="R59" s="758" t="str">
        <f>IF('[3]Tasa de Falla'!HT58="","",'[3]Tasa de Falla'!HT58)</f>
        <v>XXXX</v>
      </c>
      <c r="S59" s="756"/>
      <c r="T59" s="3"/>
    </row>
    <row r="60" spans="2:20" ht="15" customHeight="1">
      <c r="B60" s="2"/>
      <c r="C60" s="759">
        <f>IF('[3]Tasa de Falla'!C59="","",'[3]Tasa de Falla'!C59)</f>
        <v>25</v>
      </c>
      <c r="D60" s="759" t="str">
        <f>IF('[3]Tasa de Falla'!D59="","",'[3]Tasa de Falla'!D59)</f>
        <v>PAMPA DEL CASTILLO - VALLE HERMOSO</v>
      </c>
      <c r="E60" s="759">
        <f>IF('[3]Tasa de Falla'!E59="","",'[3]Tasa de Falla'!E59)</f>
        <v>132</v>
      </c>
      <c r="F60" s="759">
        <f>IF('[3]Tasa de Falla'!F59="","",'[3]Tasa de Falla'!F59)</f>
        <v>33.6</v>
      </c>
      <c r="G60" s="760">
        <f>IF('[3]Tasa de Falla'!HI59="","",'[3]Tasa de Falla'!HI59)</f>
      </c>
      <c r="H60" s="760">
        <f>IF('[3]Tasa de Falla'!HJ59="","",'[3]Tasa de Falla'!HJ59)</f>
      </c>
      <c r="I60" s="760">
        <f>IF('[3]Tasa de Falla'!HK59="","",'[3]Tasa de Falla'!HK59)</f>
      </c>
      <c r="J60" s="760">
        <f>IF('[3]Tasa de Falla'!HL59="","",'[3]Tasa de Falla'!HL59)</f>
      </c>
      <c r="K60" s="760">
        <f>IF('[3]Tasa de Falla'!HM59="","",'[3]Tasa de Falla'!HM59)</f>
      </c>
      <c r="L60" s="760">
        <f>IF('[3]Tasa de Falla'!HN59="","",'[3]Tasa de Falla'!HN59)</f>
      </c>
      <c r="M60" s="760">
        <f>IF('[3]Tasa de Falla'!HO59="","",'[3]Tasa de Falla'!HO59)</f>
      </c>
      <c r="N60" s="760">
        <f>IF('[3]Tasa de Falla'!HP59="","",'[3]Tasa de Falla'!HP59)</f>
      </c>
      <c r="O60" s="760">
        <f>IF('[3]Tasa de Falla'!HQ59="","",'[3]Tasa de Falla'!HQ59)</f>
      </c>
      <c r="P60" s="760">
        <f>IF('[3]Tasa de Falla'!HR59="","",'[3]Tasa de Falla'!HR59)</f>
      </c>
      <c r="Q60" s="760">
        <f>IF('[3]Tasa de Falla'!HS59="","",'[3]Tasa de Falla'!HS59)</f>
      </c>
      <c r="R60" s="760">
        <f>IF('[3]Tasa de Falla'!HT59="","",'[3]Tasa de Falla'!HT59)</f>
      </c>
      <c r="S60" s="756"/>
      <c r="T60" s="3"/>
    </row>
    <row r="61" spans="2:20" ht="18" customHeight="1">
      <c r="B61" s="2"/>
      <c r="C61" s="757">
        <f>IF('[3]Tasa de Falla'!C60="","",'[3]Tasa de Falla'!C60)</f>
        <v>26</v>
      </c>
      <c r="D61" s="757" t="str">
        <f>IF('[3]Tasa de Falla'!D60="","",'[3]Tasa de Falla'!D60)</f>
        <v>VALLE HERMOSO - CERRO NEGRO</v>
      </c>
      <c r="E61" s="757">
        <f>IF('[3]Tasa de Falla'!E60="","",'[3]Tasa de Falla'!E60)</f>
        <v>132</v>
      </c>
      <c r="F61" s="757">
        <f>IF('[3]Tasa de Falla'!F60="","",'[3]Tasa de Falla'!F60)</f>
        <v>41</v>
      </c>
      <c r="G61" s="758">
        <f>IF('[3]Tasa de Falla'!HI60="","",'[3]Tasa de Falla'!HI60)</f>
      </c>
      <c r="H61" s="758">
        <f>IF('[3]Tasa de Falla'!HJ60="","",'[3]Tasa de Falla'!HJ60)</f>
        <v>1</v>
      </c>
      <c r="I61" s="758">
        <f>IF('[3]Tasa de Falla'!HK60="","",'[3]Tasa de Falla'!HK60)</f>
      </c>
      <c r="J61" s="758">
        <f>IF('[3]Tasa de Falla'!HL60="","",'[3]Tasa de Falla'!HL60)</f>
      </c>
      <c r="K61" s="758">
        <f>IF('[3]Tasa de Falla'!HM60="","",'[3]Tasa de Falla'!HM60)</f>
      </c>
      <c r="L61" s="758">
        <f>IF('[3]Tasa de Falla'!HN60="","",'[3]Tasa de Falla'!HN60)</f>
      </c>
      <c r="M61" s="758">
        <f>IF('[3]Tasa de Falla'!HO60="","",'[3]Tasa de Falla'!HO60)</f>
      </c>
      <c r="N61" s="758">
        <f>IF('[3]Tasa de Falla'!HP60="","",'[3]Tasa de Falla'!HP60)</f>
      </c>
      <c r="O61" s="758">
        <f>IF('[3]Tasa de Falla'!HQ60="","",'[3]Tasa de Falla'!HQ60)</f>
      </c>
      <c r="P61" s="758">
        <f>IF('[3]Tasa de Falla'!HR60="","",'[3]Tasa de Falla'!HR60)</f>
      </c>
      <c r="Q61" s="758">
        <f>IF('[3]Tasa de Falla'!HS60="","",'[3]Tasa de Falla'!HS60)</f>
      </c>
      <c r="R61" s="758">
        <f>IF('[3]Tasa de Falla'!HT60="","",'[3]Tasa de Falla'!HT60)</f>
      </c>
      <c r="S61" s="756"/>
      <c r="T61" s="3"/>
    </row>
    <row r="62" spans="2:20" ht="15" customHeight="1">
      <c r="B62" s="2"/>
      <c r="C62" s="759">
        <f>IF('[3]Tasa de Falla'!C61="","",'[3]Tasa de Falla'!C61)</f>
        <v>33</v>
      </c>
      <c r="D62" s="759" t="str">
        <f>IF('[3]Tasa de Falla'!D61="","",'[3]Tasa de Falla'!D61)</f>
        <v>E.T. PATAGONIA - DIADEMA</v>
      </c>
      <c r="E62" s="759">
        <f>IF('[3]Tasa de Falla'!E61="","",'[3]Tasa de Falla'!E61)</f>
        <v>132</v>
      </c>
      <c r="F62" s="759">
        <f>IF('[3]Tasa de Falla'!F61="","",'[3]Tasa de Falla'!F61)</f>
        <v>15</v>
      </c>
      <c r="G62" s="760">
        <f>IF('[3]Tasa de Falla'!HI61="","",'[3]Tasa de Falla'!HI61)</f>
      </c>
      <c r="H62" s="760">
        <f>IF('[3]Tasa de Falla'!HJ61="","",'[3]Tasa de Falla'!HJ61)</f>
      </c>
      <c r="I62" s="760">
        <f>IF('[3]Tasa de Falla'!HK61="","",'[3]Tasa de Falla'!HK61)</f>
      </c>
      <c r="J62" s="760">
        <f>IF('[3]Tasa de Falla'!HL61="","",'[3]Tasa de Falla'!HL61)</f>
      </c>
      <c r="K62" s="760">
        <f>IF('[3]Tasa de Falla'!HM61="","",'[3]Tasa de Falla'!HM61)</f>
      </c>
      <c r="L62" s="760">
        <f>IF('[3]Tasa de Falla'!HN61="","",'[3]Tasa de Falla'!HN61)</f>
      </c>
      <c r="M62" s="760">
        <f>IF('[3]Tasa de Falla'!HO61="","",'[3]Tasa de Falla'!HO61)</f>
      </c>
      <c r="N62" s="760">
        <f>IF('[3]Tasa de Falla'!HP61="","",'[3]Tasa de Falla'!HP61)</f>
      </c>
      <c r="O62" s="760">
        <f>IF('[3]Tasa de Falla'!HQ61="","",'[3]Tasa de Falla'!HQ61)</f>
      </c>
      <c r="P62" s="760">
        <f>IF('[3]Tasa de Falla'!HR61="","",'[3]Tasa de Falla'!HR61)</f>
      </c>
      <c r="Q62" s="760">
        <f>IF('[3]Tasa de Falla'!HS61="","",'[3]Tasa de Falla'!HS61)</f>
      </c>
      <c r="R62" s="760">
        <f>IF('[3]Tasa de Falla'!HT61="","",'[3]Tasa de Falla'!HT61)</f>
      </c>
      <c r="S62" s="756"/>
      <c r="T62" s="3"/>
    </row>
    <row r="63" spans="2:20" ht="18" customHeight="1">
      <c r="B63" s="2"/>
      <c r="C63" s="757">
        <f>IF('[3]Tasa de Falla'!C62="","",'[3]Tasa de Falla'!C62)</f>
        <v>34</v>
      </c>
      <c r="D63" s="757" t="str">
        <f>IF('[3]Tasa de Falla'!D62="","",'[3]Tasa de Falla'!D62)</f>
        <v>DIADEMA - PAMAPA DEL CASTILLO</v>
      </c>
      <c r="E63" s="757">
        <f>IF('[3]Tasa de Falla'!E62="","",'[3]Tasa de Falla'!E62)</f>
        <v>132</v>
      </c>
      <c r="F63" s="757">
        <f>IF('[3]Tasa de Falla'!F62="","",'[3]Tasa de Falla'!F62)</f>
        <v>27.6</v>
      </c>
      <c r="G63" s="758">
        <f>IF('[3]Tasa de Falla'!HI62="","",'[3]Tasa de Falla'!HI62)</f>
      </c>
      <c r="H63" s="758">
        <f>IF('[3]Tasa de Falla'!HJ62="","",'[3]Tasa de Falla'!HJ62)</f>
      </c>
      <c r="I63" s="758">
        <f>IF('[3]Tasa de Falla'!HK62="","",'[3]Tasa de Falla'!HK62)</f>
      </c>
      <c r="J63" s="758">
        <f>IF('[3]Tasa de Falla'!HL62="","",'[3]Tasa de Falla'!HL62)</f>
      </c>
      <c r="K63" s="758">
        <f>IF('[3]Tasa de Falla'!HM62="","",'[3]Tasa de Falla'!HM62)</f>
      </c>
      <c r="L63" s="758">
        <f>IF('[3]Tasa de Falla'!HN62="","",'[3]Tasa de Falla'!HN62)</f>
        <v>1</v>
      </c>
      <c r="M63" s="758">
        <f>IF('[3]Tasa de Falla'!HO62="","",'[3]Tasa de Falla'!HO62)</f>
      </c>
      <c r="N63" s="758">
        <f>IF('[3]Tasa de Falla'!HP62="","",'[3]Tasa de Falla'!HP62)</f>
      </c>
      <c r="O63" s="758">
        <f>IF('[3]Tasa de Falla'!HQ62="","",'[3]Tasa de Falla'!HQ62)</f>
      </c>
      <c r="P63" s="758">
        <f>IF('[3]Tasa de Falla'!HR62="","",'[3]Tasa de Falla'!HR62)</f>
      </c>
      <c r="Q63" s="758">
        <f>IF('[3]Tasa de Falla'!HS62="","",'[3]Tasa de Falla'!HS62)</f>
      </c>
      <c r="R63" s="758">
        <f>IF('[3]Tasa de Falla'!HT62="","",'[3]Tasa de Falla'!HT62)</f>
      </c>
      <c r="S63" s="756"/>
      <c r="T63" s="3"/>
    </row>
    <row r="64" spans="2:20" ht="15" customHeight="1">
      <c r="B64" s="2"/>
      <c r="C64" s="759">
        <f>IF('[3]Tasa de Falla'!C63="","",'[3]Tasa de Falla'!C63)</f>
        <v>29</v>
      </c>
      <c r="D64" s="759" t="str">
        <f>IF('[3]Tasa de Falla'!D63="","",'[3]Tasa de Falla'!D63)</f>
        <v>ESQUEL-EL COHIUE</v>
      </c>
      <c r="E64" s="759">
        <f>IF('[3]Tasa de Falla'!E63="","",'[3]Tasa de Falla'!E63)</f>
        <v>132</v>
      </c>
      <c r="F64" s="759">
        <f>IF('[3]Tasa de Falla'!F63="","",'[3]Tasa de Falla'!F63)</f>
        <v>127.98</v>
      </c>
      <c r="G64" s="760">
        <f>IF('[3]Tasa de Falla'!HI63="","",'[3]Tasa de Falla'!HI63)</f>
        <v>1</v>
      </c>
      <c r="H64" s="760">
        <f>IF('[3]Tasa de Falla'!HJ63="","",'[3]Tasa de Falla'!HJ63)</f>
      </c>
      <c r="I64" s="760">
        <f>IF('[3]Tasa de Falla'!HK63="","",'[3]Tasa de Falla'!HK63)</f>
      </c>
      <c r="J64" s="760">
        <f>IF('[3]Tasa de Falla'!HL63="","",'[3]Tasa de Falla'!HL63)</f>
      </c>
      <c r="K64" s="760">
        <f>IF('[3]Tasa de Falla'!HM63="","",'[3]Tasa de Falla'!HM63)</f>
      </c>
      <c r="L64" s="760">
        <f>IF('[3]Tasa de Falla'!HN63="","",'[3]Tasa de Falla'!HN63)</f>
      </c>
      <c r="M64" s="760">
        <f>IF('[3]Tasa de Falla'!HO63="","",'[3]Tasa de Falla'!HO63)</f>
      </c>
      <c r="N64" s="760">
        <f>IF('[3]Tasa de Falla'!HP63="","",'[3]Tasa de Falla'!HP63)</f>
      </c>
      <c r="O64" s="760">
        <f>IF('[3]Tasa de Falla'!HQ63="","",'[3]Tasa de Falla'!HQ63)</f>
      </c>
      <c r="P64" s="760">
        <f>IF('[3]Tasa de Falla'!HR63="","",'[3]Tasa de Falla'!HR63)</f>
      </c>
      <c r="Q64" s="760">
        <f>IF('[3]Tasa de Falla'!HS63="","",'[3]Tasa de Falla'!HS63)</f>
      </c>
      <c r="R64" s="760">
        <f>IF('[3]Tasa de Falla'!HT63="","",'[3]Tasa de Falla'!HT63)</f>
      </c>
      <c r="S64" s="756"/>
      <c r="T64" s="3"/>
    </row>
    <row r="65" spans="2:20" ht="18" customHeight="1">
      <c r="B65" s="2"/>
      <c r="C65" s="757">
        <f>IF('[2]Tasa de Falla'!C63=0,"",'[2]Tasa de Falla'!C63)</f>
      </c>
      <c r="D65" s="757">
        <f>IF('[2]Tasa de Falla'!D63=0,"",'[2]Tasa de Falla'!D63)</f>
      </c>
      <c r="E65" s="757">
        <f>IF('[2]Tasa de Falla'!E63=0,"",'[2]Tasa de Falla'!E63)</f>
      </c>
      <c r="F65" s="757">
        <f>IF('[2]Tasa de Falla'!F63=0,"",'[2]Tasa de Falla'!F63)</f>
      </c>
      <c r="G65" s="758">
        <f>IF('[3]Tasa de Falla'!HI64="","",'[3]Tasa de Falla'!HI64)</f>
      </c>
      <c r="H65" s="758">
        <f>IF('[3]Tasa de Falla'!HJ64="","",'[3]Tasa de Falla'!HJ64)</f>
      </c>
      <c r="I65" s="758">
        <f>IF('[3]Tasa de Falla'!HK64="","",'[3]Tasa de Falla'!HK64)</f>
      </c>
      <c r="J65" s="758">
        <f>IF('[3]Tasa de Falla'!HL64="","",'[3]Tasa de Falla'!HL64)</f>
      </c>
      <c r="K65" s="758">
        <f>IF('[3]Tasa de Falla'!HM64="","",'[3]Tasa de Falla'!HM64)</f>
      </c>
      <c r="L65" s="758">
        <f>IF('[3]Tasa de Falla'!HN64="","",'[3]Tasa de Falla'!HN64)</f>
      </c>
      <c r="M65" s="758">
        <f>IF('[3]Tasa de Falla'!HO64="","",'[3]Tasa de Falla'!HO64)</f>
      </c>
      <c r="N65" s="758">
        <f>IF('[3]Tasa de Falla'!HP64="","",'[3]Tasa de Falla'!HP64)</f>
      </c>
      <c r="O65" s="758">
        <f>IF('[3]Tasa de Falla'!HQ64="","",'[3]Tasa de Falla'!HQ64)</f>
      </c>
      <c r="P65" s="758">
        <f>IF('[3]Tasa de Falla'!HR64="","",'[3]Tasa de Falla'!HR64)</f>
      </c>
      <c r="Q65" s="758">
        <f>IF('[3]Tasa de Falla'!HS64="","",'[3]Tasa de Falla'!HS64)</f>
      </c>
      <c r="R65" s="758">
        <f>IF('[3]Tasa de Falla'!HT64="","",'[3]Tasa de Falla'!HT64)</f>
      </c>
      <c r="S65" s="756"/>
      <c r="T65" s="3"/>
    </row>
    <row r="66" spans="2:20" ht="15" customHeight="1">
      <c r="B66" s="2"/>
      <c r="C66" s="759"/>
      <c r="D66" s="759">
        <f>IF('[2]Tasa de Falla'!D64=0,"",'[2]Tasa de Falla'!D64)</f>
      </c>
      <c r="E66" s="759">
        <f>IF('[2]Tasa de Falla'!E64=0,"",'[2]Tasa de Falla'!E64)</f>
      </c>
      <c r="F66" s="759">
        <f>IF('[2]Tasa de Falla'!F64=0,"",'[2]Tasa de Falla'!F64)</f>
      </c>
      <c r="G66" s="760">
        <f>IF('[3]Tasa de Falla'!HI65="","",'[3]Tasa de Falla'!HI65)</f>
      </c>
      <c r="H66" s="760">
        <f>IF('[3]Tasa de Falla'!HJ65="","",'[3]Tasa de Falla'!HJ65)</f>
      </c>
      <c r="I66" s="760">
        <f>IF('[3]Tasa de Falla'!HK65="","",'[3]Tasa de Falla'!HK65)</f>
      </c>
      <c r="J66" s="760">
        <f>IF('[3]Tasa de Falla'!HL65="","",'[3]Tasa de Falla'!HL65)</f>
      </c>
      <c r="K66" s="760">
        <f>IF('[3]Tasa de Falla'!HM65="","",'[3]Tasa de Falla'!HM65)</f>
      </c>
      <c r="L66" s="760">
        <f>IF('[3]Tasa de Falla'!HN65="","",'[3]Tasa de Falla'!HN65)</f>
      </c>
      <c r="M66" s="760">
        <f>IF('[3]Tasa de Falla'!HO65="","",'[3]Tasa de Falla'!HO65)</f>
      </c>
      <c r="N66" s="760">
        <f>IF('[3]Tasa de Falla'!HP65="","",'[3]Tasa de Falla'!HP65)</f>
      </c>
      <c r="O66" s="760">
        <f>IF('[3]Tasa de Falla'!HQ65="","",'[3]Tasa de Falla'!HQ65)</f>
      </c>
      <c r="P66" s="760">
        <f>IF('[3]Tasa de Falla'!HR65="","",'[3]Tasa de Falla'!HR65)</f>
      </c>
      <c r="Q66" s="760">
        <f>IF('[3]Tasa de Falla'!HS65="","",'[3]Tasa de Falla'!HS65)</f>
      </c>
      <c r="R66" s="760">
        <f>IF('[3]Tasa de Falla'!HT65="","",'[3]Tasa de Falla'!HT65)</f>
      </c>
      <c r="S66" s="756"/>
      <c r="T66" s="3"/>
    </row>
    <row r="67" spans="2:20" ht="15" customHeight="1" thickBot="1">
      <c r="B67" s="2"/>
      <c r="C67" s="761"/>
      <c r="D67" s="762"/>
      <c r="E67" s="763"/>
      <c r="F67" s="764"/>
      <c r="G67" s="764"/>
      <c r="H67" s="764"/>
      <c r="I67" s="764"/>
      <c r="J67" s="764"/>
      <c r="K67" s="764"/>
      <c r="L67" s="764"/>
      <c r="M67" s="764"/>
      <c r="N67" s="764"/>
      <c r="O67" s="764"/>
      <c r="P67" s="764"/>
      <c r="Q67" s="764"/>
      <c r="R67" s="764"/>
      <c r="S67" s="756"/>
      <c r="T67" s="3"/>
    </row>
    <row r="68" spans="2:20" ht="15" customHeight="1" thickBot="1" thickTop="1">
      <c r="B68" s="2"/>
      <c r="C68" s="74"/>
      <c r="D68" s="179"/>
      <c r="E68" s="765" t="s">
        <v>161</v>
      </c>
      <c r="F68" s="766">
        <f>SUM($F$17:$F$67)-SUMIF(R$17:R$67,"XXXX",$F$17:$F$67)</f>
        <v>2997.1499999999996</v>
      </c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56"/>
      <c r="T68" s="3"/>
    </row>
    <row r="69" spans="2:20" ht="15" customHeight="1" thickBot="1" thickTop="1">
      <c r="B69" s="2"/>
      <c r="C69" s="30"/>
      <c r="D69" s="37"/>
      <c r="E69" s="768"/>
      <c r="F69" s="769" t="s">
        <v>162</v>
      </c>
      <c r="G69" s="770">
        <f aca="true" t="shared" si="0" ref="G69:R69">SUM(G17:G66)</f>
        <v>2</v>
      </c>
      <c r="H69" s="770">
        <f t="shared" si="0"/>
        <v>2</v>
      </c>
      <c r="I69" s="770">
        <f t="shared" si="0"/>
        <v>1</v>
      </c>
      <c r="J69" s="770">
        <f t="shared" si="0"/>
        <v>3</v>
      </c>
      <c r="K69" s="770">
        <f t="shared" si="0"/>
        <v>0</v>
      </c>
      <c r="L69" s="770">
        <f t="shared" si="0"/>
        <v>3</v>
      </c>
      <c r="M69" s="770">
        <f t="shared" si="0"/>
        <v>2</v>
      </c>
      <c r="N69" s="770">
        <f t="shared" si="0"/>
        <v>2</v>
      </c>
      <c r="O69" s="770">
        <f t="shared" si="0"/>
        <v>4</v>
      </c>
      <c r="P69" s="770">
        <f t="shared" si="0"/>
        <v>2</v>
      </c>
      <c r="Q69" s="770">
        <f t="shared" si="0"/>
        <v>1</v>
      </c>
      <c r="R69" s="770">
        <f t="shared" si="0"/>
        <v>5</v>
      </c>
      <c r="S69" s="771"/>
      <c r="T69" s="3"/>
    </row>
    <row r="70" spans="2:20" ht="17.25" thickBot="1" thickTop="1">
      <c r="B70" s="2"/>
      <c r="C70" s="768"/>
      <c r="D70" s="768"/>
      <c r="E70" s="30"/>
      <c r="F70" s="772" t="s">
        <v>163</v>
      </c>
      <c r="G70" s="773">
        <f>'[3]Tasa de Falla'!HI73</f>
        <v>1.1</v>
      </c>
      <c r="H70" s="773">
        <f>'[3]Tasa de Falla'!HJ73</f>
        <v>1.1</v>
      </c>
      <c r="I70" s="773">
        <f>'[3]Tasa de Falla'!HK73</f>
        <v>1.1</v>
      </c>
      <c r="J70" s="773">
        <f>'[3]Tasa de Falla'!HL73</f>
        <v>1.07</v>
      </c>
      <c r="K70" s="773">
        <f>'[3]Tasa de Falla'!HM73</f>
        <v>1.17</v>
      </c>
      <c r="L70" s="773">
        <f>'[3]Tasa de Falla'!HN73</f>
        <v>1.13</v>
      </c>
      <c r="M70" s="773">
        <f>'[3]Tasa de Falla'!HO73</f>
        <v>1.07</v>
      </c>
      <c r="N70" s="773">
        <f>'[3]Tasa de Falla'!HP73</f>
        <v>1</v>
      </c>
      <c r="O70" s="773">
        <f>'[3]Tasa de Falla'!HQ73</f>
        <v>0.87</v>
      </c>
      <c r="P70" s="773">
        <f>'[3]Tasa de Falla'!HR73</f>
        <v>0.83</v>
      </c>
      <c r="Q70" s="773">
        <f>'[3]Tasa de Falla'!HS73</f>
        <v>0.77</v>
      </c>
      <c r="R70" s="773">
        <f>'[3]Tasa de Falla'!HT73</f>
        <v>0.73</v>
      </c>
      <c r="S70" s="773">
        <f>SUM(G69:R69)/F68*100</f>
        <v>0.9008558130223714</v>
      </c>
      <c r="T70" s="3"/>
    </row>
    <row r="71" spans="2:20" ht="18.75" customHeight="1" thickBot="1" thickTop="1">
      <c r="B71" s="2"/>
      <c r="C71" s="774" t="s">
        <v>164</v>
      </c>
      <c r="D71" s="30" t="s">
        <v>165</v>
      </c>
      <c r="E71" s="775"/>
      <c r="F71" s="776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61"/>
    </row>
    <row r="72" spans="2:20" ht="17.25" thickBot="1" thickTop="1">
      <c r="B72" s="778"/>
      <c r="C72" s="779"/>
      <c r="D72" s="779"/>
      <c r="H72" s="786" t="s">
        <v>166</v>
      </c>
      <c r="I72" s="787"/>
      <c r="J72" s="780">
        <f>S70</f>
        <v>0.9008558130223714</v>
      </c>
      <c r="K72" s="788" t="s">
        <v>167</v>
      </c>
      <c r="L72" s="788"/>
      <c r="M72" s="789"/>
      <c r="N72" s="779"/>
      <c r="O72" s="779"/>
      <c r="P72" s="779"/>
      <c r="Q72" s="779"/>
      <c r="R72" s="779"/>
      <c r="S72" s="779"/>
      <c r="T72" s="3"/>
    </row>
    <row r="73" spans="2:20" ht="18.75" customHeight="1" thickBot="1" thickTop="1">
      <c r="B73" s="781"/>
      <c r="C73" s="782"/>
      <c r="D73" s="49"/>
      <c r="E73" s="49"/>
      <c r="F73" s="783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5"/>
    </row>
    <row r="74" ht="13.5" thickTop="1"/>
  </sheetData>
  <mergeCells count="2">
    <mergeCell ref="H72:I72"/>
    <mergeCell ref="K72:M72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2014-06-30T20:44:42Z</cp:lastPrinted>
  <dcterms:created xsi:type="dcterms:W3CDTF">2000-10-04T20:14:32Z</dcterms:created>
  <dcterms:modified xsi:type="dcterms:W3CDTF">2014-07-01T20:32:05Z</dcterms:modified>
  <cp:category/>
  <cp:version/>
  <cp:contentType/>
  <cp:contentStatus/>
</cp:coreProperties>
</file>