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36" activeTab="0"/>
  </bookViews>
  <sheets>
    <sheet name="TOT-0113" sheetId="1" r:id="rId1"/>
    <sheet name="LI-01 (1)" sheetId="2" r:id="rId2"/>
    <sheet name="LI-EDERSA-01 (1)" sheetId="3" r:id="rId3"/>
    <sheet name="TR-01 (1)" sheetId="4" r:id="rId4"/>
    <sheet name="SA-EDERSA-01 (1)" sheetId="5" r:id="rId5"/>
    <sheet name="SUP-EDERSA" sheetId="6" r:id="rId6"/>
    <sheet name="TASA FALLA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'TASA FALLA'!$A$1:$T$73</definedName>
    <definedName name="DD" localSheetId="6">'TASA FALLA'!DD</definedName>
    <definedName name="DD">[0]!DD</definedName>
    <definedName name="DDD" localSheetId="6">'TASA FALLA'!DDD</definedName>
    <definedName name="DDD">[0]!DDD</definedName>
    <definedName name="DISTROCUYO" localSheetId="6">'TASA FALLA'!DISTROCUYO</definedName>
    <definedName name="DISTROCUYO">[0]!DISTROCUYO</definedName>
    <definedName name="INICIO" localSheetId="6">'TASA FALLA'!INICIO</definedName>
    <definedName name="INICIO">[0]!INICIO</definedName>
    <definedName name="INICIOTI" localSheetId="6">'TASA FALLA'!INICIOTI</definedName>
    <definedName name="INICIOTI">[0]!INICIOTI</definedName>
    <definedName name="LINEAS" localSheetId="6">'TASA FALLA'!LINEAS</definedName>
    <definedName name="LINEAS">[0]!LINEAS</definedName>
    <definedName name="NAME_L" localSheetId="6">'TASA FALLA'!NAME_L</definedName>
    <definedName name="NAME_L">[0]!NAME_L</definedName>
    <definedName name="NAME_L_TI" localSheetId="6">'TASA FALLA'!NAME_L_TI</definedName>
    <definedName name="NAME_L_TI">[0]!NAME_L_TI</definedName>
    <definedName name="TRAN" localSheetId="6">'TASA FALLA'!TRAN</definedName>
    <definedName name="TRAN">[0]!TRAN</definedName>
    <definedName name="TRANSNOA" localSheetId="6">'TASA FALLA'!TRANSNOA</definedName>
    <definedName name="TRANSNOA">[0]!TRANSNOA</definedName>
    <definedName name="x" localSheetId="6">'TASA FALLA'!x</definedName>
    <definedName name="x">[0]!x</definedName>
    <definedName name="XX" localSheetId="6">'TASA FALLA'!XX</definedName>
    <definedName name="XX">[0]!XX</definedName>
  </definedNames>
  <calcPr fullCalcOnLoad="1"/>
</workbook>
</file>

<file path=xl/comments6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<sst xmlns="http://schemas.openxmlformats.org/spreadsheetml/2006/main" count="307" uniqueCount="174">
  <si>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</si>
  <si>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</si>
  <si>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</si>
  <si>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</si>
  <si>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</si>
  <si>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</si>
  <si>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</si>
  <si>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</si>
  <si>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</si>
  <si>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</si>
  <si>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</si>
  <si>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</si>
  <si>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</si>
  <si>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</si>
  <si>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</si>
  <si>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</si>
  <si>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</si>
  <si>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</si>
  <si>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</si>
  <si>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</si>
  <si>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</si>
  <si>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</si>
  <si>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</si>
  <si>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</si>
  <si>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</si>
  <si>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</si>
  <si>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</si>
  <si>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</si>
  <si>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</si>
  <si>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</si>
  <si>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2.2.-</t>
  </si>
  <si>
    <t>Salidas</t>
  </si>
  <si>
    <t>2.2.2.-</t>
  </si>
  <si>
    <t>3.-</t>
  </si>
  <si>
    <t>SUPERVISIÓN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</si>
  <si>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</si>
  <si>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</si>
  <si>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</si>
  <si>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</si>
  <si>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</si>
  <si>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</si>
  <si>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</si>
  <si>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</si>
  <si>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</si>
  <si>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</si>
  <si>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</si>
  <si>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</si>
  <si>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</si>
  <si>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</si>
  <si>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</si>
  <si>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</si>
  <si>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</si>
  <si>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</si>
  <si>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</si>
  <si>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</si>
  <si>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</si>
  <si>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</si>
  <si>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</si>
  <si>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</si>
  <si>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</si>
  <si>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</si>
  <si>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</si>
  <si>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</si>
  <si>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</si>
  <si>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</si>
  <si>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</si>
  <si>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</si>
  <si>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</si>
  <si>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</si>
  <si>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</si>
  <si>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</si>
  <si>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</si>
  <si>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</si>
  <si>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</si>
  <si>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</si>
  <si>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</si>
  <si>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</si>
  <si>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</si>
  <si>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</si>
  <si>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</si>
  <si>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</si>
  <si>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</si>
  <si>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</si>
  <si>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</si>
  <si>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</si>
  <si>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</si>
  <si>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</si>
  <si>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</si>
  <si>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</si>
  <si>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</si>
  <si>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</si>
  <si>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</si>
  <si>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</si>
  <si>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</si>
  <si>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</si>
  <si>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</si>
  <si>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</si>
  <si>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</si>
  <si>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</si>
  <si>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</si>
  <si>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</si>
  <si>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</si>
  <si>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</si>
  <si>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</si>
  <si>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</si>
  <si>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</si>
  <si>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</si>
  <si>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</si>
  <si>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</si>
  <si>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</si>
  <si>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</si>
  <si>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</si>
  <si>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</si>
  <si>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</si>
  <si>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</si>
  <si>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</si>
  <si>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</si>
  <si>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</si>
  <si>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</si>
  <si>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</si>
  <si>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</si>
  <si>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</si>
  <si>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</si>
  <si>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2.2.2.-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</si>
  <si>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</si>
  <si>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</si>
  <si>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</si>
  <si>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</si>
  <si>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ENTE NACIONAL REGULADOR </t>
  </si>
  <si>
    <t>Valores remuneratorios Decreto PEN N° 1779/07 -  Res. ENRE N° 330/08 -  Res. ENRE N° 645/08</t>
  </si>
  <si>
    <t>Desde el 01 al 31 de enero de 2013</t>
  </si>
  <si>
    <t>PTO. MADRYN - SIERRA GRANDE</t>
  </si>
  <si>
    <t>F</t>
  </si>
  <si>
    <t>SI</t>
  </si>
  <si>
    <t>0,000</t>
  </si>
  <si>
    <t>FUTALEUFU - PTO. MADRYN 1</t>
  </si>
  <si>
    <t>LAS HERAS SP - SANTA CRUZ NORTE</t>
  </si>
  <si>
    <t>P</t>
  </si>
  <si>
    <t>S.A. OESTE - S.A. ESTE</t>
  </si>
  <si>
    <t>S.A. ESTE - VIEDMA</t>
  </si>
  <si>
    <t>PLANTA DE ALUMINIO DGPA</t>
  </si>
  <si>
    <t>132/33/13,2</t>
  </si>
  <si>
    <t>TRAFO 4</t>
  </si>
  <si>
    <t>PUERTO MADRYN</t>
  </si>
  <si>
    <t>AUTOTRAFO 1</t>
  </si>
  <si>
    <t>330/132/33</t>
  </si>
  <si>
    <t>COMODORO RIVADAVIA A1</t>
  </si>
  <si>
    <t>AUTOTRAFO 10</t>
  </si>
  <si>
    <t>132/66/13,2</t>
  </si>
  <si>
    <t>SALIDA ALKIMENTADOR 2 C. PATAGONES</t>
  </si>
  <si>
    <t>SALIDA ALIMENT. 6 A VIEDMA</t>
  </si>
  <si>
    <t>SALIDA ALIMENT. 2 C. PATAGONES</t>
  </si>
  <si>
    <t>SALIDA ALIMENT. 1 RURAL</t>
  </si>
  <si>
    <t>3.1.-</t>
  </si>
  <si>
    <t>3.1.- SUPERVISIÓN - Transportista Independiente E.D.E.R.S.A.</t>
  </si>
  <si>
    <t>P - PROGRAMADA  ;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</si>
  <si>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</si>
  <si>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F - FORZADA</t>
  </si>
  <si>
    <t>P - PROGRAMADA</t>
  </si>
  <si>
    <t xml:space="preserve"> -</t>
  </si>
  <si>
    <t>(DTE 0113)</t>
  </si>
  <si>
    <t xml:space="preserve">                  DE LA ELECTRICIDAD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</si>
  <si>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</si>
  <si>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</si>
  <si>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</si>
  <si>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</si>
  <si>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</si>
  <si>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</si>
  <si>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</si>
  <si>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</si>
  <si>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</si>
  <si>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TOTAL DE PENALIZACIONES A APLICAR</t>
  </si>
  <si>
    <t>ANEXO I al Memorándum  D.T.E.E.  N°           / 2014.-</t>
  </si>
  <si>
    <t>Tasa de falla correspondiente al mes de enero de 2013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</si>
</sst>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[$-2C0A]hh:mm:ss\ \a\.m\./\p\.m\."/>
    <numFmt numFmtId="227" formatCode="#,##0.000000_ ;\-#,##0.000000\ "/>
  </numFmts>
  <fonts count="8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9"/>
      <name val="Wingdings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7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7" xfId="0" applyNumberFormat="1" applyFont="1" applyFill="1" applyBorder="1" applyAlignment="1">
      <alignment horizontal="center"/>
    </xf>
    <xf numFmtId="22" fontId="7" fillId="0" borderId="8" xfId="0" applyNumberFormat="1" applyFont="1" applyFill="1" applyBorder="1" applyAlignment="1" applyProtection="1">
      <alignment horizontal="center"/>
      <protection/>
    </xf>
    <xf numFmtId="2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7" fontId="8" fillId="0" borderId="21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Continuous"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 quotePrefix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164" fontId="0" fillId="0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 quotePrefix="1">
      <alignment horizontal="center" vertical="center" wrapText="1"/>
      <protection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 applyProtection="1" quotePrefix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20" xfId="0" applyFont="1" applyBorder="1" applyAlignment="1" applyProtection="1">
      <alignment horizontal="left"/>
      <protection/>
    </xf>
    <xf numFmtId="171" fontId="0" fillId="0" borderId="23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171" fontId="25" fillId="0" borderId="2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1" xfId="0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>
      <alignment horizontal="center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0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1" xfId="0" applyFont="1" applyBorder="1" applyAlignment="1" applyProtection="1">
      <alignment horizontal="centerContinuous"/>
      <protection/>
    </xf>
    <xf numFmtId="167" fontId="0" fillId="0" borderId="21" xfId="0" applyNumberFormat="1" applyFont="1" applyBorder="1" applyAlignment="1">
      <alignment horizontal="centerContinuous"/>
    </xf>
    <xf numFmtId="0" fontId="39" fillId="0" borderId="22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18" xfId="0" applyNumberFormat="1" applyFont="1" applyFill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46" fillId="2" borderId="18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>
      <alignment/>
    </xf>
    <xf numFmtId="0" fontId="47" fillId="2" borderId="3" xfId="0" applyFont="1" applyFill="1" applyBorder="1" applyAlignment="1">
      <alignment/>
    </xf>
    <xf numFmtId="168" fontId="48" fillId="2" borderId="3" xfId="0" applyNumberFormat="1" applyFont="1" applyFill="1" applyBorder="1" applyAlignment="1" applyProtection="1">
      <alignment horizontal="center"/>
      <protection/>
    </xf>
    <xf numFmtId="168" fontId="48" fillId="2" borderId="4" xfId="0" applyNumberFormat="1" applyFont="1" applyFill="1" applyBorder="1" applyAlignment="1" applyProtection="1">
      <alignment horizontal="center"/>
      <protection/>
    </xf>
    <xf numFmtId="0" fontId="48" fillId="2" borderId="4" xfId="0" applyFont="1" applyFill="1" applyBorder="1" applyAlignment="1">
      <alignment/>
    </xf>
    <xf numFmtId="171" fontId="48" fillId="2" borderId="3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53" fillId="3" borderId="18" xfId="0" applyFont="1" applyFill="1" applyBorder="1" applyAlignment="1">
      <alignment horizontal="center" vertical="center" wrapText="1"/>
    </xf>
    <xf numFmtId="0" fontId="54" fillId="3" borderId="16" xfId="0" applyFont="1" applyFill="1" applyBorder="1" applyAlignment="1">
      <alignment/>
    </xf>
    <xf numFmtId="0" fontId="54" fillId="3" borderId="3" xfId="0" applyFont="1" applyFill="1" applyBorder="1" applyAlignment="1">
      <alignment/>
    </xf>
    <xf numFmtId="0" fontId="53" fillId="4" borderId="18" xfId="0" applyFont="1" applyFill="1" applyBorder="1" applyAlignment="1">
      <alignment horizontal="center" vertical="center" wrapText="1"/>
    </xf>
    <xf numFmtId="0" fontId="54" fillId="4" borderId="16" xfId="0" applyFont="1" applyFill="1" applyBorder="1" applyAlignment="1">
      <alignment/>
    </xf>
    <xf numFmtId="0" fontId="54" fillId="4" borderId="3" xfId="0" applyFont="1" applyFill="1" applyBorder="1" applyAlignment="1">
      <alignment/>
    </xf>
    <xf numFmtId="0" fontId="27" fillId="5" borderId="18" xfId="0" applyFont="1" applyFill="1" applyBorder="1" applyAlignment="1" applyProtection="1">
      <alignment horizontal="centerContinuous" vertical="center" wrapText="1"/>
      <protection/>
    </xf>
    <xf numFmtId="0" fontId="25" fillId="5" borderId="19" xfId="0" applyFont="1" applyFill="1" applyBorder="1" applyAlignment="1">
      <alignment horizontal="centerContinuous"/>
    </xf>
    <xf numFmtId="0" fontId="27" fillId="5" borderId="21" xfId="0" applyFont="1" applyFill="1" applyBorder="1" applyAlignment="1">
      <alignment horizontal="centerContinuous" vertical="center"/>
    </xf>
    <xf numFmtId="0" fontId="56" fillId="5" borderId="24" xfId="0" applyFont="1" applyFill="1" applyBorder="1" applyAlignment="1">
      <alignment horizontal="center"/>
    </xf>
    <xf numFmtId="0" fontId="56" fillId="5" borderId="25" xfId="0" applyFont="1" applyFill="1" applyBorder="1" applyAlignment="1">
      <alignment/>
    </xf>
    <xf numFmtId="0" fontId="56" fillId="5" borderId="26" xfId="0" applyFont="1" applyFill="1" applyBorder="1" applyAlignment="1">
      <alignment/>
    </xf>
    <xf numFmtId="0" fontId="56" fillId="5" borderId="27" xfId="0" applyFont="1" applyFill="1" applyBorder="1" applyAlignment="1">
      <alignment horizontal="center"/>
    </xf>
    <xf numFmtId="0" fontId="56" fillId="5" borderId="28" xfId="0" applyFont="1" applyFill="1" applyBorder="1" applyAlignment="1">
      <alignment/>
    </xf>
    <xf numFmtId="0" fontId="56" fillId="5" borderId="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0" fontId="27" fillId="6" borderId="18" xfId="0" applyFont="1" applyFill="1" applyBorder="1" applyAlignment="1" applyProtection="1">
      <alignment horizontal="centerContinuous" vertical="center" wrapText="1"/>
      <protection/>
    </xf>
    <xf numFmtId="0" fontId="25" fillId="6" borderId="19" xfId="0" applyFont="1" applyFill="1" applyBorder="1" applyAlignment="1">
      <alignment horizontal="centerContinuous"/>
    </xf>
    <xf numFmtId="0" fontId="27" fillId="6" borderId="21" xfId="0" applyFont="1" applyFill="1" applyBorder="1" applyAlignment="1">
      <alignment horizontal="centerContinuous" vertical="center"/>
    </xf>
    <xf numFmtId="0" fontId="56" fillId="6" borderId="24" xfId="0" applyFont="1" applyFill="1" applyBorder="1" applyAlignment="1">
      <alignment horizontal="center"/>
    </xf>
    <xf numFmtId="0" fontId="56" fillId="6" borderId="25" xfId="0" applyFont="1" applyFill="1" applyBorder="1" applyAlignment="1">
      <alignment/>
    </xf>
    <xf numFmtId="0" fontId="56" fillId="6" borderId="26" xfId="0" applyFont="1" applyFill="1" applyBorder="1" applyAlignment="1">
      <alignment/>
    </xf>
    <xf numFmtId="0" fontId="56" fillId="6" borderId="27" xfId="0" applyFont="1" applyFill="1" applyBorder="1" applyAlignment="1">
      <alignment horizontal="center"/>
    </xf>
    <xf numFmtId="0" fontId="56" fillId="6" borderId="28" xfId="0" applyFont="1" applyFill="1" applyBorder="1" applyAlignment="1">
      <alignment/>
    </xf>
    <xf numFmtId="0" fontId="56" fillId="6" borderId="6" xfId="0" applyFont="1" applyFill="1" applyBorder="1" applyAlignment="1">
      <alignment/>
    </xf>
    <xf numFmtId="0" fontId="27" fillId="5" borderId="18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56" fillId="7" borderId="16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0" fontId="53" fillId="8" borderId="18" xfId="0" applyFont="1" applyFill="1" applyBorder="1" applyAlignment="1">
      <alignment horizontal="center" vertical="center" wrapText="1"/>
    </xf>
    <xf numFmtId="0" fontId="54" fillId="8" borderId="16" xfId="0" applyFont="1" applyFill="1" applyBorder="1" applyAlignment="1">
      <alignment/>
    </xf>
    <xf numFmtId="0" fontId="54" fillId="8" borderId="3" xfId="0" applyFont="1" applyFill="1" applyBorder="1" applyAlignment="1">
      <alignment/>
    </xf>
    <xf numFmtId="2" fontId="52" fillId="3" borderId="18" xfId="0" applyNumberFormat="1" applyFont="1" applyFill="1" applyBorder="1" applyAlignment="1">
      <alignment horizontal="center"/>
    </xf>
    <xf numFmtId="2" fontId="52" fillId="4" borderId="18" xfId="0" applyNumberFormat="1" applyFont="1" applyFill="1" applyBorder="1" applyAlignment="1">
      <alignment horizontal="center"/>
    </xf>
    <xf numFmtId="168" fontId="57" fillId="5" borderId="18" xfId="0" applyNumberFormat="1" applyFont="1" applyFill="1" applyBorder="1" applyAlignment="1" applyProtection="1" quotePrefix="1">
      <alignment horizontal="center"/>
      <protection/>
    </xf>
    <xf numFmtId="4" fontId="57" fillId="5" borderId="18" xfId="0" applyNumberFormat="1" applyFont="1" applyFill="1" applyBorder="1" applyAlignment="1">
      <alignment horizontal="center"/>
    </xf>
    <xf numFmtId="168" fontId="57" fillId="6" borderId="18" xfId="0" applyNumberFormat="1" applyFont="1" applyFill="1" applyBorder="1" applyAlignment="1" applyProtection="1" quotePrefix="1">
      <alignment horizontal="center"/>
      <protection/>
    </xf>
    <xf numFmtId="4" fontId="57" fillId="6" borderId="18" xfId="0" applyNumberFormat="1" applyFont="1" applyFill="1" applyBorder="1" applyAlignment="1">
      <alignment horizontal="center"/>
    </xf>
    <xf numFmtId="168" fontId="57" fillId="7" borderId="18" xfId="0" applyNumberFormat="1" applyFont="1" applyFill="1" applyBorder="1" applyAlignment="1" applyProtection="1" quotePrefix="1">
      <alignment horizontal="center"/>
      <protection/>
    </xf>
    <xf numFmtId="4" fontId="52" fillId="8" borderId="18" xfId="0" applyNumberFormat="1" applyFont="1" applyFill="1" applyBorder="1" applyAlignment="1">
      <alignment horizontal="center"/>
    </xf>
    <xf numFmtId="0" fontId="53" fillId="8" borderId="18" xfId="0" applyFont="1" applyFill="1" applyBorder="1" applyAlignment="1" applyProtection="1">
      <alignment horizontal="center" vertical="center"/>
      <protection/>
    </xf>
    <xf numFmtId="4" fontId="52" fillId="8" borderId="3" xfId="0" applyNumberFormat="1" applyFont="1" applyFill="1" applyBorder="1" applyAlignment="1" applyProtection="1">
      <alignment horizontal="center"/>
      <protection/>
    </xf>
    <xf numFmtId="0" fontId="53" fillId="9" borderId="20" xfId="0" applyFont="1" applyFill="1" applyBorder="1" applyAlignment="1" applyProtection="1">
      <alignment horizontal="centerContinuous" vertical="center" wrapText="1"/>
      <protection/>
    </xf>
    <xf numFmtId="168" fontId="52" fillId="9" borderId="27" xfId="0" applyNumberFormat="1" applyFont="1" applyFill="1" applyBorder="1" applyAlignment="1" applyProtection="1" quotePrefix="1">
      <alignment horizontal="center"/>
      <protection/>
    </xf>
    <xf numFmtId="168" fontId="52" fillId="9" borderId="8" xfId="0" applyNumberFormat="1" applyFont="1" applyFill="1" applyBorder="1" applyAlignment="1" applyProtection="1" quotePrefix="1">
      <alignment horizontal="center"/>
      <protection/>
    </xf>
    <xf numFmtId="0" fontId="53" fillId="3" borderId="20" xfId="0" applyFont="1" applyFill="1" applyBorder="1" applyAlignment="1" applyProtection="1">
      <alignment horizontal="centerContinuous" vertical="center" wrapText="1"/>
      <protection/>
    </xf>
    <xf numFmtId="0" fontId="53" fillId="3" borderId="21" xfId="0" applyFont="1" applyFill="1" applyBorder="1" applyAlignment="1">
      <alignment horizontal="centerContinuous" vertical="center"/>
    </xf>
    <xf numFmtId="168" fontId="52" fillId="3" borderId="27" xfId="0" applyNumberFormat="1" applyFont="1" applyFill="1" applyBorder="1" applyAlignment="1" applyProtection="1" quotePrefix="1">
      <alignment horizontal="center"/>
      <protection/>
    </xf>
    <xf numFmtId="168" fontId="52" fillId="3" borderId="8" xfId="0" applyNumberFormat="1" applyFont="1" applyFill="1" applyBorder="1" applyAlignment="1" applyProtection="1" quotePrefix="1">
      <alignment horizontal="center"/>
      <protection/>
    </xf>
    <xf numFmtId="168" fontId="50" fillId="5" borderId="3" xfId="0" applyNumberFormat="1" applyFont="1" applyFill="1" applyBorder="1" applyAlignment="1" applyProtection="1" quotePrefix="1">
      <alignment horizontal="center"/>
      <protection/>
    </xf>
    <xf numFmtId="168" fontId="57" fillId="6" borderId="3" xfId="0" applyNumberFormat="1" applyFont="1" applyFill="1" applyBorder="1" applyAlignment="1" applyProtection="1" quotePrefix="1">
      <alignment horizontal="center"/>
      <protection/>
    </xf>
    <xf numFmtId="0" fontId="58" fillId="0" borderId="9" xfId="0" applyFont="1" applyBorder="1" applyAlignment="1">
      <alignment/>
    </xf>
    <xf numFmtId="0" fontId="53" fillId="6" borderId="18" xfId="0" applyFont="1" applyFill="1" applyBorder="1" applyAlignment="1" applyProtection="1">
      <alignment horizontal="center" vertical="center"/>
      <protection/>
    </xf>
    <xf numFmtId="164" fontId="52" fillId="6" borderId="3" xfId="0" applyNumberFormat="1" applyFont="1" applyFill="1" applyBorder="1" applyAlignment="1" applyProtection="1">
      <alignment horizontal="center"/>
      <protection/>
    </xf>
    <xf numFmtId="168" fontId="7" fillId="0" borderId="26" xfId="0" applyNumberFormat="1" applyFont="1" applyFill="1" applyBorder="1" applyAlignment="1" applyProtection="1">
      <alignment horizontal="center"/>
      <protection/>
    </xf>
    <xf numFmtId="164" fontId="52" fillId="6" borderId="16" xfId="0" applyNumberFormat="1" applyFont="1" applyFill="1" applyBorder="1" applyAlignment="1" applyProtection="1">
      <alignment horizontal="center"/>
      <protection/>
    </xf>
    <xf numFmtId="168" fontId="10" fillId="0" borderId="16" xfId="0" applyNumberFormat="1" applyFont="1" applyFill="1" applyBorder="1" applyAlignment="1">
      <alignment horizontal="center"/>
    </xf>
    <xf numFmtId="2" fontId="57" fillId="5" borderId="16" xfId="0" applyNumberFormat="1" applyFont="1" applyFill="1" applyBorder="1" applyAlignment="1">
      <alignment horizontal="center"/>
    </xf>
    <xf numFmtId="2" fontId="57" fillId="5" borderId="3" xfId="0" applyNumberFormat="1" applyFont="1" applyFill="1" applyBorder="1" applyAlignment="1">
      <alignment horizontal="center"/>
    </xf>
    <xf numFmtId="168" fontId="52" fillId="3" borderId="24" xfId="0" applyNumberFormat="1" applyFont="1" applyFill="1" applyBorder="1" applyAlignment="1" applyProtection="1" quotePrefix="1">
      <alignment horizontal="center"/>
      <protection/>
    </xf>
    <xf numFmtId="168" fontId="52" fillId="3" borderId="29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53" fillId="8" borderId="18" xfId="0" applyFont="1" applyFill="1" applyBorder="1" applyAlignment="1" applyProtection="1">
      <alignment horizontal="centerContinuous" vertical="center" wrapText="1"/>
      <protection/>
    </xf>
    <xf numFmtId="168" fontId="52" fillId="8" borderId="16" xfId="0" applyNumberFormat="1" applyFont="1" applyFill="1" applyBorder="1" applyAlignment="1" applyProtection="1" quotePrefix="1">
      <alignment horizontal="center"/>
      <protection/>
    </xf>
    <xf numFmtId="168" fontId="52" fillId="8" borderId="3" xfId="0" applyNumberFormat="1" applyFont="1" applyFill="1" applyBorder="1" applyAlignment="1" applyProtection="1" quotePrefix="1">
      <alignment horizontal="center"/>
      <protection/>
    </xf>
    <xf numFmtId="2" fontId="57" fillId="5" borderId="18" xfId="0" applyNumberFormat="1" applyFont="1" applyFill="1" applyBorder="1" applyAlignment="1">
      <alignment horizontal="center"/>
    </xf>
    <xf numFmtId="2" fontId="52" fillId="8" borderId="18" xfId="0" applyNumberFormat="1" applyFont="1" applyFill="1" applyBorder="1" applyAlignment="1">
      <alignment horizontal="center"/>
    </xf>
    <xf numFmtId="0" fontId="59" fillId="2" borderId="16" xfId="0" applyFont="1" applyFill="1" applyBorder="1" applyAlignment="1">
      <alignment/>
    </xf>
    <xf numFmtId="0" fontId="59" fillId="2" borderId="3" xfId="0" applyFont="1" applyFill="1" applyBorder="1" applyAlignment="1">
      <alignment/>
    </xf>
    <xf numFmtId="168" fontId="60" fillId="2" borderId="3" xfId="0" applyNumberFormat="1" applyFont="1" applyFill="1" applyBorder="1" applyAlignment="1" applyProtection="1">
      <alignment horizontal="center"/>
      <protection/>
    </xf>
    <xf numFmtId="168" fontId="60" fillId="2" borderId="4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7" fontId="0" fillId="0" borderId="16" xfId="0" applyNumberFormat="1" applyBorder="1" applyAlignment="1">
      <alignment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30" xfId="0" applyFont="1" applyBorder="1" applyAlignment="1" applyProtection="1">
      <alignment horizontal="left"/>
      <protection/>
    </xf>
    <xf numFmtId="171" fontId="0" fillId="0" borderId="31" xfId="0" applyNumberFormat="1" applyFont="1" applyBorder="1" applyAlignment="1" applyProtection="1">
      <alignment horizontal="centerContinuous"/>
      <protection/>
    </xf>
    <xf numFmtId="0" fontId="10" fillId="0" borderId="32" xfId="0" applyFont="1" applyBorder="1" applyAlignment="1">
      <alignment horizontal="centerContinuous"/>
    </xf>
    <xf numFmtId="0" fontId="10" fillId="0" borderId="33" xfId="0" applyFont="1" applyFill="1" applyBorder="1" applyAlignment="1">
      <alignment/>
    </xf>
    <xf numFmtId="0" fontId="10" fillId="0" borderId="34" xfId="0" applyFont="1" applyBorder="1" applyAlignment="1" applyProtection="1">
      <alignment horizontal="right"/>
      <protection/>
    </xf>
    <xf numFmtId="173" fontId="1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171" fontId="25" fillId="0" borderId="37" xfId="0" applyNumberFormat="1" applyFont="1" applyBorder="1" applyAlignment="1">
      <alignment horizontal="centerContinuous"/>
    </xf>
    <xf numFmtId="0" fontId="10" fillId="0" borderId="38" xfId="0" applyFont="1" applyBorder="1" applyAlignment="1">
      <alignment horizontal="centerContinuous"/>
    </xf>
    <xf numFmtId="0" fontId="10" fillId="0" borderId="39" xfId="0" applyFont="1" applyFill="1" applyBorder="1" applyAlignment="1">
      <alignment/>
    </xf>
    <xf numFmtId="168" fontId="10" fillId="0" borderId="40" xfId="0" applyNumberFormat="1" applyFont="1" applyBorder="1" applyAlignment="1" applyProtection="1">
      <alignment horizontal="right"/>
      <protection/>
    </xf>
    <xf numFmtId="171" fontId="10" fillId="0" borderId="41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171" fontId="25" fillId="0" borderId="40" xfId="0" applyNumberFormat="1" applyFont="1" applyBorder="1" applyAlignment="1">
      <alignment horizontal="centerContinuous"/>
    </xf>
    <xf numFmtId="0" fontId="10" fillId="0" borderId="43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44" xfId="0" applyNumberFormat="1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/>
      <protection/>
    </xf>
    <xf numFmtId="2" fontId="10" fillId="0" borderId="37" xfId="0" applyNumberFormat="1" applyFont="1" applyBorder="1" applyAlignment="1" applyProtection="1">
      <alignment horizontal="center"/>
      <protection/>
    </xf>
    <xf numFmtId="168" fontId="10" fillId="0" borderId="37" xfId="0" applyNumberFormat="1" applyFont="1" applyBorder="1" applyAlignment="1" applyProtection="1">
      <alignment horizontal="center"/>
      <protection/>
    </xf>
    <xf numFmtId="7" fontId="19" fillId="0" borderId="46" xfId="0" applyNumberFormat="1" applyFont="1" applyBorder="1" applyAlignment="1">
      <alignment horizontal="center"/>
    </xf>
    <xf numFmtId="0" fontId="10" fillId="0" borderId="47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2" fontId="10" fillId="0" borderId="48" xfId="0" applyNumberFormat="1" applyFont="1" applyBorder="1" applyAlignment="1" applyProtection="1">
      <alignment horizontal="center"/>
      <protection/>
    </xf>
    <xf numFmtId="168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right"/>
      <protection/>
    </xf>
    <xf numFmtId="7" fontId="10" fillId="0" borderId="49" xfId="0" applyNumberFormat="1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/>
      <protection/>
    </xf>
    <xf numFmtId="2" fontId="10" fillId="0" borderId="44" xfId="0" applyNumberFormat="1" applyFont="1" applyBorder="1" applyAlignment="1" applyProtection="1">
      <alignment horizontal="center"/>
      <protection/>
    </xf>
    <xf numFmtId="168" fontId="10" fillId="0" borderId="44" xfId="0" applyNumberFormat="1" applyFont="1" applyBorder="1" applyAlignment="1" applyProtection="1">
      <alignment horizontal="center"/>
      <protection/>
    </xf>
    <xf numFmtId="7" fontId="10" fillId="0" borderId="44" xfId="0" applyNumberFormat="1" applyFont="1" applyBorder="1" applyAlignment="1" applyProtection="1">
      <alignment horizontal="center"/>
      <protection/>
    </xf>
    <xf numFmtId="7" fontId="10" fillId="0" borderId="44" xfId="0" applyNumberFormat="1" applyFont="1" applyBorder="1" applyAlignment="1" applyProtection="1">
      <alignment horizontal="centerContinuous"/>
      <protection/>
    </xf>
    <xf numFmtId="0" fontId="10" fillId="0" borderId="44" xfId="0" applyFont="1" applyBorder="1" applyAlignment="1" applyProtection="1">
      <alignment horizontal="centerContinuous"/>
      <protection/>
    </xf>
    <xf numFmtId="0" fontId="10" fillId="0" borderId="44" xfId="0" applyFont="1" applyBorder="1" applyAlignment="1" applyProtection="1">
      <alignment horizontal="right"/>
      <protection/>
    </xf>
    <xf numFmtId="7" fontId="10" fillId="0" borderId="51" xfId="0" applyNumberFormat="1" applyFont="1" applyBorder="1" applyAlignment="1" applyProtection="1">
      <alignment horizontal="center"/>
      <protection/>
    </xf>
    <xf numFmtId="7" fontId="10" fillId="0" borderId="46" xfId="0" applyNumberFormat="1" applyFont="1" applyBorder="1" applyAlignment="1" applyProtection="1">
      <alignment horizontal="center"/>
      <protection/>
    </xf>
    <xf numFmtId="0" fontId="0" fillId="0" borderId="45" xfId="0" applyBorder="1" applyAlignment="1">
      <alignment horizontal="centerContinuous"/>
    </xf>
    <xf numFmtId="0" fontId="10" fillId="0" borderId="37" xfId="0" applyFont="1" applyBorder="1" applyAlignment="1" applyProtection="1">
      <alignment horizontal="centerContinuous"/>
      <protection/>
    </xf>
    <xf numFmtId="0" fontId="0" fillId="0" borderId="37" xfId="0" applyBorder="1" applyAlignment="1">
      <alignment horizontal="center"/>
    </xf>
    <xf numFmtId="168" fontId="10" fillId="0" borderId="45" xfId="0" applyNumberFormat="1" applyFont="1" applyBorder="1" applyAlignment="1" applyProtection="1">
      <alignment horizontal="centerContinuous"/>
      <protection/>
    </xf>
    <xf numFmtId="2" fontId="22" fillId="0" borderId="52" xfId="0" applyNumberFormat="1" applyFont="1" applyBorder="1" applyAlignment="1">
      <alignment horizontal="centerContinuous"/>
    </xf>
    <xf numFmtId="7" fontId="10" fillId="0" borderId="47" xfId="0" applyNumberFormat="1" applyFont="1" applyBorder="1" applyAlignment="1">
      <alignment horizontal="centerContinuous"/>
    </xf>
    <xf numFmtId="168" fontId="10" fillId="0" borderId="48" xfId="0" applyNumberFormat="1" applyFont="1" applyBorder="1" applyAlignment="1" applyProtection="1" quotePrefix="1">
      <alignment horizontal="center"/>
      <protection/>
    </xf>
    <xf numFmtId="7" fontId="10" fillId="0" borderId="47" xfId="0" applyNumberFormat="1" applyFont="1" applyBorder="1" applyAlignment="1" applyProtection="1">
      <alignment horizontal="centerContinuous"/>
      <protection/>
    </xf>
    <xf numFmtId="2" fontId="22" fillId="0" borderId="53" xfId="0" applyNumberFormat="1" applyFont="1" applyBorder="1" applyAlignment="1">
      <alignment horizontal="centerContinuous"/>
    </xf>
    <xf numFmtId="0" fontId="10" fillId="0" borderId="54" xfId="0" applyFont="1" applyBorder="1" applyAlignment="1" applyProtection="1">
      <alignment horizontal="center"/>
      <protection/>
    </xf>
    <xf numFmtId="7" fontId="10" fillId="0" borderId="55" xfId="0" applyNumberFormat="1" applyFont="1" applyBorder="1" applyAlignment="1" applyProtection="1">
      <alignment horizontal="center"/>
      <protection/>
    </xf>
    <xf numFmtId="7" fontId="10" fillId="0" borderId="54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4" xfId="0" applyNumberFormat="1" applyFont="1" applyBorder="1" applyAlignment="1" applyProtection="1">
      <alignment horizontal="centerContinuous"/>
      <protection/>
    </xf>
    <xf numFmtId="2" fontId="22" fillId="0" borderId="56" xfId="0" applyNumberFormat="1" applyFont="1" applyBorder="1" applyAlignment="1">
      <alignment horizontal="centerContinuous"/>
    </xf>
    <xf numFmtId="7" fontId="10" fillId="0" borderId="50" xfId="0" applyNumberFormat="1" applyFont="1" applyBorder="1" applyAlignment="1">
      <alignment horizontal="centerContinuous"/>
    </xf>
    <xf numFmtId="168" fontId="10" fillId="0" borderId="44" xfId="0" applyNumberFormat="1" applyFont="1" applyBorder="1" applyAlignment="1" applyProtection="1" quotePrefix="1">
      <alignment horizontal="center"/>
      <protection/>
    </xf>
    <xf numFmtId="7" fontId="10" fillId="0" borderId="50" xfId="0" applyNumberFormat="1" applyFont="1" applyBorder="1" applyAlignment="1" applyProtection="1">
      <alignment horizontal="centerContinuous"/>
      <protection/>
    </xf>
    <xf numFmtId="2" fontId="22" fillId="0" borderId="28" xfId="0" applyNumberFormat="1" applyFont="1" applyBorder="1" applyAlignment="1">
      <alignment horizontal="centerContinuous"/>
    </xf>
    <xf numFmtId="7" fontId="10" fillId="0" borderId="45" xfId="0" applyNumberFormat="1" applyFont="1" applyBorder="1" applyAlignment="1" applyProtection="1">
      <alignment horizontal="centerContinuous"/>
      <protection/>
    </xf>
    <xf numFmtId="5" fontId="8" fillId="0" borderId="20" xfId="0" applyNumberFormat="1" applyFont="1" applyBorder="1" applyAlignment="1" applyProtection="1">
      <alignment horizontal="center"/>
      <protection/>
    </xf>
    <xf numFmtId="7" fontId="8" fillId="0" borderId="21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2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37" xfId="0" applyNumberFormat="1" applyFont="1" applyBorder="1" applyAlignment="1" applyProtection="1">
      <alignment horizontal="centerContinuous"/>
      <protection/>
    </xf>
    <xf numFmtId="2" fontId="10" fillId="0" borderId="52" xfId="0" applyNumberFormat="1" applyFont="1" applyBorder="1" applyAlignment="1" applyProtection="1">
      <alignment horizontal="centerContinuous"/>
      <protection/>
    </xf>
    <xf numFmtId="2" fontId="10" fillId="0" borderId="48" xfId="0" applyNumberFormat="1" applyFont="1" applyBorder="1" applyAlignment="1" applyProtection="1">
      <alignment horizontal="centerContinuous"/>
      <protection/>
    </xf>
    <xf numFmtId="2" fontId="10" fillId="0" borderId="53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44" xfId="0" applyNumberFormat="1" applyFont="1" applyBorder="1" applyAlignment="1" applyProtection="1">
      <alignment horizontal="centerContinuous"/>
      <protection/>
    </xf>
    <xf numFmtId="2" fontId="10" fillId="0" borderId="28" xfId="0" applyNumberFormat="1" applyFont="1" applyBorder="1" applyAlignment="1" applyProtection="1">
      <alignment horizontal="centerContinuous"/>
      <protection/>
    </xf>
    <xf numFmtId="0" fontId="0" fillId="0" borderId="20" xfId="0" applyFont="1" applyBorder="1" applyAlignment="1" applyProtection="1">
      <alignment horizontal="center" vertical="center"/>
      <protection/>
    </xf>
    <xf numFmtId="173" fontId="0" fillId="0" borderId="20" xfId="0" applyNumberFormat="1" applyFont="1" applyBorder="1" applyAlignment="1">
      <alignment horizontal="centerContinuous" vertical="center"/>
    </xf>
    <xf numFmtId="0" fontId="1" fillId="0" borderId="21" xfId="0" applyFont="1" applyBorder="1" applyAlignment="1" applyProtection="1">
      <alignment horizontal="centerContinuous" vertical="center"/>
      <protection/>
    </xf>
    <xf numFmtId="167" fontId="0" fillId="0" borderId="21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7" fillId="0" borderId="58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/>
      <protection locked="0"/>
    </xf>
    <xf numFmtId="0" fontId="7" fillId="0" borderId="60" xfId="0" applyFont="1" applyBorder="1" applyAlignment="1" applyProtection="1">
      <alignment horizontal="center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2" fillId="3" borderId="4" xfId="0" applyNumberFormat="1" applyFont="1" applyFill="1" applyBorder="1" applyAlignment="1" applyProtection="1" quotePrefix="1">
      <alignment horizontal="center"/>
      <protection locked="0"/>
    </xf>
    <xf numFmtId="168" fontId="52" fillId="4" borderId="4" xfId="0" applyNumberFormat="1" applyFont="1" applyFill="1" applyBorder="1" applyAlignment="1" applyProtection="1" quotePrefix="1">
      <alignment horizontal="center"/>
      <protection locked="0"/>
    </xf>
    <xf numFmtId="168" fontId="57" fillId="5" borderId="61" xfId="0" applyNumberFormat="1" applyFont="1" applyFill="1" applyBorder="1" applyAlignment="1" applyProtection="1" quotePrefix="1">
      <alignment horizontal="center"/>
      <protection locked="0"/>
    </xf>
    <xf numFmtId="4" fontId="57" fillId="5" borderId="62" xfId="0" applyNumberFormat="1" applyFont="1" applyFill="1" applyBorder="1" applyAlignment="1" applyProtection="1">
      <alignment horizontal="center"/>
      <protection locked="0"/>
    </xf>
    <xf numFmtId="4" fontId="57" fillId="5" borderId="63" xfId="0" applyNumberFormat="1" applyFont="1" applyFill="1" applyBorder="1" applyAlignment="1" applyProtection="1">
      <alignment horizontal="center"/>
      <protection locked="0"/>
    </xf>
    <xf numFmtId="168" fontId="57" fillId="6" borderId="61" xfId="0" applyNumberFormat="1" applyFont="1" applyFill="1" applyBorder="1" applyAlignment="1" applyProtection="1" quotePrefix="1">
      <alignment horizontal="center"/>
      <protection locked="0"/>
    </xf>
    <xf numFmtId="4" fontId="57" fillId="6" borderId="62" xfId="0" applyNumberFormat="1" applyFont="1" applyFill="1" applyBorder="1" applyAlignment="1" applyProtection="1">
      <alignment horizontal="center"/>
      <protection locked="0"/>
    </xf>
    <xf numFmtId="4" fontId="57" fillId="6" borderId="63" xfId="0" applyNumberFormat="1" applyFont="1" applyFill="1" applyBorder="1" applyAlignment="1" applyProtection="1">
      <alignment horizontal="center"/>
      <protection locked="0"/>
    </xf>
    <xf numFmtId="4" fontId="57" fillId="7" borderId="4" xfId="0" applyNumberFormat="1" applyFont="1" applyFill="1" applyBorder="1" applyAlignment="1" applyProtection="1">
      <alignment horizontal="center"/>
      <protection locked="0"/>
    </xf>
    <xf numFmtId="4" fontId="52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4" fillId="3" borderId="3" xfId="0" applyFont="1" applyFill="1" applyBorder="1" applyAlignment="1" applyProtection="1">
      <alignment/>
      <protection locked="0"/>
    </xf>
    <xf numFmtId="0" fontId="54" fillId="4" borderId="3" xfId="0" applyFont="1" applyFill="1" applyBorder="1" applyAlignment="1" applyProtection="1">
      <alignment/>
      <protection locked="0"/>
    </xf>
    <xf numFmtId="0" fontId="56" fillId="5" borderId="27" xfId="0" applyFont="1" applyFill="1" applyBorder="1" applyAlignment="1" applyProtection="1">
      <alignment horizontal="center"/>
      <protection locked="0"/>
    </xf>
    <xf numFmtId="0" fontId="56" fillId="5" borderId="28" xfId="0" applyFont="1" applyFill="1" applyBorder="1" applyAlignment="1" applyProtection="1">
      <alignment/>
      <protection locked="0"/>
    </xf>
    <xf numFmtId="0" fontId="56" fillId="5" borderId="6" xfId="0" applyFont="1" applyFill="1" applyBorder="1" applyAlignment="1" applyProtection="1">
      <alignment/>
      <protection locked="0"/>
    </xf>
    <xf numFmtId="0" fontId="56" fillId="6" borderId="27" xfId="0" applyFont="1" applyFill="1" applyBorder="1" applyAlignment="1" applyProtection="1">
      <alignment horizontal="center"/>
      <protection locked="0"/>
    </xf>
    <xf numFmtId="0" fontId="56" fillId="6" borderId="28" xfId="0" applyFont="1" applyFill="1" applyBorder="1" applyAlignment="1" applyProtection="1">
      <alignment/>
      <protection locked="0"/>
    </xf>
    <xf numFmtId="0" fontId="56" fillId="6" borderId="6" xfId="0" applyFont="1" applyFill="1" applyBorder="1" applyAlignment="1" applyProtection="1">
      <alignment/>
      <protection locked="0"/>
    </xf>
    <xf numFmtId="0" fontId="56" fillId="7" borderId="3" xfId="0" applyFont="1" applyFill="1" applyBorder="1" applyAlignment="1" applyProtection="1">
      <alignment/>
      <protection locked="0"/>
    </xf>
    <xf numFmtId="0" fontId="54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18" xfId="0" applyFont="1" applyFill="1" applyBorder="1" applyAlignment="1" applyProtection="1">
      <alignment horizontal="center" vertical="center" wrapText="1"/>
      <protection/>
    </xf>
    <xf numFmtId="0" fontId="27" fillId="10" borderId="18" xfId="0" applyFont="1" applyFill="1" applyBorder="1" applyAlignment="1" applyProtection="1">
      <alignment horizontal="center" vertical="center" wrapText="1"/>
      <protection/>
    </xf>
    <xf numFmtId="0" fontId="53" fillId="9" borderId="21" xfId="0" applyFont="1" applyFill="1" applyBorder="1" applyAlignment="1" applyProtection="1">
      <alignment horizontal="centerContinuous" vertical="center"/>
      <protection/>
    </xf>
    <xf numFmtId="0" fontId="53" fillId="3" borderId="21" xfId="0" applyFont="1" applyFill="1" applyBorder="1" applyAlignment="1" applyProtection="1">
      <alignment horizontal="centerContinuous" vertical="center"/>
      <protection/>
    </xf>
    <xf numFmtId="0" fontId="49" fillId="5" borderId="18" xfId="0" applyFont="1" applyFill="1" applyBorder="1" applyAlignment="1" applyProtection="1">
      <alignment horizontal="center" vertical="center" wrapText="1"/>
      <protection/>
    </xf>
    <xf numFmtId="0" fontId="27" fillId="6" borderId="18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0" fontId="48" fillId="2" borderId="16" xfId="0" applyFont="1" applyFill="1" applyBorder="1" applyAlignment="1" applyProtection="1">
      <alignment/>
      <protection/>
    </xf>
    <xf numFmtId="0" fontId="52" fillId="8" borderId="16" xfId="0" applyFont="1" applyFill="1" applyBorder="1" applyAlignment="1" applyProtection="1">
      <alignment/>
      <protection/>
    </xf>
    <xf numFmtId="0" fontId="57" fillId="7" borderId="16" xfId="0" applyFont="1" applyFill="1" applyBorder="1" applyAlignment="1" applyProtection="1">
      <alignment/>
      <protection/>
    </xf>
    <xf numFmtId="0" fontId="57" fillId="10" borderId="16" xfId="0" applyFont="1" applyFill="1" applyBorder="1" applyAlignment="1" applyProtection="1">
      <alignment/>
      <protection/>
    </xf>
    <xf numFmtId="0" fontId="52" fillId="9" borderId="24" xfId="0" applyFont="1" applyFill="1" applyBorder="1" applyAlignment="1" applyProtection="1">
      <alignment horizontal="center"/>
      <protection/>
    </xf>
    <xf numFmtId="0" fontId="52" fillId="9" borderId="26" xfId="0" applyFont="1" applyFill="1" applyBorder="1" applyAlignment="1" applyProtection="1">
      <alignment/>
      <protection/>
    </xf>
    <xf numFmtId="0" fontId="52" fillId="3" borderId="24" xfId="0" applyFont="1" applyFill="1" applyBorder="1" applyAlignment="1" applyProtection="1">
      <alignment horizontal="center"/>
      <protection/>
    </xf>
    <xf numFmtId="0" fontId="52" fillId="3" borderId="26" xfId="0" applyFont="1" applyFill="1" applyBorder="1" applyAlignment="1" applyProtection="1">
      <alignment/>
      <protection/>
    </xf>
    <xf numFmtId="0" fontId="50" fillId="5" borderId="16" xfId="0" applyFont="1" applyFill="1" applyBorder="1" applyAlignment="1" applyProtection="1">
      <alignment/>
      <protection/>
    </xf>
    <xf numFmtId="0" fontId="57" fillId="6" borderId="16" xfId="0" applyFont="1" applyFill="1" applyBorder="1" applyAlignment="1" applyProtection="1">
      <alignment/>
      <protection/>
    </xf>
    <xf numFmtId="7" fontId="10" fillId="0" borderId="1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8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2" fillId="8" borderId="3" xfId="0" applyFont="1" applyFill="1" applyBorder="1" applyAlignment="1" applyProtection="1">
      <alignment/>
      <protection/>
    </xf>
    <xf numFmtId="0" fontId="57" fillId="7" borderId="3" xfId="0" applyFont="1" applyFill="1" applyBorder="1" applyAlignment="1" applyProtection="1">
      <alignment/>
      <protection/>
    </xf>
    <xf numFmtId="0" fontId="57" fillId="10" borderId="3" xfId="0" applyFont="1" applyFill="1" applyBorder="1" applyAlignment="1" applyProtection="1">
      <alignment/>
      <protection/>
    </xf>
    <xf numFmtId="0" fontId="52" fillId="9" borderId="27" xfId="0" applyFont="1" applyFill="1" applyBorder="1" applyAlignment="1" applyProtection="1">
      <alignment horizontal="center"/>
      <protection/>
    </xf>
    <xf numFmtId="0" fontId="52" fillId="9" borderId="6" xfId="0" applyFont="1" applyFill="1" applyBorder="1" applyAlignment="1" applyProtection="1">
      <alignment/>
      <protection/>
    </xf>
    <xf numFmtId="0" fontId="52" fillId="3" borderId="27" xfId="0" applyFont="1" applyFill="1" applyBorder="1" applyAlignment="1" applyProtection="1">
      <alignment horizontal="center"/>
      <protection/>
    </xf>
    <xf numFmtId="0" fontId="52" fillId="3" borderId="6" xfId="0" applyFont="1" applyFill="1" applyBorder="1" applyAlignment="1" applyProtection="1">
      <alignment/>
      <protection/>
    </xf>
    <xf numFmtId="0" fontId="50" fillId="5" borderId="3" xfId="0" applyFont="1" applyFill="1" applyBorder="1" applyAlignment="1" applyProtection="1">
      <alignment/>
      <protection/>
    </xf>
    <xf numFmtId="0" fontId="57" fillId="6" borderId="3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168" fontId="10" fillId="0" borderId="6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8" fillId="2" borderId="4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7" fontId="57" fillId="7" borderId="18" xfId="0" applyNumberFormat="1" applyFont="1" applyFill="1" applyBorder="1" applyAlignment="1" applyProtection="1">
      <alignment horizontal="center"/>
      <protection/>
    </xf>
    <xf numFmtId="7" fontId="57" fillId="10" borderId="18" xfId="0" applyNumberFormat="1" applyFont="1" applyFill="1" applyBorder="1" applyAlignment="1" applyProtection="1">
      <alignment horizontal="center"/>
      <protection/>
    </xf>
    <xf numFmtId="7" fontId="52" fillId="9" borderId="18" xfId="0" applyNumberFormat="1" applyFont="1" applyFill="1" applyBorder="1" applyAlignment="1" applyProtection="1">
      <alignment horizontal="center"/>
      <protection/>
    </xf>
    <xf numFmtId="7" fontId="52" fillId="3" borderId="18" xfId="0" applyNumberFormat="1" applyFont="1" applyFill="1" applyBorder="1" applyAlignment="1" applyProtection="1">
      <alignment horizontal="center"/>
      <protection/>
    </xf>
    <xf numFmtId="7" fontId="50" fillId="5" borderId="18" xfId="0" applyNumberFormat="1" applyFont="1" applyFill="1" applyBorder="1" applyAlignment="1" applyProtection="1">
      <alignment horizontal="center"/>
      <protection/>
    </xf>
    <xf numFmtId="7" fontId="57" fillId="6" borderId="18" xfId="0" applyNumberFormat="1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/>
      <protection/>
    </xf>
    <xf numFmtId="7" fontId="11" fillId="0" borderId="18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7" xfId="0" applyNumberFormat="1" applyFont="1" applyBorder="1" applyAlignment="1" applyProtection="1" quotePrefix="1">
      <alignment horizontal="center"/>
      <protection locked="0"/>
    </xf>
    <xf numFmtId="2" fontId="7" fillId="0" borderId="7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2" fillId="8" borderId="4" xfId="0" applyFont="1" applyFill="1" applyBorder="1" applyAlignment="1" applyProtection="1">
      <alignment/>
      <protection locked="0"/>
    </xf>
    <xf numFmtId="0" fontId="57" fillId="7" borderId="4" xfId="0" applyFont="1" applyFill="1" applyBorder="1" applyAlignment="1" applyProtection="1">
      <alignment/>
      <protection locked="0"/>
    </xf>
    <xf numFmtId="0" fontId="57" fillId="10" borderId="4" xfId="0" applyFont="1" applyFill="1" applyBorder="1" applyAlignment="1" applyProtection="1">
      <alignment/>
      <protection locked="0"/>
    </xf>
    <xf numFmtId="0" fontId="52" fillId="9" borderId="61" xfId="0" applyFont="1" applyFill="1" applyBorder="1" applyAlignment="1" applyProtection="1">
      <alignment/>
      <protection locked="0"/>
    </xf>
    <xf numFmtId="0" fontId="52" fillId="9" borderId="65" xfId="0" applyFont="1" applyFill="1" applyBorder="1" applyAlignment="1" applyProtection="1">
      <alignment/>
      <protection locked="0"/>
    </xf>
    <xf numFmtId="0" fontId="52" fillId="3" borderId="61" xfId="0" applyFont="1" applyFill="1" applyBorder="1" applyAlignment="1" applyProtection="1">
      <alignment/>
      <protection locked="0"/>
    </xf>
    <xf numFmtId="0" fontId="52" fillId="3" borderId="65" xfId="0" applyFont="1" applyFill="1" applyBorder="1" applyAlignment="1" applyProtection="1">
      <alignment/>
      <protection locked="0"/>
    </xf>
    <xf numFmtId="0" fontId="50" fillId="5" borderId="4" xfId="0" applyFont="1" applyFill="1" applyBorder="1" applyAlignment="1" applyProtection="1">
      <alignment/>
      <protection locked="0"/>
    </xf>
    <xf numFmtId="0" fontId="57" fillId="6" borderId="4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22" fontId="7" fillId="0" borderId="7" xfId="0" applyNumberFormat="1" applyFont="1" applyFill="1" applyBorder="1" applyAlignment="1" applyProtection="1">
      <alignment horizontal="center"/>
      <protection locked="0"/>
    </xf>
    <xf numFmtId="22" fontId="7" fillId="0" borderId="8" xfId="0" applyNumberFormat="1" applyFont="1" applyFill="1" applyBorder="1" applyAlignment="1" applyProtection="1">
      <alignment horizontal="center"/>
      <protection locked="0"/>
    </xf>
    <xf numFmtId="168" fontId="7" fillId="0" borderId="6" xfId="0" applyNumberFormat="1" applyFont="1" applyFill="1" applyBorder="1" applyAlignment="1" applyProtection="1">
      <alignment horizontal="center"/>
      <protection locked="0"/>
    </xf>
    <xf numFmtId="0" fontId="52" fillId="6" borderId="4" xfId="0" applyFont="1" applyFill="1" applyBorder="1" applyAlignment="1" applyProtection="1">
      <alignment/>
      <protection locked="0"/>
    </xf>
    <xf numFmtId="0" fontId="57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8" fontId="11" fillId="0" borderId="37" xfId="0" applyNumberFormat="1" applyFont="1" applyBorder="1" applyAlignment="1" applyProtection="1">
      <alignment horizontal="center"/>
      <protection/>
    </xf>
    <xf numFmtId="168" fontId="64" fillId="0" borderId="0" xfId="0" applyNumberFormat="1" applyFont="1" applyBorder="1" applyAlignment="1" applyProtection="1" quotePrefix="1">
      <alignment horizontal="left"/>
      <protection/>
    </xf>
    <xf numFmtId="168" fontId="64" fillId="0" borderId="48" xfId="0" applyNumberFormat="1" applyFont="1" applyBorder="1" applyAlignment="1" applyProtection="1" quotePrefix="1">
      <alignment horizontal="left"/>
      <protection/>
    </xf>
    <xf numFmtId="168" fontId="64" fillId="0" borderId="44" xfId="0" applyNumberFormat="1" applyFont="1" applyBorder="1" applyAlignment="1" applyProtection="1" quotePrefix="1">
      <alignment horizontal="left"/>
      <protection/>
    </xf>
    <xf numFmtId="168" fontId="11" fillId="0" borderId="37" xfId="0" applyNumberFormat="1" applyFont="1" applyBorder="1" applyAlignment="1" applyProtection="1">
      <alignment horizontal="left"/>
      <protection/>
    </xf>
    <xf numFmtId="177" fontId="11" fillId="0" borderId="37" xfId="0" applyNumberFormat="1" applyFont="1" applyBorder="1" applyAlignment="1" applyProtection="1">
      <alignment horizontal="right"/>
      <protection/>
    </xf>
    <xf numFmtId="177" fontId="11" fillId="0" borderId="46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7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18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2" fillId="3" borderId="3" xfId="0" applyNumberFormat="1" applyFont="1" applyFill="1" applyBorder="1" applyAlignment="1" applyProtection="1">
      <alignment horizontal="center"/>
      <protection/>
    </xf>
    <xf numFmtId="2" fontId="52" fillId="4" borderId="3" xfId="0" applyNumberFormat="1" applyFont="1" applyFill="1" applyBorder="1" applyAlignment="1" applyProtection="1">
      <alignment horizontal="center"/>
      <protection/>
    </xf>
    <xf numFmtId="168" fontId="57" fillId="5" borderId="27" xfId="0" applyNumberFormat="1" applyFont="1" applyFill="1" applyBorder="1" applyAlignment="1" applyProtection="1" quotePrefix="1">
      <alignment horizontal="center"/>
      <protection/>
    </xf>
    <xf numFmtId="168" fontId="57" fillId="5" borderId="28" xfId="0" applyNumberFormat="1" applyFont="1" applyFill="1" applyBorder="1" applyAlignment="1" applyProtection="1" quotePrefix="1">
      <alignment horizontal="center"/>
      <protection/>
    </xf>
    <xf numFmtId="4" fontId="57" fillId="5" borderId="6" xfId="0" applyNumberFormat="1" applyFont="1" applyFill="1" applyBorder="1" applyAlignment="1" applyProtection="1">
      <alignment horizontal="center"/>
      <protection/>
    </xf>
    <xf numFmtId="168" fontId="57" fillId="6" borderId="27" xfId="0" applyNumberFormat="1" applyFont="1" applyFill="1" applyBorder="1" applyAlignment="1" applyProtection="1" quotePrefix="1">
      <alignment horizontal="center"/>
      <protection/>
    </xf>
    <xf numFmtId="168" fontId="57" fillId="6" borderId="28" xfId="0" applyNumberFormat="1" applyFont="1" applyFill="1" applyBorder="1" applyAlignment="1" applyProtection="1" quotePrefix="1">
      <alignment horizontal="center"/>
      <protection/>
    </xf>
    <xf numFmtId="4" fontId="57" fillId="6" borderId="6" xfId="0" applyNumberFormat="1" applyFont="1" applyFill="1" applyBorder="1" applyAlignment="1" applyProtection="1">
      <alignment horizontal="center"/>
      <protection/>
    </xf>
    <xf numFmtId="4" fontId="57" fillId="7" borderId="3" xfId="0" applyNumberFormat="1" applyFont="1" applyFill="1" applyBorder="1" applyAlignment="1" applyProtection="1">
      <alignment horizontal="center"/>
      <protection/>
    </xf>
    <xf numFmtId="4" fontId="52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7" fillId="7" borderId="3" xfId="0" applyNumberFormat="1" applyFont="1" applyFill="1" applyBorder="1" applyAlignment="1" applyProtection="1">
      <alignment horizontal="center"/>
      <protection/>
    </xf>
    <xf numFmtId="2" fontId="57" fillId="10" borderId="3" xfId="0" applyNumberFormat="1" applyFont="1" applyFill="1" applyBorder="1" applyAlignment="1" applyProtection="1">
      <alignment horizontal="center"/>
      <protection/>
    </xf>
    <xf numFmtId="2" fontId="57" fillId="5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55" fillId="0" borderId="1" xfId="0" applyFont="1" applyBorder="1" applyAlignment="1">
      <alignment/>
    </xf>
    <xf numFmtId="0" fontId="55" fillId="0" borderId="66" xfId="0" applyFont="1" applyBorder="1" applyAlignment="1">
      <alignment/>
    </xf>
    <xf numFmtId="0" fontId="55" fillId="0" borderId="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" xfId="0" applyFont="1" applyFill="1" applyBorder="1" applyAlignment="1" applyProtection="1">
      <alignment/>
      <protection/>
    </xf>
    <xf numFmtId="0" fontId="55" fillId="0" borderId="66" xfId="0" applyFont="1" applyFill="1" applyBorder="1" applyAlignment="1" applyProtection="1">
      <alignment/>
      <protection/>
    </xf>
    <xf numFmtId="0" fontId="55" fillId="0" borderId="2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71" fillId="0" borderId="0" xfId="0" applyFont="1" applyBorder="1" applyAlignment="1">
      <alignment horizontal="left"/>
    </xf>
    <xf numFmtId="0" fontId="71" fillId="0" borderId="22" xfId="0" applyFont="1" applyBorder="1" applyAlignment="1">
      <alignment horizontal="center"/>
    </xf>
    <xf numFmtId="0" fontId="71" fillId="0" borderId="0" xfId="0" applyFont="1" applyBorder="1" applyAlignment="1" applyProtection="1">
      <alignment horizontal="left"/>
      <protection/>
    </xf>
    <xf numFmtId="0" fontId="71" fillId="0" borderId="22" xfId="0" applyFont="1" applyBorder="1" applyAlignment="1" applyProtection="1">
      <alignment horizontal="center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4" fillId="0" borderId="0" xfId="0" applyFont="1" applyBorder="1" applyAlignment="1">
      <alignment horizontal="centerContinuous"/>
    </xf>
    <xf numFmtId="0" fontId="75" fillId="0" borderId="0" xfId="0" applyFont="1" applyBorder="1" applyAlignment="1" applyProtection="1">
      <alignment horizontal="left"/>
      <protection/>
    </xf>
    <xf numFmtId="0" fontId="76" fillId="0" borderId="0" xfId="0" applyFont="1" applyBorder="1" applyAlignment="1" applyProtection="1">
      <alignment horizontal="centerContinuous"/>
      <protection/>
    </xf>
    <xf numFmtId="0" fontId="76" fillId="0" borderId="0" xfId="0" applyFont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7" fillId="0" borderId="10" xfId="0" applyFont="1" applyBorder="1" applyAlignment="1">
      <alignment/>
    </xf>
    <xf numFmtId="0" fontId="0" fillId="0" borderId="11" xfId="0" applyBorder="1" applyAlignment="1">
      <alignment/>
    </xf>
    <xf numFmtId="0" fontId="7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6" xfId="0" applyBorder="1" applyAlignment="1">
      <alignment/>
    </xf>
    <xf numFmtId="0" fontId="77" fillId="0" borderId="0" xfId="0" applyFont="1" applyBorder="1" applyAlignment="1" applyProtection="1">
      <alignment horizontal="center"/>
      <protection/>
    </xf>
    <xf numFmtId="0" fontId="77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1" borderId="5" xfId="0" applyFont="1" applyFill="1" applyBorder="1" applyAlignment="1">
      <alignment/>
    </xf>
    <xf numFmtId="0" fontId="77" fillId="11" borderId="67" xfId="0" applyFont="1" applyFill="1" applyBorder="1" applyAlignment="1">
      <alignment/>
    </xf>
    <xf numFmtId="0" fontId="77" fillId="11" borderId="68" xfId="0" applyFont="1" applyFill="1" applyBorder="1" applyAlignment="1">
      <alignment/>
    </xf>
    <xf numFmtId="0" fontId="0" fillId="0" borderId="69" xfId="0" applyBorder="1" applyAlignment="1">
      <alignment/>
    </xf>
    <xf numFmtId="0" fontId="7" fillId="11" borderId="70" xfId="0" applyFont="1" applyFill="1" applyBorder="1" applyAlignment="1">
      <alignment horizontal="center"/>
    </xf>
    <xf numFmtId="0" fontId="7" fillId="11" borderId="71" xfId="0" applyFont="1" applyFill="1" applyBorder="1" applyAlignment="1" applyProtection="1">
      <alignment horizontal="center"/>
      <protection/>
    </xf>
    <xf numFmtId="2" fontId="7" fillId="11" borderId="72" xfId="0" applyNumberFormat="1" applyFont="1" applyFill="1" applyBorder="1" applyAlignment="1" applyProtection="1">
      <alignment horizontal="center"/>
      <protection/>
    </xf>
    <xf numFmtId="1" fontId="7" fillId="12" borderId="72" xfId="0" applyNumberFormat="1" applyFont="1" applyFill="1" applyBorder="1" applyAlignment="1">
      <alignment horizontal="center"/>
    </xf>
    <xf numFmtId="0" fontId="0" fillId="0" borderId="68" xfId="0" applyBorder="1" applyAlignment="1">
      <alignment/>
    </xf>
    <xf numFmtId="0" fontId="7" fillId="11" borderId="59" xfId="0" applyFont="1" applyFill="1" applyBorder="1" applyAlignment="1">
      <alignment horizontal="center"/>
    </xf>
    <xf numFmtId="0" fontId="7" fillId="11" borderId="73" xfId="0" applyFont="1" applyFill="1" applyBorder="1" applyAlignment="1" applyProtection="1">
      <alignment horizontal="left"/>
      <protection/>
    </xf>
    <xf numFmtId="0" fontId="7" fillId="11" borderId="73" xfId="0" applyFont="1" applyFill="1" applyBorder="1" applyAlignment="1" applyProtection="1">
      <alignment horizontal="center"/>
      <protection/>
    </xf>
    <xf numFmtId="2" fontId="7" fillId="11" borderId="6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right"/>
      <protection/>
    </xf>
    <xf numFmtId="168" fontId="5" fillId="0" borderId="60" xfId="0" applyNumberFormat="1" applyFont="1" applyFill="1" applyBorder="1" applyAlignment="1" applyProtection="1">
      <alignment horizontal="center"/>
      <protection/>
    </xf>
    <xf numFmtId="1" fontId="0" fillId="11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1" borderId="18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0" fontId="7" fillId="11" borderId="7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9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2" fontId="80" fillId="0" borderId="19" xfId="0" applyNumberFormat="1" applyFont="1" applyBorder="1" applyAlignment="1">
      <alignment horizontal="center"/>
    </xf>
    <xf numFmtId="0" fontId="79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11" borderId="59" xfId="0" applyFont="1" applyFill="1" applyBorder="1" applyAlignment="1">
      <alignment horizontal="centerContinuous" vertical="center"/>
    </xf>
    <xf numFmtId="0" fontId="78" fillId="11" borderId="75" xfId="0" applyFont="1" applyFill="1" applyBorder="1" applyAlignment="1" applyProtection="1">
      <alignment horizontal="centerContinuous" vertical="center"/>
      <protection/>
    </xf>
    <xf numFmtId="0" fontId="78" fillId="11" borderId="75" xfId="0" applyFont="1" applyFill="1" applyBorder="1" applyAlignment="1" applyProtection="1">
      <alignment horizontal="centerContinuous" vertical="center" wrapText="1"/>
      <protection/>
    </xf>
    <xf numFmtId="168" fontId="78" fillId="11" borderId="18" xfId="0" applyNumberFormat="1" applyFont="1" applyFill="1" applyBorder="1" applyAlignment="1" applyProtection="1">
      <alignment horizontal="centerContinuous" vertical="center" wrapText="1"/>
      <protection/>
    </xf>
    <xf numFmtId="17" fontId="78" fillId="11" borderId="18" xfId="0" applyNumberFormat="1" applyFont="1" applyFill="1" applyBorder="1" applyAlignment="1">
      <alignment horizontal="center" vertical="center"/>
    </xf>
    <xf numFmtId="0" fontId="10" fillId="13" borderId="76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0" fontId="10" fillId="11" borderId="76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2" fontId="11" fillId="11" borderId="1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3371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742950</xdr:colOff>
      <xdr:row>0</xdr:row>
      <xdr:rowOff>38100</xdr:rowOff>
    </xdr:from>
    <xdr:to>
      <xdr:col>1</xdr:col>
      <xdr:colOff>428625</xdr:colOff>
      <xdr:row>2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810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Y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72">
          <cell r="HE72">
            <v>1.14</v>
          </cell>
          <cell r="HF72">
            <v>1.14</v>
          </cell>
          <cell r="HG72">
            <v>1.17</v>
          </cell>
          <cell r="HH72">
            <v>1.1</v>
          </cell>
          <cell r="HI72">
            <v>1.1</v>
          </cell>
          <cell r="HJ72">
            <v>1.1</v>
          </cell>
          <cell r="HK72">
            <v>1.07</v>
          </cell>
          <cell r="HL72">
            <v>1.17</v>
          </cell>
          <cell r="HM72">
            <v>1.14</v>
          </cell>
          <cell r="HN72">
            <v>1.07</v>
          </cell>
          <cell r="HO7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E15">
            <v>40909</v>
          </cell>
          <cell r="HF15">
            <v>40940</v>
          </cell>
          <cell r="HG15">
            <v>40969</v>
          </cell>
          <cell r="HH15">
            <v>41000</v>
          </cell>
          <cell r="HI15">
            <v>41030</v>
          </cell>
          <cell r="HJ15">
            <v>41061</v>
          </cell>
          <cell r="HK15">
            <v>41091</v>
          </cell>
          <cell r="HL15">
            <v>41122</v>
          </cell>
          <cell r="HM15">
            <v>41153</v>
          </cell>
          <cell r="HN15">
            <v>41183</v>
          </cell>
          <cell r="HO15">
            <v>41214</v>
          </cell>
          <cell r="HP15">
            <v>41244</v>
          </cell>
          <cell r="HQ15">
            <v>41275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E17" t="str">
            <v>XXXX</v>
          </cell>
          <cell r="HF17" t="str">
            <v>XXXX</v>
          </cell>
          <cell r="HG17" t="str">
            <v>XXXX</v>
          </cell>
          <cell r="HH17" t="str">
            <v>XXXX</v>
          </cell>
          <cell r="HI17" t="str">
            <v>XXXX</v>
          </cell>
          <cell r="HJ17" t="str">
            <v>XXXX</v>
          </cell>
          <cell r="HK17" t="str">
            <v>XXXX</v>
          </cell>
          <cell r="HL17" t="str">
            <v>XXXX</v>
          </cell>
          <cell r="HM17" t="str">
            <v>XXXX</v>
          </cell>
          <cell r="HN17" t="str">
            <v>XXXX</v>
          </cell>
          <cell r="HO17" t="str">
            <v>XXXX</v>
          </cell>
          <cell r="HP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P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  <cell r="HF21">
            <v>1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I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  <cell r="HJ27">
            <v>1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HE30">
            <v>1</v>
          </cell>
          <cell r="HO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E31" t="str">
            <v>XXXX</v>
          </cell>
          <cell r="HF31" t="str">
            <v>XXXX</v>
          </cell>
          <cell r="HG31" t="str">
            <v>XXXX</v>
          </cell>
          <cell r="HH31" t="str">
            <v>XXXX</v>
          </cell>
          <cell r="HI31" t="str">
            <v>XXXX</v>
          </cell>
          <cell r="HJ31" t="str">
            <v>XXXX</v>
          </cell>
          <cell r="HK31" t="str">
            <v>XXXX</v>
          </cell>
          <cell r="HL31" t="str">
            <v>XXXX</v>
          </cell>
          <cell r="HM31" t="str">
            <v>XXXX</v>
          </cell>
          <cell r="HN31" t="str">
            <v>XXXX</v>
          </cell>
          <cell r="HO31" t="str">
            <v>XXXX</v>
          </cell>
          <cell r="HP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HE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HE33">
            <v>1</v>
          </cell>
          <cell r="HK33">
            <v>1</v>
          </cell>
          <cell r="HO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E34" t="str">
            <v>XXXX</v>
          </cell>
          <cell r="HF34" t="str">
            <v>XXXX</v>
          </cell>
          <cell r="HG34" t="str">
            <v>XXXX</v>
          </cell>
          <cell r="HH34" t="str">
            <v>XXXX</v>
          </cell>
          <cell r="HI34" t="str">
            <v>XXXX</v>
          </cell>
          <cell r="HJ34" t="str">
            <v>XXXX</v>
          </cell>
          <cell r="HK34" t="str">
            <v>XXXX</v>
          </cell>
          <cell r="HL34" t="str">
            <v>XXXX</v>
          </cell>
          <cell r="HM34" t="str">
            <v>XXXX</v>
          </cell>
          <cell r="HN34" t="str">
            <v>XXXX</v>
          </cell>
          <cell r="HO34" t="str">
            <v>XXXX</v>
          </cell>
          <cell r="HP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E35" t="str">
            <v>XXXX</v>
          </cell>
          <cell r="HF35" t="str">
            <v>XXXX</v>
          </cell>
          <cell r="HG35" t="str">
            <v>XXXX</v>
          </cell>
          <cell r="HH35" t="str">
            <v>XXXX</v>
          </cell>
          <cell r="HI35" t="str">
            <v>XXXX</v>
          </cell>
          <cell r="HJ35" t="str">
            <v>XXXX</v>
          </cell>
          <cell r="HK35" t="str">
            <v>XXXX</v>
          </cell>
          <cell r="HL35" t="str">
            <v>XXXX</v>
          </cell>
          <cell r="HM35" t="str">
            <v>XXXX</v>
          </cell>
          <cell r="HN35" t="str">
            <v>XXXX</v>
          </cell>
          <cell r="HO35" t="str">
            <v>XXXX</v>
          </cell>
          <cell r="HP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HG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  <cell r="HP42">
            <v>1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  <cell r="HL47">
            <v>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E48" t="str">
            <v>XXXX</v>
          </cell>
          <cell r="HF48" t="str">
            <v>XXXX</v>
          </cell>
          <cell r="HG48" t="str">
            <v>XXXX</v>
          </cell>
          <cell r="HH48" t="str">
            <v>XXXX</v>
          </cell>
          <cell r="HI48" t="str">
            <v>XXXX</v>
          </cell>
          <cell r="HJ48" t="str">
            <v>XXXX</v>
          </cell>
          <cell r="HK48" t="str">
            <v>XXXX</v>
          </cell>
          <cell r="HL48" t="str">
            <v>XXXX</v>
          </cell>
          <cell r="HM48" t="str">
            <v>XXXX</v>
          </cell>
          <cell r="HN48" t="str">
            <v>XXXX</v>
          </cell>
          <cell r="HO48" t="str">
            <v>XXXX</v>
          </cell>
          <cell r="HP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  <cell r="HE49">
            <v>1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HE51">
            <v>1</v>
          </cell>
          <cell r="HF51">
            <v>3</v>
          </cell>
          <cell r="HG51">
            <v>1</v>
          </cell>
          <cell r="HL51">
            <v>2</v>
          </cell>
          <cell r="HN51">
            <v>2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E52" t="str">
            <v>XXXX</v>
          </cell>
          <cell r="HF52" t="str">
            <v>XXXX</v>
          </cell>
          <cell r="HG52" t="str">
            <v>XXXX</v>
          </cell>
          <cell r="HH52" t="str">
            <v>XXXX</v>
          </cell>
          <cell r="HI52" t="str">
            <v>XXXX</v>
          </cell>
          <cell r="HJ52" t="str">
            <v>XXXX</v>
          </cell>
          <cell r="HK52" t="str">
            <v>XXXX</v>
          </cell>
          <cell r="HL52" t="str">
            <v>XXXX</v>
          </cell>
          <cell r="HM52" t="str">
            <v>XXXX</v>
          </cell>
          <cell r="HN52" t="str">
            <v>XXXX</v>
          </cell>
          <cell r="HO52" t="str">
            <v>XXXX</v>
          </cell>
          <cell r="HP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E54" t="str">
            <v>XXXX</v>
          </cell>
          <cell r="HF54" t="str">
            <v>XXXX</v>
          </cell>
          <cell r="HG54" t="str">
            <v>XXXX</v>
          </cell>
          <cell r="HH54" t="str">
            <v>XXXX</v>
          </cell>
          <cell r="HI54" t="str">
            <v>XXXX</v>
          </cell>
          <cell r="HJ54" t="str">
            <v>XXXX</v>
          </cell>
          <cell r="HK54" t="str">
            <v>XXXX</v>
          </cell>
          <cell r="HL54" t="str">
            <v>XXXX</v>
          </cell>
          <cell r="HM54" t="str">
            <v>XXXX</v>
          </cell>
          <cell r="HN54" t="str">
            <v>XXXX</v>
          </cell>
          <cell r="HO54" t="str">
            <v>XXXX</v>
          </cell>
          <cell r="HP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E58" t="str">
            <v>XXXX</v>
          </cell>
          <cell r="HF58" t="str">
            <v>XXXX</v>
          </cell>
          <cell r="HG58" t="str">
            <v>XXXX</v>
          </cell>
          <cell r="HH58" t="str">
            <v>XXXX</v>
          </cell>
          <cell r="HI58" t="str">
            <v>XXXX</v>
          </cell>
          <cell r="HJ58" t="str">
            <v>XXXX</v>
          </cell>
          <cell r="HK58" t="str">
            <v>XXXX</v>
          </cell>
          <cell r="HL58" t="str">
            <v>XXXX</v>
          </cell>
          <cell r="HM58" t="str">
            <v>XXXX</v>
          </cell>
          <cell r="HN58" t="str">
            <v>XXXX</v>
          </cell>
          <cell r="HO58" t="str">
            <v>XXXX</v>
          </cell>
          <cell r="HP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  <cell r="HJ60">
            <v>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N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I6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47"/>
  <sheetViews>
    <sheetView tabSelected="1" zoomScale="70" zoomScaleNormal="70" workbookViewId="0" topLeftCell="A1">
      <selection activeCell="I32" sqref="I32"/>
    </sheetView>
  </sheetViews>
  <sheetFormatPr defaultColWidth="11.421875" defaultRowHeight="12.75"/>
  <cols>
    <col min="1" max="1" width="25.7109375" style="9" customWidth="1"/>
    <col min="2" max="2" width="7.7109375" style="9" customWidth="1"/>
    <col min="3" max="3" width="9.8515625" style="9" customWidth="1"/>
    <col min="4" max="4" width="10.7109375" style="9" customWidth="1"/>
    <col min="5" max="5" width="10.57421875" style="9" customWidth="1"/>
    <col min="6" max="6" width="15.7109375" style="9" customWidth="1"/>
    <col min="7" max="7" width="24.28125" style="9" customWidth="1"/>
    <col min="8" max="8" width="11.00390625" style="9" customWidth="1"/>
    <col min="9" max="9" width="15.7109375" style="9" customWidth="1"/>
    <col min="10" max="10" width="15.00390625" style="9" customWidth="1"/>
    <col min="11" max="11" width="15.7109375" style="9" customWidth="1"/>
    <col min="12" max="13" width="11.421875" style="9" customWidth="1"/>
    <col min="14" max="14" width="14.140625" style="9" customWidth="1"/>
    <col min="15" max="15" width="11.421875" style="9" customWidth="1"/>
    <col min="16" max="16" width="14.7109375" style="9" customWidth="1"/>
    <col min="17" max="17" width="11.421875" style="9" customWidth="1"/>
    <col min="18" max="18" width="12.00390625" style="9" customWidth="1"/>
    <col min="19" max="16384" width="11.421875" style="9" customWidth="1"/>
  </cols>
  <sheetData>
    <row r="1" spans="2:11" s="101" customFormat="1" ht="26.25">
      <c r="B1" s="102"/>
      <c r="K1" s="337"/>
    </row>
    <row r="2" spans="2:10" s="101" customFormat="1" ht="26.25">
      <c r="B2" s="102" t="s">
        <v>172</v>
      </c>
      <c r="C2" s="119"/>
      <c r="D2" s="103"/>
      <c r="E2" s="103"/>
      <c r="F2" s="103"/>
      <c r="G2" s="103"/>
      <c r="H2" s="103"/>
      <c r="I2" s="103"/>
      <c r="J2" s="103"/>
    </row>
    <row r="3" spans="3:19" ht="12.75">
      <c r="C3"/>
      <c r="D3" s="34"/>
      <c r="E3" s="34"/>
      <c r="F3" s="34"/>
      <c r="G3" s="34"/>
      <c r="H3" s="34"/>
      <c r="I3" s="34"/>
      <c r="J3" s="34"/>
      <c r="P3" s="7"/>
      <c r="Q3" s="7"/>
      <c r="R3" s="7"/>
      <c r="S3" s="7"/>
    </row>
    <row r="4" spans="1:19" s="104" customFormat="1" ht="11.25">
      <c r="A4" s="120" t="s">
        <v>17</v>
      </c>
      <c r="B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04" customFormat="1" ht="11.25">
      <c r="A5" s="120" t="s">
        <v>18</v>
      </c>
      <c r="B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2:19" s="101" customFormat="1" ht="26.25">
      <c r="B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2:19" s="106" customFormat="1" ht="21">
      <c r="B7" s="160" t="s">
        <v>0</v>
      </c>
      <c r="C7" s="125"/>
      <c r="D7" s="126"/>
      <c r="E7" s="126"/>
      <c r="F7" s="127"/>
      <c r="G7" s="127"/>
      <c r="H7" s="127"/>
      <c r="I7" s="127"/>
      <c r="J7" s="127"/>
      <c r="K7" s="40"/>
      <c r="L7" s="40"/>
      <c r="M7" s="40"/>
      <c r="N7" s="40"/>
      <c r="O7" s="40"/>
      <c r="P7" s="40"/>
      <c r="Q7" s="40"/>
      <c r="R7" s="40"/>
      <c r="S7" s="40"/>
    </row>
    <row r="8" spans="9:19" ht="12.75"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s="106" customFormat="1" ht="21">
      <c r="B9" s="160" t="s">
        <v>1</v>
      </c>
      <c r="C9" s="125"/>
      <c r="D9" s="126"/>
      <c r="E9" s="126"/>
      <c r="F9" s="126"/>
      <c r="G9" s="126"/>
      <c r="H9" s="126"/>
      <c r="I9" s="127"/>
      <c r="J9" s="127"/>
      <c r="K9" s="40"/>
      <c r="L9" s="40"/>
      <c r="M9" s="40"/>
      <c r="N9" s="40"/>
      <c r="O9" s="40"/>
      <c r="P9" s="40"/>
      <c r="Q9" s="40"/>
      <c r="R9" s="40"/>
      <c r="S9" s="40"/>
    </row>
    <row r="10" spans="4:19" ht="12.75">
      <c r="D10" s="128"/>
      <c r="E10" s="12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s="106" customFormat="1" ht="20.25">
      <c r="B11" s="160" t="s">
        <v>171</v>
      </c>
      <c r="C11" s="77"/>
      <c r="D11" s="35"/>
      <c r="E11" s="35"/>
      <c r="F11" s="126"/>
      <c r="G11" s="126"/>
      <c r="H11" s="126"/>
      <c r="I11" s="127"/>
      <c r="J11" s="127"/>
      <c r="K11" s="40"/>
      <c r="L11" s="40"/>
      <c r="M11" s="40"/>
      <c r="N11" s="40"/>
      <c r="O11" s="40"/>
      <c r="P11" s="40"/>
      <c r="Q11" s="40"/>
      <c r="R11" s="40"/>
      <c r="S11" s="40"/>
    </row>
    <row r="12" spans="4:19" s="129" customFormat="1" ht="16.5" thickBot="1">
      <c r="D12" s="6"/>
      <c r="E12" s="6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2:19" s="129" customFormat="1" ht="16.5" thickTop="1">
      <c r="B13" s="313">
        <v>1</v>
      </c>
      <c r="C13" s="334"/>
      <c r="D13" s="131"/>
      <c r="E13" s="131"/>
      <c r="F13" s="131"/>
      <c r="G13" s="131"/>
      <c r="H13" s="131"/>
      <c r="I13" s="131"/>
      <c r="J13" s="132"/>
      <c r="K13" s="130"/>
      <c r="L13" s="130"/>
      <c r="M13" s="130"/>
      <c r="N13" s="130"/>
      <c r="O13" s="130"/>
      <c r="P13" s="130"/>
      <c r="Q13" s="130"/>
      <c r="R13" s="130"/>
      <c r="S13" s="130"/>
    </row>
    <row r="14" spans="2:19" s="113" customFormat="1" ht="19.5">
      <c r="B14" s="205" t="s">
        <v>130</v>
      </c>
      <c r="C14" s="133"/>
      <c r="D14" s="134"/>
      <c r="E14" s="135"/>
      <c r="F14" s="135"/>
      <c r="G14" s="135"/>
      <c r="H14" s="135"/>
      <c r="I14" s="109"/>
      <c r="J14" s="112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113" customFormat="1" ht="9" customHeight="1">
      <c r="B15" s="136"/>
      <c r="C15" s="137"/>
      <c r="D15" s="137"/>
      <c r="E15" s="42"/>
      <c r="F15" s="138"/>
      <c r="G15" s="138"/>
      <c r="H15" s="138"/>
      <c r="I15" s="42"/>
      <c r="J15" s="139"/>
      <c r="K15" s="42"/>
      <c r="L15" s="42"/>
      <c r="M15" s="42"/>
      <c r="N15" s="42"/>
      <c r="O15" s="42"/>
      <c r="P15" s="42"/>
      <c r="Q15" s="42"/>
      <c r="R15" s="42"/>
      <c r="S15" s="42"/>
    </row>
    <row r="16" spans="2:18" s="113" customFormat="1" ht="9" customHeight="1">
      <c r="B16" s="205">
        <f>IF(B13=2,"Sanciones duplicadas por tasa de falla &gt; 4 Sal. x año/100km.","")</f>
      </c>
      <c r="C16" s="208"/>
      <c r="D16" s="208"/>
      <c r="E16" s="109"/>
      <c r="F16" s="135"/>
      <c r="G16" s="135"/>
      <c r="H16" s="109"/>
      <c r="I16" s="77"/>
      <c r="J16" s="112"/>
      <c r="K16" s="42"/>
      <c r="L16" s="42"/>
      <c r="M16" s="42"/>
      <c r="N16" s="42"/>
      <c r="O16" s="42"/>
      <c r="P16" s="42"/>
      <c r="Q16" s="42"/>
      <c r="R16" s="42"/>
    </row>
    <row r="17" spans="2:18" s="113" customFormat="1" ht="9" customHeight="1">
      <c r="B17" s="136"/>
      <c r="C17" s="137"/>
      <c r="D17" s="137"/>
      <c r="E17" s="42"/>
      <c r="F17" s="138"/>
      <c r="G17" s="138"/>
      <c r="H17" s="42"/>
      <c r="I17"/>
      <c r="J17" s="139"/>
      <c r="K17" s="42"/>
      <c r="L17" s="42"/>
      <c r="M17" s="42"/>
      <c r="N17" s="42"/>
      <c r="O17" s="42"/>
      <c r="P17" s="42"/>
      <c r="Q17" s="42"/>
      <c r="R17" s="42"/>
    </row>
    <row r="18" spans="2:19" s="113" customFormat="1" ht="19.5">
      <c r="B18" s="136"/>
      <c r="C18" s="140" t="s">
        <v>19</v>
      </c>
      <c r="D18" s="141" t="s">
        <v>20</v>
      </c>
      <c r="E18" s="42"/>
      <c r="F18" s="138"/>
      <c r="G18" s="138"/>
      <c r="H18" s="138"/>
      <c r="I18" s="41"/>
      <c r="J18" s="139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113" customFormat="1" ht="19.5">
      <c r="B19" s="136"/>
      <c r="C19"/>
      <c r="D19" s="140" t="s">
        <v>21</v>
      </c>
      <c r="E19" s="141" t="s">
        <v>22</v>
      </c>
      <c r="F19" s="138"/>
      <c r="G19" s="138"/>
      <c r="H19" s="138"/>
      <c r="I19" s="41">
        <f>'LI-01 (1)'!AA43</f>
        <v>117348.14</v>
      </c>
      <c r="J19" s="139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113" customFormat="1" ht="19.5">
      <c r="B20" s="136"/>
      <c r="C20" s="140"/>
      <c r="D20" s="140" t="s">
        <v>23</v>
      </c>
      <c r="E20" s="141" t="s">
        <v>24</v>
      </c>
      <c r="F20" s="138"/>
      <c r="G20" s="138"/>
      <c r="H20" s="138"/>
      <c r="I20" s="41">
        <f>'LI-EDERSA-01 (1)'!AA37</f>
        <v>7635.24</v>
      </c>
      <c r="J20" s="139"/>
      <c r="K20" s="42"/>
      <c r="L20" s="42"/>
      <c r="M20" s="42"/>
      <c r="N20" s="42"/>
      <c r="O20" s="42"/>
      <c r="P20" s="42"/>
      <c r="Q20" s="42"/>
      <c r="R20" s="42"/>
      <c r="S20" s="42"/>
    </row>
    <row r="21" spans="2:19" ht="13.5">
      <c r="B21" s="39"/>
      <c r="C21" s="142"/>
      <c r="D21" s="143"/>
      <c r="E21" s="7"/>
      <c r="F21" s="144"/>
      <c r="G21" s="144"/>
      <c r="H21" s="144"/>
      <c r="I21" s="145"/>
      <c r="J21" s="10"/>
      <c r="K21" s="7"/>
      <c r="L21" s="7"/>
      <c r="M21" s="7"/>
      <c r="N21" s="7"/>
      <c r="O21" s="7"/>
      <c r="P21" s="7"/>
      <c r="Q21" s="7"/>
      <c r="R21" s="7"/>
      <c r="S21" s="7"/>
    </row>
    <row r="22" spans="2:19" s="113" customFormat="1" ht="19.5">
      <c r="B22" s="136"/>
      <c r="C22" s="140" t="s">
        <v>25</v>
      </c>
      <c r="D22" s="141" t="s">
        <v>26</v>
      </c>
      <c r="E22" s="42"/>
      <c r="F22" s="138"/>
      <c r="G22" s="138"/>
      <c r="H22" s="138"/>
      <c r="I22" s="41"/>
      <c r="J22" s="139"/>
      <c r="K22" s="42"/>
      <c r="L22" s="42"/>
      <c r="M22" s="42"/>
      <c r="N22" s="42"/>
      <c r="O22" s="42"/>
      <c r="P22" s="42"/>
      <c r="Q22" s="42"/>
      <c r="R22" s="42"/>
      <c r="S22" s="42"/>
    </row>
    <row r="23" spans="2:19" ht="8.25" customHeight="1">
      <c r="B23" s="39"/>
      <c r="C23" s="142"/>
      <c r="D23" s="142"/>
      <c r="E23" s="7"/>
      <c r="F23" s="144"/>
      <c r="G23" s="144"/>
      <c r="H23" s="144"/>
      <c r="I23" s="146"/>
      <c r="J23" s="10"/>
      <c r="K23" s="7"/>
      <c r="L23" s="7"/>
      <c r="M23" s="7"/>
      <c r="N23" s="7"/>
      <c r="O23" s="7"/>
      <c r="P23" s="7"/>
      <c r="Q23" s="7"/>
      <c r="R23" s="7"/>
      <c r="S23" s="7"/>
    </row>
    <row r="24" spans="2:19" s="113" customFormat="1" ht="19.5">
      <c r="B24" s="136"/>
      <c r="C24" s="140"/>
      <c r="D24" s="140" t="s">
        <v>27</v>
      </c>
      <c r="E24" s="8" t="s">
        <v>28</v>
      </c>
      <c r="F24" s="138"/>
      <c r="G24" s="138"/>
      <c r="H24" s="138"/>
      <c r="I24" s="41"/>
      <c r="J24" s="139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113" customFormat="1" ht="19.5">
      <c r="B25" s="136"/>
      <c r="C25" s="140"/>
      <c r="D25" s="140"/>
      <c r="E25" s="140" t="s">
        <v>29</v>
      </c>
      <c r="F25" s="141" t="s">
        <v>22</v>
      </c>
      <c r="G25" s="138"/>
      <c r="H25" s="138"/>
      <c r="I25" s="41">
        <f>'TR-01 (1)'!AC45</f>
        <v>213.76</v>
      </c>
      <c r="J25" s="139"/>
      <c r="K25" s="42"/>
      <c r="L25" s="42"/>
      <c r="M25" s="42"/>
      <c r="N25" s="42"/>
      <c r="O25" s="42"/>
      <c r="P25" s="42"/>
      <c r="Q25" s="42"/>
      <c r="R25" s="42"/>
      <c r="S25" s="42"/>
    </row>
    <row r="26" spans="2:19" ht="13.5">
      <c r="B26" s="39"/>
      <c r="C26" s="142"/>
      <c r="D26" s="142"/>
      <c r="E26" s="7"/>
      <c r="F26" s="144"/>
      <c r="G26" s="144"/>
      <c r="H26" s="144"/>
      <c r="I26" s="146"/>
      <c r="J26" s="10"/>
      <c r="K26" s="7"/>
      <c r="L26" s="7"/>
      <c r="M26" s="7"/>
      <c r="N26" s="7"/>
      <c r="O26" s="7"/>
      <c r="P26" s="7"/>
      <c r="Q26" s="7"/>
      <c r="R26" s="7"/>
      <c r="S26" s="7"/>
    </row>
    <row r="27" spans="2:19" s="113" customFormat="1" ht="19.5">
      <c r="B27" s="136"/>
      <c r="C27" s="140"/>
      <c r="D27" s="140" t="s">
        <v>30</v>
      </c>
      <c r="E27" s="8" t="s">
        <v>31</v>
      </c>
      <c r="F27" s="138"/>
      <c r="G27" s="138"/>
      <c r="H27" s="138"/>
      <c r="I27" s="41"/>
      <c r="J27" s="139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113" customFormat="1" ht="19.5">
      <c r="B28" s="136"/>
      <c r="C28" s="140"/>
      <c r="D28" s="140"/>
      <c r="E28" s="140" t="s">
        <v>32</v>
      </c>
      <c r="F28" s="141" t="s">
        <v>24</v>
      </c>
      <c r="G28" s="138"/>
      <c r="H28" s="138"/>
      <c r="I28" s="41">
        <f>'SA-EDERSA-01 (1)'!V45</f>
        <v>78.67257825600001</v>
      </c>
      <c r="J28" s="139"/>
      <c r="K28" s="42"/>
      <c r="L28" s="42"/>
      <c r="M28" s="42"/>
      <c r="N28" s="42"/>
      <c r="O28" s="42"/>
      <c r="P28" s="42"/>
      <c r="Q28" s="42"/>
      <c r="R28" s="42"/>
      <c r="S28" s="42"/>
    </row>
    <row r="29" spans="2:19" ht="13.5">
      <c r="B29" s="39"/>
      <c r="C29" s="142"/>
      <c r="D29" s="143"/>
      <c r="E29" s="7"/>
      <c r="F29" s="144"/>
      <c r="G29" s="144"/>
      <c r="H29" s="144"/>
      <c r="I29" s="145"/>
      <c r="J29" s="10"/>
      <c r="K29" s="7"/>
      <c r="L29" s="7"/>
      <c r="M29" s="7"/>
      <c r="N29" s="7"/>
      <c r="O29" s="7"/>
      <c r="P29" s="7"/>
      <c r="Q29" s="7"/>
      <c r="R29" s="7"/>
      <c r="S29" s="7"/>
    </row>
    <row r="30" spans="2:19" s="113" customFormat="1" ht="19.5">
      <c r="B30" s="136"/>
      <c r="C30" s="140" t="s">
        <v>33</v>
      </c>
      <c r="D30" s="8" t="s">
        <v>34</v>
      </c>
      <c r="E30" s="138"/>
      <c r="F30"/>
      <c r="G30" s="138"/>
      <c r="H30" s="138"/>
      <c r="I30" s="41"/>
      <c r="J30" s="139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113" customFormat="1" ht="19.5">
      <c r="B31" s="136"/>
      <c r="C31" s="140"/>
      <c r="D31" s="140" t="s">
        <v>153</v>
      </c>
      <c r="E31" s="141" t="s">
        <v>24</v>
      </c>
      <c r="F31"/>
      <c r="G31" s="138"/>
      <c r="H31" s="138"/>
      <c r="I31" s="41">
        <f>'SUP-EDERSA'!I57</f>
        <v>1928.4781445639999</v>
      </c>
      <c r="J31" s="139"/>
      <c r="K31" s="42"/>
      <c r="L31" s="42"/>
      <c r="M31" s="42"/>
      <c r="N31" s="42"/>
      <c r="O31" s="42"/>
      <c r="P31" s="42"/>
      <c r="Q31" s="42"/>
      <c r="R31" s="42"/>
      <c r="S31" s="42"/>
    </row>
    <row r="32" spans="2:19" s="113" customFormat="1" ht="20.25" thickBot="1">
      <c r="B32" s="136"/>
      <c r="C32" s="137"/>
      <c r="D32" s="137"/>
      <c r="E32" s="42"/>
      <c r="F32" s="138"/>
      <c r="G32" s="138"/>
      <c r="H32" s="138"/>
      <c r="I32" s="42"/>
      <c r="J32" s="139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113" customFormat="1" ht="20.25" thickBot="1" thickTop="1">
      <c r="B33" s="136"/>
      <c r="C33" s="140"/>
      <c r="D33" s="140"/>
      <c r="F33" s="147" t="s">
        <v>35</v>
      </c>
      <c r="G33" s="148">
        <f>SUM(I19:I31)</f>
        <v>127204.29072281999</v>
      </c>
      <c r="H33" s="207"/>
      <c r="J33" s="139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113" customFormat="1" ht="8.25" customHeight="1" thickTop="1">
      <c r="B34" s="136"/>
      <c r="C34" s="140"/>
      <c r="D34" s="140"/>
      <c r="F34" s="590"/>
      <c r="G34" s="207"/>
      <c r="H34" s="207"/>
      <c r="J34" s="139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113" customFormat="1" ht="18.75">
      <c r="B35" s="136"/>
      <c r="C35" s="591" t="s">
        <v>129</v>
      </c>
      <c r="D35" s="140"/>
      <c r="F35" s="590"/>
      <c r="G35" s="207"/>
      <c r="H35" s="207"/>
      <c r="J35" s="139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129" customFormat="1" ht="6.75" customHeight="1" thickBot="1">
      <c r="B36" s="149"/>
      <c r="C36" s="150"/>
      <c r="D36" s="150"/>
      <c r="E36" s="151"/>
      <c r="F36" s="151"/>
      <c r="G36" s="151"/>
      <c r="H36" s="151"/>
      <c r="I36" s="151"/>
      <c r="J36" s="152"/>
      <c r="K36" s="130"/>
      <c r="L36" s="130"/>
      <c r="M36" s="76"/>
      <c r="N36" s="153"/>
      <c r="O36" s="153"/>
      <c r="P36" s="154"/>
      <c r="Q36" s="155"/>
      <c r="R36" s="130"/>
      <c r="S36" s="130"/>
    </row>
    <row r="37" spans="4:19" ht="13.5" thickTop="1">
      <c r="D37" s="7"/>
      <c r="F37" s="7"/>
      <c r="G37" s="7"/>
      <c r="H37" s="7"/>
      <c r="I37" s="7"/>
      <c r="J37" s="7"/>
      <c r="K37" s="7"/>
      <c r="L37" s="7"/>
      <c r="M37" s="26"/>
      <c r="N37" s="156"/>
      <c r="O37" s="156"/>
      <c r="P37" s="7"/>
      <c r="Q37" s="31"/>
      <c r="R37" s="7"/>
      <c r="S37" s="7"/>
    </row>
    <row r="38" spans="4:19" ht="12.75">
      <c r="D38" s="7"/>
      <c r="F38" s="7"/>
      <c r="G38" s="7"/>
      <c r="H38" s="7"/>
      <c r="I38" s="7"/>
      <c r="J38" s="7"/>
      <c r="K38" s="7"/>
      <c r="L38" s="7"/>
      <c r="M38" s="7"/>
      <c r="N38" s="157"/>
      <c r="O38" s="157"/>
      <c r="P38" s="158"/>
      <c r="Q38" s="31"/>
      <c r="R38" s="7"/>
      <c r="S38" s="7"/>
    </row>
    <row r="39" spans="4:19" ht="12.75">
      <c r="D39" s="7"/>
      <c r="E39" s="7"/>
      <c r="F39" s="7"/>
      <c r="G39" s="7"/>
      <c r="H39" s="7"/>
      <c r="I39" s="7"/>
      <c r="J39" s="7"/>
      <c r="K39" s="7"/>
      <c r="L39" s="7"/>
      <c r="M39" s="7"/>
      <c r="N39" s="157"/>
      <c r="O39" s="157"/>
      <c r="P39" s="158"/>
      <c r="Q39" s="31"/>
      <c r="R39" s="7"/>
      <c r="S39" s="7"/>
    </row>
    <row r="40" spans="4:19" ht="12.75">
      <c r="D40" s="7"/>
      <c r="E40" s="7"/>
      <c r="L40" s="7"/>
      <c r="M40" s="7"/>
      <c r="N40" s="7"/>
      <c r="O40" s="7"/>
      <c r="P40" s="7"/>
      <c r="Q40" s="7"/>
      <c r="R40" s="7"/>
      <c r="S40" s="7"/>
    </row>
    <row r="41" spans="4:19" ht="12.75">
      <c r="D41" s="7"/>
      <c r="E41" s="7"/>
      <c r="P41" s="7"/>
      <c r="Q41" s="7"/>
      <c r="R41" s="7"/>
      <c r="S41" s="7"/>
    </row>
    <row r="42" spans="4:19" ht="12.75">
      <c r="D42" s="7"/>
      <c r="E42" s="7"/>
      <c r="P42" s="7"/>
      <c r="Q42" s="7"/>
      <c r="R42" s="7"/>
      <c r="S42" s="7"/>
    </row>
    <row r="43" spans="4:19" ht="12.75">
      <c r="D43" s="7"/>
      <c r="E43" s="7"/>
      <c r="P43" s="7"/>
      <c r="Q43" s="7"/>
      <c r="R43" s="7"/>
      <c r="S43" s="7"/>
    </row>
    <row r="44" spans="4:19" ht="12.75">
      <c r="D44" s="7"/>
      <c r="E44" s="7"/>
      <c r="P44" s="7"/>
      <c r="Q44" s="7"/>
      <c r="R44" s="7"/>
      <c r="S44" s="7"/>
    </row>
    <row r="45" spans="4:19" ht="12.75">
      <c r="D45" s="7"/>
      <c r="E45" s="7"/>
      <c r="P45" s="7"/>
      <c r="Q45" s="7"/>
      <c r="R45" s="7"/>
      <c r="S45" s="7"/>
    </row>
    <row r="46" spans="16:19" ht="12.75">
      <c r="P46" s="7"/>
      <c r="Q46" s="7"/>
      <c r="R46" s="7"/>
      <c r="S46" s="7"/>
    </row>
    <row r="47" spans="16:19" ht="12.75">
      <c r="P47" s="7"/>
      <c r="Q47" s="7"/>
      <c r="R47" s="7"/>
      <c r="S47" s="7"/>
    </row>
  </sheetData>
  <printOptions horizontalCentered="1"/>
  <pageMargins left="0.3937007874015748" right="0.1968503937007874" top="0.65" bottom="0.7874015748031497" header="0.5118110236220472" footer="0.5118110236220472"/>
  <pageSetup fitToHeight="1" fitToWidth="1" orientation="landscape" paperSize="9" scale="84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A1">
      <selection activeCell="A19" sqref="A19:IV24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1" customFormat="1" ht="26.25">
      <c r="AB1" s="337"/>
    </row>
    <row r="2" spans="2:28" s="101" customFormat="1" ht="26.25">
      <c r="B2" s="102" t="str">
        <f>+'TOT-0113'!B2</f>
        <v>ANEXO I al Memorándum  D.T.E.E.  N°           / 2014.-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="9" customFormat="1" ht="12.75"/>
    <row r="4" spans="1:3" s="104" customFormat="1" ht="11.25">
      <c r="A4" s="610" t="s">
        <v>17</v>
      </c>
      <c r="C4" s="609"/>
    </row>
    <row r="5" spans="1:3" s="104" customFormat="1" ht="11.25">
      <c r="A5" s="610" t="s">
        <v>127</v>
      </c>
      <c r="C5" s="609"/>
    </row>
    <row r="6" s="9" customFormat="1" ht="13.5" thickBot="1"/>
    <row r="7" spans="1:28" s="9" customFormat="1" ht="13.5" thickTop="1">
      <c r="A7" s="7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s="106" customFormat="1" ht="20.25">
      <c r="A8" s="40"/>
      <c r="B8" s="105"/>
      <c r="C8" s="40"/>
      <c r="D8" s="40"/>
      <c r="E8" s="40"/>
      <c r="F8" s="19" t="s">
        <v>36</v>
      </c>
      <c r="G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07"/>
    </row>
    <row r="9" spans="1:28" s="9" customFormat="1" ht="12.75">
      <c r="A9" s="7"/>
      <c r="B9" s="39"/>
      <c r="C9" s="7"/>
      <c r="D9" s="7"/>
      <c r="E9" s="7"/>
      <c r="F9" s="118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</row>
    <row r="10" spans="1:28" s="106" customFormat="1" ht="20.25">
      <c r="A10" s="40"/>
      <c r="B10" s="105"/>
      <c r="C10" s="40"/>
      <c r="D10" s="40"/>
      <c r="E10" s="40"/>
      <c r="F10" s="19" t="s">
        <v>37</v>
      </c>
      <c r="G10" s="19"/>
      <c r="H10" s="40"/>
      <c r="I10" s="108"/>
      <c r="J10" s="108"/>
      <c r="K10" s="108"/>
      <c r="L10" s="108"/>
      <c r="M10" s="108"/>
      <c r="N10" s="108"/>
      <c r="O10" s="108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07"/>
    </row>
    <row r="11" spans="1:28" s="9" customFormat="1" ht="12.75">
      <c r="A11" s="7"/>
      <c r="B11" s="39"/>
      <c r="C11" s="7"/>
      <c r="D11" s="7"/>
      <c r="E11" s="7"/>
      <c r="F11" s="117"/>
      <c r="G11" s="115"/>
      <c r="H11" s="7"/>
      <c r="I11" s="114"/>
      <c r="J11" s="114"/>
      <c r="K11" s="114"/>
      <c r="L11" s="114"/>
      <c r="M11" s="114"/>
      <c r="N11" s="114"/>
      <c r="O11" s="11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</row>
    <row r="12" spans="1:28" s="106" customFormat="1" ht="20.25">
      <c r="A12" s="40"/>
      <c r="B12" s="105"/>
      <c r="C12" s="40"/>
      <c r="D12" s="40"/>
      <c r="E12" s="40"/>
      <c r="F12" s="19" t="s">
        <v>38</v>
      </c>
      <c r="G12" s="19"/>
      <c r="H12" s="40"/>
      <c r="I12" s="108"/>
      <c r="J12" s="108"/>
      <c r="K12" s="108"/>
      <c r="L12" s="108"/>
      <c r="M12" s="108"/>
      <c r="N12" s="108"/>
      <c r="O12" s="108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107"/>
    </row>
    <row r="13" spans="1:28" s="9" customFormat="1" ht="12.75">
      <c r="A13" s="7"/>
      <c r="B13" s="39"/>
      <c r="C13" s="7"/>
      <c r="D13" s="7"/>
      <c r="E13" s="7"/>
      <c r="F13" s="117"/>
      <c r="G13" s="115"/>
      <c r="H13" s="7"/>
      <c r="I13" s="114"/>
      <c r="J13" s="114"/>
      <c r="K13" s="114"/>
      <c r="L13" s="114"/>
      <c r="M13" s="114"/>
      <c r="N13" s="114"/>
      <c r="O13" s="11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0"/>
    </row>
    <row r="14" spans="1:28" s="113" customFormat="1" ht="19.5">
      <c r="A14" s="42"/>
      <c r="B14" s="79" t="str">
        <f>+'TOT-0113'!B14</f>
        <v>Desde el 01 al 31 de enero de 2013</v>
      </c>
      <c r="C14" s="109"/>
      <c r="D14" s="109"/>
      <c r="E14" s="109"/>
      <c r="F14" s="109"/>
      <c r="G14" s="110"/>
      <c r="H14" s="110"/>
      <c r="I14" s="111"/>
      <c r="J14" s="111"/>
      <c r="K14" s="111"/>
      <c r="L14" s="111"/>
      <c r="M14" s="111"/>
      <c r="N14" s="111"/>
      <c r="O14" s="111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12"/>
    </row>
    <row r="15" spans="1:28" s="9" customFormat="1" ht="13.5" thickBot="1">
      <c r="A15" s="7"/>
      <c r="B15" s="39"/>
      <c r="C15" s="7"/>
      <c r="D15" s="7"/>
      <c r="E15" s="7"/>
      <c r="F15" s="7"/>
      <c r="G15" s="115"/>
      <c r="H15" s="116"/>
      <c r="I15" s="114"/>
      <c r="J15" s="114"/>
      <c r="K15" s="114"/>
      <c r="L15" s="114"/>
      <c r="M15" s="114"/>
      <c r="N15" s="114"/>
      <c r="O15" s="11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0"/>
    </row>
    <row r="16" spans="1:28" s="87" customFormat="1" ht="16.5" customHeight="1" thickBot="1" thickTop="1">
      <c r="A16" s="83"/>
      <c r="B16" s="84"/>
      <c r="C16" s="83"/>
      <c r="D16" s="83"/>
      <c r="E16" s="83"/>
      <c r="F16" s="428" t="s">
        <v>39</v>
      </c>
      <c r="G16" s="429">
        <v>141.9753327</v>
      </c>
      <c r="H16" s="430"/>
      <c r="I16" s="88"/>
      <c r="J16" s="88"/>
      <c r="K16" s="88"/>
      <c r="L16" s="88"/>
      <c r="M16" s="88"/>
      <c r="N16" s="88"/>
      <c r="O16" s="88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6"/>
    </row>
    <row r="17" spans="1:28" s="87" customFormat="1" ht="16.5" customHeight="1" thickBot="1" thickTop="1">
      <c r="A17" s="83"/>
      <c r="B17" s="84"/>
      <c r="C17" s="83"/>
      <c r="D17" s="83"/>
      <c r="E17" s="83"/>
      <c r="F17" s="428" t="s">
        <v>40</v>
      </c>
      <c r="G17" s="429">
        <v>135.6652707</v>
      </c>
      <c r="H17" s="431"/>
      <c r="I17" s="83"/>
      <c r="K17" s="89" t="s">
        <v>41</v>
      </c>
      <c r="L17" s="90">
        <f>30*'TOT-0113'!B13</f>
        <v>30</v>
      </c>
      <c r="M17" s="206" t="str">
        <f>IF(L17=30," ",IF(L17=60,"Coeficiente duplicado por tasa de falla &gt;4 Sal. x año/100 km.","REVISAR COEFICIENTE"))</f>
        <v> 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6"/>
    </row>
    <row r="18" spans="1:28" s="633" customFormat="1" ht="14.25" thickBot="1" thickTop="1">
      <c r="A18" s="629"/>
      <c r="B18" s="630"/>
      <c r="C18" s="631">
        <v>3</v>
      </c>
      <c r="D18" s="631">
        <v>4</v>
      </c>
      <c r="E18" s="631">
        <v>5</v>
      </c>
      <c r="F18" s="631">
        <v>6</v>
      </c>
      <c r="G18" s="631">
        <v>7</v>
      </c>
      <c r="H18" s="631">
        <v>8</v>
      </c>
      <c r="I18" s="631">
        <v>9</v>
      </c>
      <c r="J18" s="631">
        <v>10</v>
      </c>
      <c r="K18" s="631">
        <v>11</v>
      </c>
      <c r="L18" s="631">
        <v>12</v>
      </c>
      <c r="M18" s="631">
        <v>13</v>
      </c>
      <c r="N18" s="631">
        <v>14</v>
      </c>
      <c r="O18" s="631">
        <v>15</v>
      </c>
      <c r="P18" s="631">
        <v>16</v>
      </c>
      <c r="Q18" s="631">
        <v>17</v>
      </c>
      <c r="R18" s="631">
        <v>18</v>
      </c>
      <c r="S18" s="631">
        <v>19</v>
      </c>
      <c r="T18" s="631">
        <v>20</v>
      </c>
      <c r="U18" s="631">
        <v>21</v>
      </c>
      <c r="V18" s="631">
        <v>22</v>
      </c>
      <c r="W18" s="631">
        <v>23</v>
      </c>
      <c r="X18" s="631">
        <v>24</v>
      </c>
      <c r="Y18" s="631">
        <v>25</v>
      </c>
      <c r="Z18" s="631">
        <v>26</v>
      </c>
      <c r="AA18" s="631">
        <v>27</v>
      </c>
      <c r="AB18" s="632"/>
    </row>
    <row r="19" spans="1:28" s="100" customFormat="1" ht="33.75" customHeight="1" thickBot="1" thickTop="1">
      <c r="A19" s="91"/>
      <c r="B19" s="92"/>
      <c r="C19" s="93" t="s">
        <v>42</v>
      </c>
      <c r="D19" s="93" t="s">
        <v>126</v>
      </c>
      <c r="E19" s="93" t="s">
        <v>125</v>
      </c>
      <c r="F19" s="94" t="s">
        <v>20</v>
      </c>
      <c r="G19" s="95" t="s">
        <v>43</v>
      </c>
      <c r="H19" s="96" t="s">
        <v>44</v>
      </c>
      <c r="I19" s="234" t="s">
        <v>45</v>
      </c>
      <c r="J19" s="94" t="s">
        <v>46</v>
      </c>
      <c r="K19" s="94" t="s">
        <v>47</v>
      </c>
      <c r="L19" s="95" t="s">
        <v>48</v>
      </c>
      <c r="M19" s="95" t="s">
        <v>49</v>
      </c>
      <c r="N19" s="97" t="s">
        <v>50</v>
      </c>
      <c r="O19" s="95" t="s">
        <v>51</v>
      </c>
      <c r="P19" s="261" t="s">
        <v>52</v>
      </c>
      <c r="Q19" s="264" t="s">
        <v>53</v>
      </c>
      <c r="R19" s="267" t="s">
        <v>54</v>
      </c>
      <c r="S19" s="268"/>
      <c r="T19" s="269"/>
      <c r="U19" s="278" t="s">
        <v>55</v>
      </c>
      <c r="V19" s="279"/>
      <c r="W19" s="280"/>
      <c r="X19" s="288" t="s">
        <v>56</v>
      </c>
      <c r="Y19" s="291" t="s">
        <v>57</v>
      </c>
      <c r="Z19" s="98" t="s">
        <v>58</v>
      </c>
      <c r="AA19" s="98" t="s">
        <v>59</v>
      </c>
      <c r="AB19" s="99"/>
    </row>
    <row r="20" spans="1:28" ht="16.5" customHeight="1" thickTop="1">
      <c r="A20" s="1"/>
      <c r="B20" s="2"/>
      <c r="C20" s="46"/>
      <c r="D20" s="608"/>
      <c r="E20" s="608"/>
      <c r="F20" s="335"/>
      <c r="G20" s="48"/>
      <c r="H20" s="48"/>
      <c r="I20" s="329"/>
      <c r="J20" s="48"/>
      <c r="K20" s="49"/>
      <c r="L20" s="49"/>
      <c r="M20" s="49"/>
      <c r="N20" s="47"/>
      <c r="O20" s="48"/>
      <c r="P20" s="262"/>
      <c r="Q20" s="265"/>
      <c r="R20" s="270"/>
      <c r="S20" s="271"/>
      <c r="T20" s="272"/>
      <c r="U20" s="281"/>
      <c r="V20" s="282"/>
      <c r="W20" s="283"/>
      <c r="X20" s="289"/>
      <c r="Y20" s="292"/>
      <c r="Z20" s="276"/>
      <c r="AA20" s="336"/>
      <c r="AB20" s="3"/>
    </row>
    <row r="21" spans="1:28" ht="16.5" customHeight="1">
      <c r="A21" s="1"/>
      <c r="B21" s="2"/>
      <c r="C21" s="454"/>
      <c r="D21" s="606"/>
      <c r="E21" s="606"/>
      <c r="F21" s="454"/>
      <c r="G21" s="455"/>
      <c r="H21" s="455"/>
      <c r="I21" s="330"/>
      <c r="J21" s="454"/>
      <c r="K21" s="456"/>
      <c r="L21" s="82"/>
      <c r="M21" s="82"/>
      <c r="N21" s="457"/>
      <c r="O21" s="454"/>
      <c r="P21" s="458"/>
      <c r="Q21" s="459"/>
      <c r="R21" s="460"/>
      <c r="S21" s="461"/>
      <c r="T21" s="462"/>
      <c r="U21" s="463"/>
      <c r="V21" s="464"/>
      <c r="W21" s="465"/>
      <c r="X21" s="466"/>
      <c r="Y21" s="467"/>
      <c r="Z21" s="468"/>
      <c r="AA21" s="82"/>
      <c r="AB21" s="3"/>
    </row>
    <row r="22" spans="1:28" ht="16.5" customHeight="1">
      <c r="A22" s="1"/>
      <c r="B22" s="2"/>
      <c r="C22" s="432">
        <v>1</v>
      </c>
      <c r="D22" s="432">
        <v>257133</v>
      </c>
      <c r="E22" s="432">
        <v>1631</v>
      </c>
      <c r="F22" s="433" t="s">
        <v>131</v>
      </c>
      <c r="G22" s="434">
        <v>132</v>
      </c>
      <c r="H22" s="435">
        <v>121.5</v>
      </c>
      <c r="I22" s="331">
        <f aca="true" t="shared" si="0" ref="I22:I41">IF(H22&gt;25,H22,25)*IF(G22=330,$G$16,$G$17)/100</f>
        <v>164.8333039005</v>
      </c>
      <c r="J22" s="440">
        <v>41290.13888888889</v>
      </c>
      <c r="K22" s="440">
        <v>41290.47430555556</v>
      </c>
      <c r="L22" s="12">
        <f aca="true" t="shared" si="1" ref="L22:L41">IF(F22="","",(K22-J22)*24)</f>
        <v>8.050000000046566</v>
      </c>
      <c r="M22" s="13">
        <f aca="true" t="shared" si="2" ref="M22:M41">IF(F22="","",ROUND((K22-J22)*24*60,0))</f>
        <v>483</v>
      </c>
      <c r="N22" s="441" t="s">
        <v>132</v>
      </c>
      <c r="O22" s="628" t="s">
        <v>134</v>
      </c>
      <c r="P22" s="613" t="str">
        <f aca="true" t="shared" si="3" ref="P22:P41">IF(N22="P",ROUND(M22/60,2)*I22*$L$17*0.01,"--")</f>
        <v>--</v>
      </c>
      <c r="Q22" s="614" t="str">
        <f aca="true" t="shared" si="4" ref="Q22:Q41">IF(N22="RP",ROUND(M22/60,2)*I22*$L$17*0.01*O22/100,"--")</f>
        <v>--</v>
      </c>
      <c r="R22" s="615">
        <f aca="true" t="shared" si="5" ref="R22:R41">IF(N22="F",I22*$L$17,"--")</f>
        <v>4944.999117015</v>
      </c>
      <c r="S22" s="616">
        <f aca="true" t="shared" si="6" ref="S22:S41">IF(AND(M22&gt;10,N22="F"),I22*$L$17*IF(M22&gt;180,3,ROUND(M22/60,2)),"--")</f>
        <v>14834.997351045</v>
      </c>
      <c r="T22" s="617">
        <f aca="true" t="shared" si="7" ref="T22:T41">IF(AND(M22&gt;180,N22="F"),(ROUND(M22/60,2)-3)*I22*$L$17*0.1,"--")</f>
        <v>2497.2245540925755</v>
      </c>
      <c r="U22" s="618" t="str">
        <f aca="true" t="shared" si="8" ref="U22:U41">IF(N22="R",I22*$L$17*O22/100,"--")</f>
        <v>--</v>
      </c>
      <c r="V22" s="619" t="str">
        <f aca="true" t="shared" si="9" ref="V22:V41">IF(AND(M22&gt;10,N22="R"),I22*$L$17*O22/100*IF(M22&gt;180,3,ROUND(M22/60,2)),"--")</f>
        <v>--</v>
      </c>
      <c r="W22" s="620" t="str">
        <f aca="true" t="shared" si="10" ref="W22:W41">IF(AND(M22&gt;180,N22="R"),(ROUND(M22/60,2)-3)*O22/100*I22*$L$17*0.1,"--")</f>
        <v>--</v>
      </c>
      <c r="X22" s="621" t="str">
        <f aca="true" t="shared" si="11" ref="X22:X41">IF(N22="RF",ROUND(M22/60,2)*I22*$L$17*0.1,"--")</f>
        <v>--</v>
      </c>
      <c r="Y22" s="622" t="str">
        <f aca="true" t="shared" si="12" ref="Y22:Y41">IF(N22="RR",ROUND(M22/60,2)*O22/100*I22*$L$17*0.1,"--")</f>
        <v>--</v>
      </c>
      <c r="Z22" s="623" t="s">
        <v>133</v>
      </c>
      <c r="AA22" s="50">
        <f aca="true" t="shared" si="13" ref="AA22:AA41">IF(F22="","",SUM(P22:Y22)*IF(Z22="SI",1,2))</f>
        <v>22277.221022152575</v>
      </c>
      <c r="AB22" s="3"/>
    </row>
    <row r="23" spans="1:28" ht="16.5" customHeight="1">
      <c r="A23" s="1"/>
      <c r="B23" s="2"/>
      <c r="C23" s="432">
        <v>2</v>
      </c>
      <c r="D23" s="432">
        <v>257134</v>
      </c>
      <c r="E23" s="432">
        <v>1637</v>
      </c>
      <c r="F23" s="433" t="s">
        <v>135</v>
      </c>
      <c r="G23" s="434">
        <v>330</v>
      </c>
      <c r="H23" s="435">
        <v>550</v>
      </c>
      <c r="I23" s="331">
        <f t="shared" si="0"/>
        <v>780.8643298499999</v>
      </c>
      <c r="J23" s="440">
        <v>41293.467361111114</v>
      </c>
      <c r="K23" s="440">
        <v>41293.60972222222</v>
      </c>
      <c r="L23" s="12">
        <f t="shared" si="1"/>
        <v>3.4166666666278616</v>
      </c>
      <c r="M23" s="13">
        <f t="shared" si="2"/>
        <v>205</v>
      </c>
      <c r="N23" s="441" t="s">
        <v>132</v>
      </c>
      <c r="O23" s="628" t="s">
        <v>134</v>
      </c>
      <c r="P23" s="613" t="str">
        <f t="shared" si="3"/>
        <v>--</v>
      </c>
      <c r="Q23" s="614" t="str">
        <f t="shared" si="4"/>
        <v>--</v>
      </c>
      <c r="R23" s="615">
        <f t="shared" si="5"/>
        <v>23425.929895499998</v>
      </c>
      <c r="S23" s="616">
        <f t="shared" si="6"/>
        <v>70277.7896865</v>
      </c>
      <c r="T23" s="617">
        <f t="shared" si="7"/>
        <v>983.8890556109997</v>
      </c>
      <c r="U23" s="618" t="str">
        <f t="shared" si="8"/>
        <v>--</v>
      </c>
      <c r="V23" s="619" t="str">
        <f t="shared" si="9"/>
        <v>--</v>
      </c>
      <c r="W23" s="620" t="str">
        <f t="shared" si="10"/>
        <v>--</v>
      </c>
      <c r="X23" s="621" t="str">
        <f t="shared" si="11"/>
        <v>--</v>
      </c>
      <c r="Y23" s="622" t="str">
        <f t="shared" si="12"/>
        <v>--</v>
      </c>
      <c r="Z23" s="623" t="s">
        <v>133</v>
      </c>
      <c r="AA23" s="50">
        <f t="shared" si="13"/>
        <v>94687.60863761099</v>
      </c>
      <c r="AB23" s="3"/>
    </row>
    <row r="24" spans="1:28" ht="16.5" customHeight="1">
      <c r="A24" s="1"/>
      <c r="B24" s="2"/>
      <c r="C24" s="432">
        <v>3</v>
      </c>
      <c r="D24" s="432">
        <v>257506</v>
      </c>
      <c r="E24" s="432">
        <v>4743</v>
      </c>
      <c r="F24" s="433" t="s">
        <v>136</v>
      </c>
      <c r="G24" s="434">
        <v>132</v>
      </c>
      <c r="H24" s="435">
        <v>85</v>
      </c>
      <c r="I24" s="331">
        <f t="shared" si="0"/>
        <v>115.315480095</v>
      </c>
      <c r="J24" s="440">
        <v>41302.33819444444</v>
      </c>
      <c r="K24" s="440">
        <v>41302.8</v>
      </c>
      <c r="L24" s="12">
        <f t="shared" si="1"/>
        <v>11.083333333488554</v>
      </c>
      <c r="M24" s="13">
        <f t="shared" si="2"/>
        <v>665</v>
      </c>
      <c r="N24" s="441" t="s">
        <v>137</v>
      </c>
      <c r="O24" s="628" t="s">
        <v>134</v>
      </c>
      <c r="P24" s="613">
        <f t="shared" si="3"/>
        <v>383.30865583578</v>
      </c>
      <c r="Q24" s="614" t="str">
        <f t="shared" si="4"/>
        <v>--</v>
      </c>
      <c r="R24" s="615" t="str">
        <f t="shared" si="5"/>
        <v>--</v>
      </c>
      <c r="S24" s="616" t="str">
        <f t="shared" si="6"/>
        <v>--</v>
      </c>
      <c r="T24" s="617" t="str">
        <f t="shared" si="7"/>
        <v>--</v>
      </c>
      <c r="U24" s="618" t="str">
        <f t="shared" si="8"/>
        <v>--</v>
      </c>
      <c r="V24" s="619" t="str">
        <f t="shared" si="9"/>
        <v>--</v>
      </c>
      <c r="W24" s="620" t="str">
        <f t="shared" si="10"/>
        <v>--</v>
      </c>
      <c r="X24" s="621" t="str">
        <f t="shared" si="11"/>
        <v>--</v>
      </c>
      <c r="Y24" s="622" t="str">
        <f t="shared" si="12"/>
        <v>--</v>
      </c>
      <c r="Z24" s="623" t="s">
        <v>133</v>
      </c>
      <c r="AA24" s="50">
        <f t="shared" si="13"/>
        <v>383.30865583578</v>
      </c>
      <c r="AB24" s="3"/>
    </row>
    <row r="25" spans="1:28" ht="16.5" customHeight="1">
      <c r="A25" s="1"/>
      <c r="B25" s="2"/>
      <c r="C25" s="432"/>
      <c r="D25" s="432"/>
      <c r="E25" s="432"/>
      <c r="F25" s="433"/>
      <c r="G25" s="434"/>
      <c r="H25" s="435"/>
      <c r="I25" s="331">
        <f t="shared" si="0"/>
        <v>33.916317675</v>
      </c>
      <c r="J25" s="440"/>
      <c r="K25" s="440"/>
      <c r="L25" s="12">
        <f t="shared" si="1"/>
      </c>
      <c r="M25" s="13">
        <f t="shared" si="2"/>
      </c>
      <c r="N25" s="441"/>
      <c r="O25" s="612">
        <f aca="true" t="shared" si="14" ref="O25:O41">IF(F25="","","--")</f>
      </c>
      <c r="P25" s="613" t="str">
        <f t="shared" si="3"/>
        <v>--</v>
      </c>
      <c r="Q25" s="614" t="str">
        <f t="shared" si="4"/>
        <v>--</v>
      </c>
      <c r="R25" s="615" t="str">
        <f t="shared" si="5"/>
        <v>--</v>
      </c>
      <c r="S25" s="616" t="str">
        <f t="shared" si="6"/>
        <v>--</v>
      </c>
      <c r="T25" s="617" t="str">
        <f t="shared" si="7"/>
        <v>--</v>
      </c>
      <c r="U25" s="618" t="str">
        <f t="shared" si="8"/>
        <v>--</v>
      </c>
      <c r="V25" s="619" t="str">
        <f t="shared" si="9"/>
        <v>--</v>
      </c>
      <c r="W25" s="620" t="str">
        <f t="shared" si="10"/>
        <v>--</v>
      </c>
      <c r="X25" s="621" t="str">
        <f t="shared" si="11"/>
        <v>--</v>
      </c>
      <c r="Y25" s="622" t="str">
        <f t="shared" si="12"/>
        <v>--</v>
      </c>
      <c r="Z25" s="623">
        <f aca="true" t="shared" si="15" ref="Z25:Z41">IF(F25="","","SI")</f>
      </c>
      <c r="AA25" s="50">
        <f t="shared" si="13"/>
      </c>
      <c r="AB25" s="3"/>
    </row>
    <row r="26" spans="1:28" ht="16.5" customHeight="1">
      <c r="A26" s="1"/>
      <c r="B26" s="2"/>
      <c r="C26" s="432"/>
      <c r="D26" s="432"/>
      <c r="E26" s="432"/>
      <c r="F26" s="433"/>
      <c r="G26" s="434"/>
      <c r="H26" s="435"/>
      <c r="I26" s="331">
        <f t="shared" si="0"/>
        <v>33.916317675</v>
      </c>
      <c r="J26" s="440"/>
      <c r="K26" s="440"/>
      <c r="L26" s="12">
        <f t="shared" si="1"/>
      </c>
      <c r="M26" s="13">
        <f t="shared" si="2"/>
      </c>
      <c r="N26" s="441"/>
      <c r="O26" s="612">
        <f t="shared" si="14"/>
      </c>
      <c r="P26" s="613" t="str">
        <f t="shared" si="3"/>
        <v>--</v>
      </c>
      <c r="Q26" s="614" t="str">
        <f t="shared" si="4"/>
        <v>--</v>
      </c>
      <c r="R26" s="615" t="str">
        <f t="shared" si="5"/>
        <v>--</v>
      </c>
      <c r="S26" s="616" t="str">
        <f t="shared" si="6"/>
        <v>--</v>
      </c>
      <c r="T26" s="617" t="str">
        <f t="shared" si="7"/>
        <v>--</v>
      </c>
      <c r="U26" s="618" t="str">
        <f t="shared" si="8"/>
        <v>--</v>
      </c>
      <c r="V26" s="619" t="str">
        <f t="shared" si="9"/>
        <v>--</v>
      </c>
      <c r="W26" s="620" t="str">
        <f t="shared" si="10"/>
        <v>--</v>
      </c>
      <c r="X26" s="621" t="str">
        <f t="shared" si="11"/>
        <v>--</v>
      </c>
      <c r="Y26" s="622" t="str">
        <f t="shared" si="12"/>
        <v>--</v>
      </c>
      <c r="Z26" s="623">
        <f t="shared" si="15"/>
      </c>
      <c r="AA26" s="50">
        <f t="shared" si="13"/>
      </c>
      <c r="AB26" s="3"/>
    </row>
    <row r="27" spans="1:28" ht="16.5" customHeight="1">
      <c r="A27" s="1"/>
      <c r="B27" s="2"/>
      <c r="C27" s="432"/>
      <c r="D27" s="432"/>
      <c r="E27" s="432"/>
      <c r="F27" s="433"/>
      <c r="G27" s="434"/>
      <c r="H27" s="435"/>
      <c r="I27" s="331">
        <f t="shared" si="0"/>
        <v>33.916317675</v>
      </c>
      <c r="J27" s="440"/>
      <c r="K27" s="440"/>
      <c r="L27" s="12">
        <f t="shared" si="1"/>
      </c>
      <c r="M27" s="13">
        <f t="shared" si="2"/>
      </c>
      <c r="N27" s="441"/>
      <c r="O27" s="612">
        <f t="shared" si="14"/>
      </c>
      <c r="P27" s="613" t="str">
        <f t="shared" si="3"/>
        <v>--</v>
      </c>
      <c r="Q27" s="614" t="str">
        <f t="shared" si="4"/>
        <v>--</v>
      </c>
      <c r="R27" s="615" t="str">
        <f t="shared" si="5"/>
        <v>--</v>
      </c>
      <c r="S27" s="616" t="str">
        <f t="shared" si="6"/>
        <v>--</v>
      </c>
      <c r="T27" s="617" t="str">
        <f t="shared" si="7"/>
        <v>--</v>
      </c>
      <c r="U27" s="618" t="str">
        <f t="shared" si="8"/>
        <v>--</v>
      </c>
      <c r="V27" s="619" t="str">
        <f t="shared" si="9"/>
        <v>--</v>
      </c>
      <c r="W27" s="620" t="str">
        <f t="shared" si="10"/>
        <v>--</v>
      </c>
      <c r="X27" s="621" t="str">
        <f t="shared" si="11"/>
        <v>--</v>
      </c>
      <c r="Y27" s="622" t="str">
        <f t="shared" si="12"/>
        <v>--</v>
      </c>
      <c r="Z27" s="623">
        <f t="shared" si="15"/>
      </c>
      <c r="AA27" s="50">
        <f t="shared" si="13"/>
      </c>
      <c r="AB27" s="3"/>
    </row>
    <row r="28" spans="1:28" ht="16.5" customHeight="1">
      <c r="A28" s="1"/>
      <c r="B28" s="2"/>
      <c r="C28" s="432"/>
      <c r="D28" s="432"/>
      <c r="E28" s="432"/>
      <c r="F28" s="433"/>
      <c r="G28" s="434"/>
      <c r="H28" s="435"/>
      <c r="I28" s="331">
        <f t="shared" si="0"/>
        <v>33.916317675</v>
      </c>
      <c r="J28" s="440"/>
      <c r="K28" s="440"/>
      <c r="L28" s="12">
        <f t="shared" si="1"/>
      </c>
      <c r="M28" s="13">
        <f t="shared" si="2"/>
      </c>
      <c r="N28" s="441"/>
      <c r="O28" s="612">
        <f t="shared" si="14"/>
      </c>
      <c r="P28" s="613" t="str">
        <f t="shared" si="3"/>
        <v>--</v>
      </c>
      <c r="Q28" s="614" t="str">
        <f t="shared" si="4"/>
        <v>--</v>
      </c>
      <c r="R28" s="615" t="str">
        <f t="shared" si="5"/>
        <v>--</v>
      </c>
      <c r="S28" s="616" t="str">
        <f t="shared" si="6"/>
        <v>--</v>
      </c>
      <c r="T28" s="617" t="str">
        <f t="shared" si="7"/>
        <v>--</v>
      </c>
      <c r="U28" s="618" t="str">
        <f t="shared" si="8"/>
        <v>--</v>
      </c>
      <c r="V28" s="619" t="str">
        <f t="shared" si="9"/>
        <v>--</v>
      </c>
      <c r="W28" s="620" t="str">
        <f t="shared" si="10"/>
        <v>--</v>
      </c>
      <c r="X28" s="621" t="str">
        <f t="shared" si="11"/>
        <v>--</v>
      </c>
      <c r="Y28" s="622" t="str">
        <f t="shared" si="12"/>
        <v>--</v>
      </c>
      <c r="Z28" s="623">
        <f t="shared" si="15"/>
      </c>
      <c r="AA28" s="50">
        <f t="shared" si="13"/>
      </c>
      <c r="AB28" s="3"/>
    </row>
    <row r="29" spans="1:28" ht="16.5" customHeight="1">
      <c r="A29" s="1"/>
      <c r="B29" s="2"/>
      <c r="C29" s="432"/>
      <c r="D29" s="432"/>
      <c r="E29" s="432"/>
      <c r="F29" s="433"/>
      <c r="G29" s="434"/>
      <c r="H29" s="435"/>
      <c r="I29" s="331">
        <f t="shared" si="0"/>
        <v>33.916317675</v>
      </c>
      <c r="J29" s="440"/>
      <c r="K29" s="440"/>
      <c r="L29" s="12">
        <f t="shared" si="1"/>
      </c>
      <c r="M29" s="13">
        <f t="shared" si="2"/>
      </c>
      <c r="N29" s="441"/>
      <c r="O29" s="612">
        <f t="shared" si="14"/>
      </c>
      <c r="P29" s="613" t="str">
        <f t="shared" si="3"/>
        <v>--</v>
      </c>
      <c r="Q29" s="614" t="str">
        <f t="shared" si="4"/>
        <v>--</v>
      </c>
      <c r="R29" s="615" t="str">
        <f t="shared" si="5"/>
        <v>--</v>
      </c>
      <c r="S29" s="616" t="str">
        <f t="shared" si="6"/>
        <v>--</v>
      </c>
      <c r="T29" s="617" t="str">
        <f t="shared" si="7"/>
        <v>--</v>
      </c>
      <c r="U29" s="618" t="str">
        <f t="shared" si="8"/>
        <v>--</v>
      </c>
      <c r="V29" s="619" t="str">
        <f t="shared" si="9"/>
        <v>--</v>
      </c>
      <c r="W29" s="620" t="str">
        <f t="shared" si="10"/>
        <v>--</v>
      </c>
      <c r="X29" s="621" t="str">
        <f t="shared" si="11"/>
        <v>--</v>
      </c>
      <c r="Y29" s="622" t="str">
        <f t="shared" si="12"/>
        <v>--</v>
      </c>
      <c r="Z29" s="623">
        <f t="shared" si="15"/>
      </c>
      <c r="AA29" s="50">
        <f t="shared" si="13"/>
      </c>
      <c r="AB29" s="3"/>
    </row>
    <row r="30" spans="1:28" ht="16.5" customHeight="1">
      <c r="A30" s="1"/>
      <c r="B30" s="2"/>
      <c r="C30" s="432"/>
      <c r="D30" s="432"/>
      <c r="E30" s="432"/>
      <c r="F30" s="433"/>
      <c r="G30" s="434"/>
      <c r="H30" s="435"/>
      <c r="I30" s="331">
        <f t="shared" si="0"/>
        <v>33.916317675</v>
      </c>
      <c r="J30" s="440"/>
      <c r="K30" s="440"/>
      <c r="L30" s="12">
        <f t="shared" si="1"/>
      </c>
      <c r="M30" s="13">
        <f t="shared" si="2"/>
      </c>
      <c r="N30" s="441"/>
      <c r="O30" s="612">
        <f t="shared" si="14"/>
      </c>
      <c r="P30" s="613" t="str">
        <f t="shared" si="3"/>
        <v>--</v>
      </c>
      <c r="Q30" s="614" t="str">
        <f t="shared" si="4"/>
        <v>--</v>
      </c>
      <c r="R30" s="615" t="str">
        <f t="shared" si="5"/>
        <v>--</v>
      </c>
      <c r="S30" s="616" t="str">
        <f t="shared" si="6"/>
        <v>--</v>
      </c>
      <c r="T30" s="617" t="str">
        <f t="shared" si="7"/>
        <v>--</v>
      </c>
      <c r="U30" s="618" t="str">
        <f t="shared" si="8"/>
        <v>--</v>
      </c>
      <c r="V30" s="619" t="str">
        <f t="shared" si="9"/>
        <v>--</v>
      </c>
      <c r="W30" s="620" t="str">
        <f t="shared" si="10"/>
        <v>--</v>
      </c>
      <c r="X30" s="621" t="str">
        <f t="shared" si="11"/>
        <v>--</v>
      </c>
      <c r="Y30" s="622" t="str">
        <f t="shared" si="12"/>
        <v>--</v>
      </c>
      <c r="Z30" s="623">
        <f t="shared" si="15"/>
      </c>
      <c r="AA30" s="50">
        <f t="shared" si="13"/>
      </c>
      <c r="AB30" s="3"/>
    </row>
    <row r="31" spans="1:28" ht="16.5" customHeight="1">
      <c r="A31" s="1"/>
      <c r="B31" s="2"/>
      <c r="C31" s="432"/>
      <c r="D31" s="432"/>
      <c r="E31" s="432"/>
      <c r="F31" s="433"/>
      <c r="G31" s="434"/>
      <c r="H31" s="435"/>
      <c r="I31" s="331">
        <f t="shared" si="0"/>
        <v>33.916317675</v>
      </c>
      <c r="J31" s="440"/>
      <c r="K31" s="440"/>
      <c r="L31" s="12">
        <f t="shared" si="1"/>
      </c>
      <c r="M31" s="13">
        <f t="shared" si="2"/>
      </c>
      <c r="N31" s="441"/>
      <c r="O31" s="612">
        <f t="shared" si="14"/>
      </c>
      <c r="P31" s="613" t="str">
        <f t="shared" si="3"/>
        <v>--</v>
      </c>
      <c r="Q31" s="614" t="str">
        <f t="shared" si="4"/>
        <v>--</v>
      </c>
      <c r="R31" s="615" t="str">
        <f t="shared" si="5"/>
        <v>--</v>
      </c>
      <c r="S31" s="616" t="str">
        <f t="shared" si="6"/>
        <v>--</v>
      </c>
      <c r="T31" s="617" t="str">
        <f t="shared" si="7"/>
        <v>--</v>
      </c>
      <c r="U31" s="618" t="str">
        <f t="shared" si="8"/>
        <v>--</v>
      </c>
      <c r="V31" s="619" t="str">
        <f t="shared" si="9"/>
        <v>--</v>
      </c>
      <c r="W31" s="620" t="str">
        <f t="shared" si="10"/>
        <v>--</v>
      </c>
      <c r="X31" s="621" t="str">
        <f t="shared" si="11"/>
        <v>--</v>
      </c>
      <c r="Y31" s="622" t="str">
        <f t="shared" si="12"/>
        <v>--</v>
      </c>
      <c r="Z31" s="623">
        <f t="shared" si="15"/>
      </c>
      <c r="AA31" s="50">
        <f t="shared" si="13"/>
      </c>
      <c r="AB31" s="3"/>
    </row>
    <row r="32" spans="1:28" ht="16.5" customHeight="1">
      <c r="A32" s="1"/>
      <c r="B32" s="2"/>
      <c r="C32" s="432"/>
      <c r="D32" s="432"/>
      <c r="E32" s="432"/>
      <c r="F32" s="433"/>
      <c r="G32" s="434"/>
      <c r="H32" s="435"/>
      <c r="I32" s="331">
        <f t="shared" si="0"/>
        <v>33.916317675</v>
      </c>
      <c r="J32" s="440"/>
      <c r="K32" s="440"/>
      <c r="L32" s="12">
        <f t="shared" si="1"/>
      </c>
      <c r="M32" s="13">
        <f t="shared" si="2"/>
      </c>
      <c r="N32" s="441"/>
      <c r="O32" s="612">
        <f t="shared" si="14"/>
      </c>
      <c r="P32" s="613" t="str">
        <f t="shared" si="3"/>
        <v>--</v>
      </c>
      <c r="Q32" s="614" t="str">
        <f t="shared" si="4"/>
        <v>--</v>
      </c>
      <c r="R32" s="615" t="str">
        <f t="shared" si="5"/>
        <v>--</v>
      </c>
      <c r="S32" s="616" t="str">
        <f t="shared" si="6"/>
        <v>--</v>
      </c>
      <c r="T32" s="617" t="str">
        <f t="shared" si="7"/>
        <v>--</v>
      </c>
      <c r="U32" s="618" t="str">
        <f t="shared" si="8"/>
        <v>--</v>
      </c>
      <c r="V32" s="619" t="str">
        <f t="shared" si="9"/>
        <v>--</v>
      </c>
      <c r="W32" s="620" t="str">
        <f t="shared" si="10"/>
        <v>--</v>
      </c>
      <c r="X32" s="621" t="str">
        <f t="shared" si="11"/>
        <v>--</v>
      </c>
      <c r="Y32" s="622" t="str">
        <f t="shared" si="12"/>
        <v>--</v>
      </c>
      <c r="Z32" s="623">
        <f t="shared" si="15"/>
      </c>
      <c r="AA32" s="50">
        <f t="shared" si="13"/>
      </c>
      <c r="AB32" s="3"/>
    </row>
    <row r="33" spans="1:28" ht="16.5" customHeight="1">
      <c r="A33" s="1"/>
      <c r="B33" s="2"/>
      <c r="C33" s="432"/>
      <c r="D33" s="432"/>
      <c r="E33" s="432"/>
      <c r="F33" s="433"/>
      <c r="G33" s="434"/>
      <c r="H33" s="435"/>
      <c r="I33" s="331">
        <f t="shared" si="0"/>
        <v>33.916317675</v>
      </c>
      <c r="J33" s="440"/>
      <c r="K33" s="440"/>
      <c r="L33" s="12">
        <f t="shared" si="1"/>
      </c>
      <c r="M33" s="13">
        <f t="shared" si="2"/>
      </c>
      <c r="N33" s="441"/>
      <c r="O33" s="612">
        <f t="shared" si="14"/>
      </c>
      <c r="P33" s="613" t="str">
        <f t="shared" si="3"/>
        <v>--</v>
      </c>
      <c r="Q33" s="614" t="str">
        <f t="shared" si="4"/>
        <v>--</v>
      </c>
      <c r="R33" s="615" t="str">
        <f t="shared" si="5"/>
        <v>--</v>
      </c>
      <c r="S33" s="616" t="str">
        <f t="shared" si="6"/>
        <v>--</v>
      </c>
      <c r="T33" s="617" t="str">
        <f t="shared" si="7"/>
        <v>--</v>
      </c>
      <c r="U33" s="618" t="str">
        <f t="shared" si="8"/>
        <v>--</v>
      </c>
      <c r="V33" s="619" t="str">
        <f t="shared" si="9"/>
        <v>--</v>
      </c>
      <c r="W33" s="620" t="str">
        <f t="shared" si="10"/>
        <v>--</v>
      </c>
      <c r="X33" s="621" t="str">
        <f t="shared" si="11"/>
        <v>--</v>
      </c>
      <c r="Y33" s="622" t="str">
        <f t="shared" si="12"/>
        <v>--</v>
      </c>
      <c r="Z33" s="623">
        <f t="shared" si="15"/>
      </c>
      <c r="AA33" s="50">
        <f t="shared" si="13"/>
      </c>
      <c r="AB33" s="3"/>
    </row>
    <row r="34" spans="1:28" ht="16.5" customHeight="1">
      <c r="A34" s="1"/>
      <c r="B34" s="2"/>
      <c r="C34" s="432"/>
      <c r="D34" s="432"/>
      <c r="E34" s="432"/>
      <c r="F34" s="433"/>
      <c r="G34" s="434"/>
      <c r="H34" s="435"/>
      <c r="I34" s="331">
        <f t="shared" si="0"/>
        <v>33.916317675</v>
      </c>
      <c r="J34" s="440"/>
      <c r="K34" s="440"/>
      <c r="L34" s="12">
        <f t="shared" si="1"/>
      </c>
      <c r="M34" s="13">
        <f t="shared" si="2"/>
      </c>
      <c r="N34" s="441"/>
      <c r="O34" s="612">
        <f t="shared" si="14"/>
      </c>
      <c r="P34" s="613" t="str">
        <f t="shared" si="3"/>
        <v>--</v>
      </c>
      <c r="Q34" s="614" t="str">
        <f t="shared" si="4"/>
        <v>--</v>
      </c>
      <c r="R34" s="615" t="str">
        <f t="shared" si="5"/>
        <v>--</v>
      </c>
      <c r="S34" s="616" t="str">
        <f t="shared" si="6"/>
        <v>--</v>
      </c>
      <c r="T34" s="617" t="str">
        <f t="shared" si="7"/>
        <v>--</v>
      </c>
      <c r="U34" s="618" t="str">
        <f t="shared" si="8"/>
        <v>--</v>
      </c>
      <c r="V34" s="619" t="str">
        <f t="shared" si="9"/>
        <v>--</v>
      </c>
      <c r="W34" s="620" t="str">
        <f t="shared" si="10"/>
        <v>--</v>
      </c>
      <c r="X34" s="621" t="str">
        <f t="shared" si="11"/>
        <v>--</v>
      </c>
      <c r="Y34" s="622" t="str">
        <f t="shared" si="12"/>
        <v>--</v>
      </c>
      <c r="Z34" s="623">
        <f t="shared" si="15"/>
      </c>
      <c r="AA34" s="50">
        <f t="shared" si="13"/>
      </c>
      <c r="AB34" s="3"/>
    </row>
    <row r="35" spans="1:28" ht="16.5" customHeight="1">
      <c r="A35" s="1"/>
      <c r="B35" s="2"/>
      <c r="C35" s="432"/>
      <c r="D35" s="432"/>
      <c r="E35" s="432"/>
      <c r="F35" s="433"/>
      <c r="G35" s="434"/>
      <c r="H35" s="435"/>
      <c r="I35" s="331">
        <f t="shared" si="0"/>
        <v>33.916317675</v>
      </c>
      <c r="J35" s="440"/>
      <c r="K35" s="440"/>
      <c r="L35" s="12">
        <f t="shared" si="1"/>
      </c>
      <c r="M35" s="13">
        <f t="shared" si="2"/>
      </c>
      <c r="N35" s="441"/>
      <c r="O35" s="612">
        <f t="shared" si="14"/>
      </c>
      <c r="P35" s="613" t="str">
        <f t="shared" si="3"/>
        <v>--</v>
      </c>
      <c r="Q35" s="614" t="str">
        <f t="shared" si="4"/>
        <v>--</v>
      </c>
      <c r="R35" s="615" t="str">
        <f t="shared" si="5"/>
        <v>--</v>
      </c>
      <c r="S35" s="616" t="str">
        <f t="shared" si="6"/>
        <v>--</v>
      </c>
      <c r="T35" s="617" t="str">
        <f t="shared" si="7"/>
        <v>--</v>
      </c>
      <c r="U35" s="618" t="str">
        <f t="shared" si="8"/>
        <v>--</v>
      </c>
      <c r="V35" s="619" t="str">
        <f t="shared" si="9"/>
        <v>--</v>
      </c>
      <c r="W35" s="620" t="str">
        <f t="shared" si="10"/>
        <v>--</v>
      </c>
      <c r="X35" s="621" t="str">
        <f t="shared" si="11"/>
        <v>--</v>
      </c>
      <c r="Y35" s="622" t="str">
        <f t="shared" si="12"/>
        <v>--</v>
      </c>
      <c r="Z35" s="623">
        <f t="shared" si="15"/>
      </c>
      <c r="AA35" s="50">
        <f t="shared" si="13"/>
      </c>
      <c r="AB35" s="3"/>
    </row>
    <row r="36" spans="1:28" ht="16.5" customHeight="1">
      <c r="A36" s="1"/>
      <c r="B36" s="2"/>
      <c r="C36" s="432"/>
      <c r="D36" s="432"/>
      <c r="E36" s="432"/>
      <c r="F36" s="433"/>
      <c r="G36" s="434"/>
      <c r="H36" s="435"/>
      <c r="I36" s="331">
        <f t="shared" si="0"/>
        <v>33.916317675</v>
      </c>
      <c r="J36" s="440"/>
      <c r="K36" s="440"/>
      <c r="L36" s="12">
        <f t="shared" si="1"/>
      </c>
      <c r="M36" s="13">
        <f t="shared" si="2"/>
      </c>
      <c r="N36" s="441"/>
      <c r="O36" s="612">
        <f t="shared" si="14"/>
      </c>
      <c r="P36" s="613" t="str">
        <f t="shared" si="3"/>
        <v>--</v>
      </c>
      <c r="Q36" s="614" t="str">
        <f t="shared" si="4"/>
        <v>--</v>
      </c>
      <c r="R36" s="615" t="str">
        <f t="shared" si="5"/>
        <v>--</v>
      </c>
      <c r="S36" s="616" t="str">
        <f t="shared" si="6"/>
        <v>--</v>
      </c>
      <c r="T36" s="617" t="str">
        <f t="shared" si="7"/>
        <v>--</v>
      </c>
      <c r="U36" s="618" t="str">
        <f t="shared" si="8"/>
        <v>--</v>
      </c>
      <c r="V36" s="619" t="str">
        <f t="shared" si="9"/>
        <v>--</v>
      </c>
      <c r="W36" s="620" t="str">
        <f t="shared" si="10"/>
        <v>--</v>
      </c>
      <c r="X36" s="621" t="str">
        <f t="shared" si="11"/>
        <v>--</v>
      </c>
      <c r="Y36" s="622" t="str">
        <f t="shared" si="12"/>
        <v>--</v>
      </c>
      <c r="Z36" s="623">
        <f t="shared" si="15"/>
      </c>
      <c r="AA36" s="50">
        <f t="shared" si="13"/>
      </c>
      <c r="AB36" s="3"/>
    </row>
    <row r="37" spans="1:28" ht="16.5" customHeight="1">
      <c r="A37" s="1"/>
      <c r="B37" s="2"/>
      <c r="C37" s="432"/>
      <c r="D37" s="432"/>
      <c r="E37" s="432"/>
      <c r="F37" s="433"/>
      <c r="G37" s="434"/>
      <c r="H37" s="435"/>
      <c r="I37" s="331">
        <f t="shared" si="0"/>
        <v>33.916317675</v>
      </c>
      <c r="J37" s="440"/>
      <c r="K37" s="440"/>
      <c r="L37" s="12">
        <f t="shared" si="1"/>
      </c>
      <c r="M37" s="13">
        <f t="shared" si="2"/>
      </c>
      <c r="N37" s="441"/>
      <c r="O37" s="612">
        <f t="shared" si="14"/>
      </c>
      <c r="P37" s="613" t="str">
        <f t="shared" si="3"/>
        <v>--</v>
      </c>
      <c r="Q37" s="614" t="str">
        <f t="shared" si="4"/>
        <v>--</v>
      </c>
      <c r="R37" s="615" t="str">
        <f t="shared" si="5"/>
        <v>--</v>
      </c>
      <c r="S37" s="616" t="str">
        <f t="shared" si="6"/>
        <v>--</v>
      </c>
      <c r="T37" s="617" t="str">
        <f t="shared" si="7"/>
        <v>--</v>
      </c>
      <c r="U37" s="618" t="str">
        <f t="shared" si="8"/>
        <v>--</v>
      </c>
      <c r="V37" s="619" t="str">
        <f t="shared" si="9"/>
        <v>--</v>
      </c>
      <c r="W37" s="620" t="str">
        <f t="shared" si="10"/>
        <v>--</v>
      </c>
      <c r="X37" s="621" t="str">
        <f t="shared" si="11"/>
        <v>--</v>
      </c>
      <c r="Y37" s="622" t="str">
        <f t="shared" si="12"/>
        <v>--</v>
      </c>
      <c r="Z37" s="623">
        <f t="shared" si="15"/>
      </c>
      <c r="AA37" s="50">
        <f t="shared" si="13"/>
      </c>
      <c r="AB37" s="3"/>
    </row>
    <row r="38" spans="2:28" ht="16.5" customHeight="1">
      <c r="B38" s="51"/>
      <c r="C38" s="432"/>
      <c r="D38" s="432"/>
      <c r="E38" s="432"/>
      <c r="F38" s="433"/>
      <c r="G38" s="434"/>
      <c r="H38" s="435"/>
      <c r="I38" s="331">
        <f t="shared" si="0"/>
        <v>33.916317675</v>
      </c>
      <c r="J38" s="440"/>
      <c r="K38" s="440"/>
      <c r="L38" s="12">
        <f t="shared" si="1"/>
      </c>
      <c r="M38" s="13">
        <f t="shared" si="2"/>
      </c>
      <c r="N38" s="441"/>
      <c r="O38" s="612">
        <f t="shared" si="14"/>
      </c>
      <c r="P38" s="613" t="str">
        <f t="shared" si="3"/>
        <v>--</v>
      </c>
      <c r="Q38" s="614" t="str">
        <f t="shared" si="4"/>
        <v>--</v>
      </c>
      <c r="R38" s="615" t="str">
        <f t="shared" si="5"/>
        <v>--</v>
      </c>
      <c r="S38" s="616" t="str">
        <f t="shared" si="6"/>
        <v>--</v>
      </c>
      <c r="T38" s="617" t="str">
        <f t="shared" si="7"/>
        <v>--</v>
      </c>
      <c r="U38" s="618" t="str">
        <f t="shared" si="8"/>
        <v>--</v>
      </c>
      <c r="V38" s="619" t="str">
        <f t="shared" si="9"/>
        <v>--</v>
      </c>
      <c r="W38" s="620" t="str">
        <f t="shared" si="10"/>
        <v>--</v>
      </c>
      <c r="X38" s="621" t="str">
        <f t="shared" si="11"/>
        <v>--</v>
      </c>
      <c r="Y38" s="622" t="str">
        <f t="shared" si="12"/>
        <v>--</v>
      </c>
      <c r="Z38" s="623">
        <f t="shared" si="15"/>
      </c>
      <c r="AA38" s="50">
        <f t="shared" si="13"/>
      </c>
      <c r="AB38" s="3"/>
    </row>
    <row r="39" spans="2:28" ht="16.5" customHeight="1">
      <c r="B39" s="51"/>
      <c r="C39" s="432"/>
      <c r="D39" s="432"/>
      <c r="E39" s="432"/>
      <c r="F39" s="433"/>
      <c r="G39" s="434"/>
      <c r="H39" s="435"/>
      <c r="I39" s="331">
        <f t="shared" si="0"/>
        <v>33.916317675</v>
      </c>
      <c r="J39" s="440"/>
      <c r="K39" s="440"/>
      <c r="L39" s="12">
        <f t="shared" si="1"/>
      </c>
      <c r="M39" s="13">
        <f t="shared" si="2"/>
      </c>
      <c r="N39" s="441"/>
      <c r="O39" s="612">
        <f t="shared" si="14"/>
      </c>
      <c r="P39" s="613" t="str">
        <f t="shared" si="3"/>
        <v>--</v>
      </c>
      <c r="Q39" s="614" t="str">
        <f t="shared" si="4"/>
        <v>--</v>
      </c>
      <c r="R39" s="615" t="str">
        <f t="shared" si="5"/>
        <v>--</v>
      </c>
      <c r="S39" s="616" t="str">
        <f t="shared" si="6"/>
        <v>--</v>
      </c>
      <c r="T39" s="617" t="str">
        <f t="shared" si="7"/>
        <v>--</v>
      </c>
      <c r="U39" s="618" t="str">
        <f t="shared" si="8"/>
        <v>--</v>
      </c>
      <c r="V39" s="619" t="str">
        <f t="shared" si="9"/>
        <v>--</v>
      </c>
      <c r="W39" s="620" t="str">
        <f t="shared" si="10"/>
        <v>--</v>
      </c>
      <c r="X39" s="621" t="str">
        <f t="shared" si="11"/>
        <v>--</v>
      </c>
      <c r="Y39" s="622" t="str">
        <f t="shared" si="12"/>
        <v>--</v>
      </c>
      <c r="Z39" s="623">
        <f t="shared" si="15"/>
      </c>
      <c r="AA39" s="50">
        <f t="shared" si="13"/>
      </c>
      <c r="AB39" s="3"/>
    </row>
    <row r="40" spans="2:28" ht="16.5" customHeight="1">
      <c r="B40" s="51"/>
      <c r="C40" s="432"/>
      <c r="D40" s="432"/>
      <c r="E40" s="432"/>
      <c r="F40" s="433"/>
      <c r="G40" s="434"/>
      <c r="H40" s="435"/>
      <c r="I40" s="331">
        <f t="shared" si="0"/>
        <v>33.916317675</v>
      </c>
      <c r="J40" s="440"/>
      <c r="K40" s="440"/>
      <c r="L40" s="12">
        <f t="shared" si="1"/>
      </c>
      <c r="M40" s="13">
        <f t="shared" si="2"/>
      </c>
      <c r="N40" s="441"/>
      <c r="O40" s="612">
        <f t="shared" si="14"/>
      </c>
      <c r="P40" s="613" t="str">
        <f t="shared" si="3"/>
        <v>--</v>
      </c>
      <c r="Q40" s="614" t="str">
        <f t="shared" si="4"/>
        <v>--</v>
      </c>
      <c r="R40" s="615" t="str">
        <f t="shared" si="5"/>
        <v>--</v>
      </c>
      <c r="S40" s="616" t="str">
        <f t="shared" si="6"/>
        <v>--</v>
      </c>
      <c r="T40" s="617" t="str">
        <f t="shared" si="7"/>
        <v>--</v>
      </c>
      <c r="U40" s="618" t="str">
        <f t="shared" si="8"/>
        <v>--</v>
      </c>
      <c r="V40" s="619" t="str">
        <f t="shared" si="9"/>
        <v>--</v>
      </c>
      <c r="W40" s="620" t="str">
        <f t="shared" si="10"/>
        <v>--</v>
      </c>
      <c r="X40" s="621" t="str">
        <f t="shared" si="11"/>
        <v>--</v>
      </c>
      <c r="Y40" s="622" t="str">
        <f t="shared" si="12"/>
        <v>--</v>
      </c>
      <c r="Z40" s="623">
        <f t="shared" si="15"/>
      </c>
      <c r="AA40" s="50">
        <f t="shared" si="13"/>
      </c>
      <c r="AB40" s="3"/>
    </row>
    <row r="41" spans="2:28" ht="16.5" customHeight="1">
      <c r="B41" s="51"/>
      <c r="C41" s="432"/>
      <c r="D41" s="432"/>
      <c r="E41" s="432"/>
      <c r="F41" s="433"/>
      <c r="G41" s="434"/>
      <c r="H41" s="435"/>
      <c r="I41" s="331">
        <f t="shared" si="0"/>
        <v>33.916317675</v>
      </c>
      <c r="J41" s="440"/>
      <c r="K41" s="440"/>
      <c r="L41" s="12">
        <f t="shared" si="1"/>
      </c>
      <c r="M41" s="13">
        <f t="shared" si="2"/>
      </c>
      <c r="N41" s="441"/>
      <c r="O41" s="612">
        <f t="shared" si="14"/>
      </c>
      <c r="P41" s="613" t="str">
        <f t="shared" si="3"/>
        <v>--</v>
      </c>
      <c r="Q41" s="614" t="str">
        <f t="shared" si="4"/>
        <v>--</v>
      </c>
      <c r="R41" s="615" t="str">
        <f t="shared" si="5"/>
        <v>--</v>
      </c>
      <c r="S41" s="616" t="str">
        <f t="shared" si="6"/>
        <v>--</v>
      </c>
      <c r="T41" s="617" t="str">
        <f t="shared" si="7"/>
        <v>--</v>
      </c>
      <c r="U41" s="618" t="str">
        <f t="shared" si="8"/>
        <v>--</v>
      </c>
      <c r="V41" s="619" t="str">
        <f t="shared" si="9"/>
        <v>--</v>
      </c>
      <c r="W41" s="620" t="str">
        <f t="shared" si="10"/>
        <v>--</v>
      </c>
      <c r="X41" s="621" t="str">
        <f t="shared" si="11"/>
        <v>--</v>
      </c>
      <c r="Y41" s="622" t="str">
        <f t="shared" si="12"/>
        <v>--</v>
      </c>
      <c r="Z41" s="623">
        <f t="shared" si="15"/>
      </c>
      <c r="AA41" s="50">
        <f t="shared" si="13"/>
      </c>
      <c r="AB41" s="3"/>
    </row>
    <row r="42" spans="1:28" ht="16.5" customHeight="1" thickBot="1">
      <c r="A42" s="1"/>
      <c r="B42" s="2"/>
      <c r="C42" s="436"/>
      <c r="D42" s="436"/>
      <c r="E42" s="436"/>
      <c r="F42" s="437"/>
      <c r="G42" s="438"/>
      <c r="H42" s="439"/>
      <c r="I42" s="332"/>
      <c r="J42" s="439"/>
      <c r="K42" s="439"/>
      <c r="L42" s="14"/>
      <c r="M42" s="14"/>
      <c r="N42" s="439"/>
      <c r="O42" s="442"/>
      <c r="P42" s="443"/>
      <c r="Q42" s="444"/>
      <c r="R42" s="445"/>
      <c r="S42" s="446"/>
      <c r="T42" s="447"/>
      <c r="U42" s="448"/>
      <c r="V42" s="449"/>
      <c r="W42" s="450"/>
      <c r="X42" s="451"/>
      <c r="Y42" s="452"/>
      <c r="Z42" s="453"/>
      <c r="AA42" s="52"/>
      <c r="AB42" s="3"/>
    </row>
    <row r="43" spans="1:28" ht="16.5" customHeight="1" thickBot="1" thickTop="1">
      <c r="A43" s="1"/>
      <c r="B43" s="2"/>
      <c r="C43" s="640" t="s">
        <v>156</v>
      </c>
      <c r="D43" s="639" t="s">
        <v>155</v>
      </c>
      <c r="E43" s="607"/>
      <c r="F43" s="212"/>
      <c r="G43" s="15"/>
      <c r="H43" s="16"/>
      <c r="I43" s="53"/>
      <c r="J43" s="53"/>
      <c r="K43" s="53"/>
      <c r="L43" s="53"/>
      <c r="M43" s="53"/>
      <c r="N43" s="53"/>
      <c r="O43" s="54"/>
      <c r="P43" s="294">
        <f aca="true" t="shared" si="16" ref="P43:Y43">ROUND(SUM(P20:P42),2)</f>
        <v>383.31</v>
      </c>
      <c r="Q43" s="295">
        <f t="shared" si="16"/>
        <v>0</v>
      </c>
      <c r="R43" s="296">
        <f t="shared" si="16"/>
        <v>28370.93</v>
      </c>
      <c r="S43" s="296">
        <f t="shared" si="16"/>
        <v>85112.79</v>
      </c>
      <c r="T43" s="297">
        <f t="shared" si="16"/>
        <v>3481.11</v>
      </c>
      <c r="U43" s="298">
        <f t="shared" si="16"/>
        <v>0</v>
      </c>
      <c r="V43" s="298">
        <f t="shared" si="16"/>
        <v>0</v>
      </c>
      <c r="W43" s="299">
        <f t="shared" si="16"/>
        <v>0</v>
      </c>
      <c r="X43" s="300">
        <f t="shared" si="16"/>
        <v>0</v>
      </c>
      <c r="Y43" s="301">
        <f t="shared" si="16"/>
        <v>0</v>
      </c>
      <c r="Z43" s="55"/>
      <c r="AA43" s="611">
        <f>ROUND(SUM(AA20:AA42),2)</f>
        <v>117348.14</v>
      </c>
      <c r="AB43" s="56"/>
    </row>
    <row r="44" spans="1:28" s="226" customFormat="1" ht="9.75" thickTop="1">
      <c r="A44" s="215"/>
      <c r="B44" s="216"/>
      <c r="C44" s="213"/>
      <c r="D44" s="213"/>
      <c r="E44" s="213"/>
      <c r="F44" s="214"/>
      <c r="G44" s="217"/>
      <c r="H44" s="218"/>
      <c r="I44" s="219"/>
      <c r="J44" s="219"/>
      <c r="K44" s="219"/>
      <c r="L44" s="219"/>
      <c r="M44" s="219"/>
      <c r="N44" s="219"/>
      <c r="O44" s="220"/>
      <c r="P44" s="221"/>
      <c r="Q44" s="221"/>
      <c r="R44" s="222"/>
      <c r="S44" s="222"/>
      <c r="T44" s="223"/>
      <c r="U44" s="223"/>
      <c r="V44" s="223"/>
      <c r="W44" s="223"/>
      <c r="X44" s="223"/>
      <c r="Y44" s="223"/>
      <c r="Z44" s="223"/>
      <c r="AA44" s="224"/>
      <c r="AB44" s="225"/>
    </row>
    <row r="45" spans="1:28" s="9" customFormat="1" ht="16.5" customHeight="1" thickBot="1">
      <c r="A45" s="7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85"/>
  <sheetViews>
    <sheetView zoomScale="70" zoomScaleNormal="70" workbookViewId="0" topLeftCell="A1">
      <selection activeCell="A22" sqref="A22:IV2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1" customFormat="1" ht="26.25">
      <c r="AB1" s="337"/>
    </row>
    <row r="2" spans="2:28" s="101" customFormat="1" ht="26.25">
      <c r="B2" s="102" t="str">
        <f>+'TOT-0113'!B2</f>
        <v>ANEXO I al Memorándum  D.T.E.E.  N°           / 2014.-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="9" customFormat="1" ht="12.75"/>
    <row r="4" spans="1:4" s="104" customFormat="1" ht="11.25">
      <c r="A4" s="610" t="s">
        <v>17</v>
      </c>
      <c r="C4" s="609"/>
      <c r="D4" s="609"/>
    </row>
    <row r="5" spans="1:4" s="104" customFormat="1" ht="11.25">
      <c r="A5" s="610" t="s">
        <v>127</v>
      </c>
      <c r="C5" s="609"/>
      <c r="D5" s="609"/>
    </row>
    <row r="6" s="9" customFormat="1" ht="13.5" thickBot="1"/>
    <row r="7" spans="1:28" s="9" customFormat="1" ht="13.5" thickTop="1">
      <c r="A7" s="7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s="106" customFormat="1" ht="20.25">
      <c r="A8" s="40"/>
      <c r="B8" s="105"/>
      <c r="C8" s="40"/>
      <c r="D8" s="40"/>
      <c r="E8" s="40"/>
      <c r="F8" s="19" t="s">
        <v>36</v>
      </c>
      <c r="G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07"/>
    </row>
    <row r="9" spans="1:28" s="9" customFormat="1" ht="12.75">
      <c r="A9" s="7"/>
      <c r="B9" s="39"/>
      <c r="C9" s="7"/>
      <c r="D9" s="7"/>
      <c r="E9" s="7"/>
      <c r="F9" s="118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</row>
    <row r="10" spans="1:28" s="106" customFormat="1" ht="20.25">
      <c r="A10" s="40"/>
      <c r="B10" s="105"/>
      <c r="C10" s="40"/>
      <c r="D10" s="40"/>
      <c r="E10" s="40"/>
      <c r="F10" s="19" t="s">
        <v>124</v>
      </c>
      <c r="G10" s="19"/>
      <c r="H10" s="40"/>
      <c r="I10" s="108"/>
      <c r="J10" s="108"/>
      <c r="K10" s="108"/>
      <c r="L10" s="108"/>
      <c r="M10" s="108"/>
      <c r="N10" s="108"/>
      <c r="O10" s="108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07"/>
    </row>
    <row r="11" spans="1:28" s="9" customFormat="1" ht="12.75">
      <c r="A11" s="7"/>
      <c r="B11" s="39"/>
      <c r="C11" s="7"/>
      <c r="D11" s="7"/>
      <c r="E11" s="7"/>
      <c r="F11" s="117"/>
      <c r="G11" s="115"/>
      <c r="H11" s="7"/>
      <c r="I11" s="114"/>
      <c r="J11" s="114"/>
      <c r="K11" s="114"/>
      <c r="L11" s="114"/>
      <c r="M11" s="114"/>
      <c r="N11" s="114"/>
      <c r="O11" s="11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</row>
    <row r="12" spans="1:28" s="113" customFormat="1" ht="19.5">
      <c r="A12" s="42"/>
      <c r="B12" s="79" t="str">
        <f>+'TOT-0113'!B14</f>
        <v>Desde el 01 al 31 de enero de 2013</v>
      </c>
      <c r="C12" s="109"/>
      <c r="D12" s="109"/>
      <c r="E12" s="109"/>
      <c r="F12" s="109"/>
      <c r="G12" s="110"/>
      <c r="H12" s="110"/>
      <c r="I12" s="111"/>
      <c r="J12" s="111"/>
      <c r="K12" s="111"/>
      <c r="L12" s="111"/>
      <c r="M12" s="111"/>
      <c r="N12" s="111"/>
      <c r="O12" s="111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12"/>
    </row>
    <row r="13" spans="1:28" s="113" customFormat="1" ht="7.5" customHeight="1">
      <c r="A13" s="42"/>
      <c r="B13" s="79"/>
      <c r="C13" s="109"/>
      <c r="D13" s="109"/>
      <c r="E13" s="109"/>
      <c r="F13" s="109"/>
      <c r="G13" s="110"/>
      <c r="H13" s="110"/>
      <c r="I13" s="111"/>
      <c r="J13" s="111"/>
      <c r="K13" s="111"/>
      <c r="L13" s="111"/>
      <c r="M13" s="111"/>
      <c r="N13" s="111"/>
      <c r="O13" s="111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12"/>
    </row>
    <row r="14" spans="1:28" s="9" customFormat="1" ht="7.5" customHeight="1" thickBot="1">
      <c r="A14" s="7"/>
      <c r="B14" s="39"/>
      <c r="C14" s="7"/>
      <c r="D14" s="7"/>
      <c r="E14" s="7"/>
      <c r="F14" s="7"/>
      <c r="G14" s="115"/>
      <c r="H14" s="116"/>
      <c r="I14" s="114"/>
      <c r="J14" s="114"/>
      <c r="K14" s="114"/>
      <c r="L14" s="114"/>
      <c r="M14" s="114"/>
      <c r="N14" s="114"/>
      <c r="O14" s="11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0"/>
    </row>
    <row r="15" spans="1:28" s="87" customFormat="1" ht="16.5" customHeight="1" thickBot="1" thickTop="1">
      <c r="A15" s="83"/>
      <c r="B15" s="84"/>
      <c r="C15" s="83"/>
      <c r="D15" s="83"/>
      <c r="E15" s="83"/>
      <c r="F15" s="428" t="s">
        <v>39</v>
      </c>
      <c r="G15" s="429" t="s">
        <v>159</v>
      </c>
      <c r="H15" s="209"/>
      <c r="I15" s="88"/>
      <c r="J15" s="88"/>
      <c r="K15" s="88"/>
      <c r="L15" s="88"/>
      <c r="M15" s="88"/>
      <c r="N15" s="88"/>
      <c r="O15" s="88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6"/>
    </row>
    <row r="16" spans="1:28" s="87" customFormat="1" ht="16.5" customHeight="1" thickBot="1" thickTop="1">
      <c r="A16" s="83"/>
      <c r="B16" s="84"/>
      <c r="C16" s="83"/>
      <c r="D16" s="83"/>
      <c r="E16" s="83"/>
      <c r="F16" s="428" t="s">
        <v>40</v>
      </c>
      <c r="G16" s="429">
        <v>135.6652707</v>
      </c>
      <c r="H16" s="210"/>
      <c r="I16" s="83"/>
      <c r="K16" s="89" t="s">
        <v>41</v>
      </c>
      <c r="L16" s="90">
        <f>30*'TOT-0113'!B13</f>
        <v>30</v>
      </c>
      <c r="M16" s="206" t="str">
        <f>IF(L16=30," ",IF(L16=60,"Coeficiente duplicado por tasa de falla &gt;4 Sal. x año/100 km.","REVISAR COEFICIENTE"))</f>
        <v> 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6"/>
    </row>
    <row r="17" spans="1:28" s="87" customFormat="1" ht="7.5" customHeight="1" thickTop="1">
      <c r="A17" s="83"/>
      <c r="B17" s="84"/>
      <c r="C17" s="83"/>
      <c r="D17" s="83"/>
      <c r="E17" s="83"/>
      <c r="F17" s="599"/>
      <c r="G17" s="600"/>
      <c r="H17" s="601"/>
      <c r="I17" s="83"/>
      <c r="K17" s="89"/>
      <c r="L17" s="90"/>
      <c r="M17" s="206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6"/>
    </row>
    <row r="18" spans="1:28" s="633" customFormat="1" ht="15" customHeight="1" thickBot="1">
      <c r="A18" s="629"/>
      <c r="B18" s="630"/>
      <c r="C18" s="631">
        <v>3</v>
      </c>
      <c r="D18" s="631">
        <v>4</v>
      </c>
      <c r="E18" s="631">
        <v>5</v>
      </c>
      <c r="F18" s="631">
        <v>6</v>
      </c>
      <c r="G18" s="631">
        <v>7</v>
      </c>
      <c r="H18" s="631">
        <v>8</v>
      </c>
      <c r="I18" s="631">
        <v>9</v>
      </c>
      <c r="J18" s="631">
        <v>10</v>
      </c>
      <c r="K18" s="631">
        <v>11</v>
      </c>
      <c r="L18" s="631">
        <v>12</v>
      </c>
      <c r="M18" s="631">
        <v>13</v>
      </c>
      <c r="N18" s="631">
        <v>14</v>
      </c>
      <c r="O18" s="631">
        <v>15</v>
      </c>
      <c r="P18" s="631">
        <v>16</v>
      </c>
      <c r="Q18" s="631">
        <v>17</v>
      </c>
      <c r="R18" s="631">
        <v>18</v>
      </c>
      <c r="S18" s="631">
        <v>19</v>
      </c>
      <c r="T18" s="631">
        <v>20</v>
      </c>
      <c r="U18" s="631">
        <v>21</v>
      </c>
      <c r="V18" s="631">
        <v>22</v>
      </c>
      <c r="W18" s="631">
        <v>23</v>
      </c>
      <c r="X18" s="631">
        <v>24</v>
      </c>
      <c r="Y18" s="631">
        <v>25</v>
      </c>
      <c r="Z18" s="631">
        <v>26</v>
      </c>
      <c r="AA18" s="631">
        <v>27</v>
      </c>
      <c r="AB18" s="632"/>
    </row>
    <row r="19" spans="1:28" s="100" customFormat="1" ht="33.75" customHeight="1" thickBot="1" thickTop="1">
      <c r="A19" s="91"/>
      <c r="B19" s="92"/>
      <c r="C19" s="93" t="s">
        <v>42</v>
      </c>
      <c r="D19" s="93" t="s">
        <v>126</v>
      </c>
      <c r="E19" s="93" t="s">
        <v>125</v>
      </c>
      <c r="F19" s="94" t="s">
        <v>20</v>
      </c>
      <c r="G19" s="95" t="s">
        <v>43</v>
      </c>
      <c r="H19" s="96" t="s">
        <v>44</v>
      </c>
      <c r="I19" s="234" t="s">
        <v>45</v>
      </c>
      <c r="J19" s="94" t="s">
        <v>46</v>
      </c>
      <c r="K19" s="94" t="s">
        <v>47</v>
      </c>
      <c r="L19" s="95" t="s">
        <v>48</v>
      </c>
      <c r="M19" s="95" t="s">
        <v>49</v>
      </c>
      <c r="N19" s="97" t="s">
        <v>50</v>
      </c>
      <c r="O19" s="95" t="s">
        <v>51</v>
      </c>
      <c r="P19" s="261" t="s">
        <v>52</v>
      </c>
      <c r="Q19" s="264" t="s">
        <v>53</v>
      </c>
      <c r="R19" s="267" t="s">
        <v>54</v>
      </c>
      <c r="S19" s="268"/>
      <c r="T19" s="269"/>
      <c r="U19" s="278" t="s">
        <v>55</v>
      </c>
      <c r="V19" s="279"/>
      <c r="W19" s="280"/>
      <c r="X19" s="288" t="s">
        <v>56</v>
      </c>
      <c r="Y19" s="291" t="s">
        <v>57</v>
      </c>
      <c r="Z19" s="98" t="s">
        <v>58</v>
      </c>
      <c r="AA19" s="98" t="s">
        <v>59</v>
      </c>
      <c r="AB19" s="99"/>
    </row>
    <row r="20" spans="1:28" ht="16.5" customHeight="1" thickTop="1">
      <c r="A20" s="1"/>
      <c r="B20" s="2"/>
      <c r="C20" s="46"/>
      <c r="D20" s="80"/>
      <c r="E20" s="80"/>
      <c r="F20" s="47"/>
      <c r="G20" s="48"/>
      <c r="H20" s="48"/>
      <c r="I20" s="235"/>
      <c r="J20" s="48"/>
      <c r="K20" s="49"/>
      <c r="L20" s="49"/>
      <c r="M20" s="49"/>
      <c r="N20" s="47"/>
      <c r="O20" s="48"/>
      <c r="P20" s="262"/>
      <c r="Q20" s="265"/>
      <c r="R20" s="270"/>
      <c r="S20" s="271"/>
      <c r="T20" s="272"/>
      <c r="U20" s="281"/>
      <c r="V20" s="282"/>
      <c r="W20" s="283"/>
      <c r="X20" s="289"/>
      <c r="Y20" s="292"/>
      <c r="Z20" s="276"/>
      <c r="AA20" s="49"/>
      <c r="AB20" s="3"/>
    </row>
    <row r="21" spans="1:28" ht="16.5" customHeight="1">
      <c r="A21" s="1"/>
      <c r="B21" s="2"/>
      <c r="C21" s="46"/>
      <c r="D21" s="46"/>
      <c r="E21" s="46"/>
      <c r="F21" s="46"/>
      <c r="G21" s="81"/>
      <c r="H21" s="81"/>
      <c r="I21" s="236"/>
      <c r="J21" s="46"/>
      <c r="K21" s="82"/>
      <c r="L21" s="82"/>
      <c r="M21" s="82"/>
      <c r="N21" s="80"/>
      <c r="O21" s="46"/>
      <c r="P21" s="263"/>
      <c r="Q21" s="266"/>
      <c r="R21" s="273"/>
      <c r="S21" s="274"/>
      <c r="T21" s="275"/>
      <c r="U21" s="284"/>
      <c r="V21" s="285"/>
      <c r="W21" s="286"/>
      <c r="X21" s="290"/>
      <c r="Y21" s="293"/>
      <c r="Z21" s="277"/>
      <c r="AA21" s="82"/>
      <c r="AB21" s="3"/>
    </row>
    <row r="22" spans="1:28" ht="16.5" customHeight="1">
      <c r="A22" s="1"/>
      <c r="B22" s="2"/>
      <c r="C22" s="432">
        <v>4</v>
      </c>
      <c r="D22" s="432">
        <v>256754</v>
      </c>
      <c r="E22" s="432">
        <v>1634</v>
      </c>
      <c r="F22" s="433" t="s">
        <v>138</v>
      </c>
      <c r="G22" s="434">
        <v>132</v>
      </c>
      <c r="H22" s="435">
        <v>23</v>
      </c>
      <c r="I22" s="237">
        <f aca="true" t="shared" si="0" ref="I22:I35">IF(H22&gt;25,H22,25)*IF(G22=330,$G$15,$G$16)/100</f>
        <v>33.916317675</v>
      </c>
      <c r="J22" s="440">
        <v>41278.52777777778</v>
      </c>
      <c r="K22" s="440">
        <v>41278.53055555555</v>
      </c>
      <c r="L22" s="12">
        <f aca="true" t="shared" si="1" ref="L22:L35">IF(F22="","",(K22-J22)*24)</f>
        <v>0.0666666665347293</v>
      </c>
      <c r="M22" s="13">
        <f aca="true" t="shared" si="2" ref="M22:M35">IF(F22="","",ROUND((K22-J22)*24*60,0))</f>
        <v>4</v>
      </c>
      <c r="N22" s="441" t="s">
        <v>132</v>
      </c>
      <c r="O22" s="628" t="s">
        <v>134</v>
      </c>
      <c r="P22" s="613" t="str">
        <f aca="true" t="shared" si="3" ref="P22:P35">IF(N22="P",ROUND(M22/60,2)*I22*$L$16*0.01,"--")</f>
        <v>--</v>
      </c>
      <c r="Q22" s="614" t="str">
        <f aca="true" t="shared" si="4" ref="Q22:Q35">IF(N22="RP",ROUND(M22/60,2)*I22*$L$16*0.01*O22/100,"--")</f>
        <v>--</v>
      </c>
      <c r="R22" s="615">
        <f aca="true" t="shared" si="5" ref="R22:R35">IF(N22="F",I22*$L$16,"--")</f>
        <v>1017.48953025</v>
      </c>
      <c r="S22" s="616" t="str">
        <f aca="true" t="shared" si="6" ref="S22:S35">IF(AND(M22&gt;10,N22="F"),I22*$L$16*IF(M22&gt;180,3,ROUND(M22/60,2)),"--")</f>
        <v>--</v>
      </c>
      <c r="T22" s="617" t="str">
        <f aca="true" t="shared" si="7" ref="T22:T35">IF(AND(M22&gt;180,N22="F"),(ROUND(M22/60,2)-3)*I22*$L$16*0.1,"--")</f>
        <v>--</v>
      </c>
      <c r="U22" s="618" t="str">
        <f aca="true" t="shared" si="8" ref="U22:U35">IF(N22="R",I22*$L$16*O22/100,"--")</f>
        <v>--</v>
      </c>
      <c r="V22" s="619" t="str">
        <f aca="true" t="shared" si="9" ref="V22:V35">IF(AND(M22&gt;10,N22="R"),I22*$L$16*O22/100*IF(M22&gt;180,3,ROUND(M22/60,2)),"--")</f>
        <v>--</v>
      </c>
      <c r="W22" s="620" t="str">
        <f aca="true" t="shared" si="10" ref="W22:W35">IF(AND(M22&gt;180,N22="R"),(ROUND(M22/60,2)-3)*O22/100*I22*$L$16*0.1,"--")</f>
        <v>--</v>
      </c>
      <c r="X22" s="621" t="str">
        <f aca="true" t="shared" si="11" ref="X22:X35">IF(N22="RF",ROUND(M22/60,2)*I22*$L$16*0.1,"--")</f>
        <v>--</v>
      </c>
      <c r="Y22" s="622" t="str">
        <f aca="true" t="shared" si="12" ref="Y22:Y35">IF(N22="RR",ROUND(M22/60,2)*O22/100*I22*$L$16*0.1,"--")</f>
        <v>--</v>
      </c>
      <c r="Z22" s="623" t="s">
        <v>133</v>
      </c>
      <c r="AA22" s="50">
        <f aca="true" t="shared" si="13" ref="AA22:AA35">IF(F22="","",SUM(P22:Y22)*IF(Z22="SI",1,2))</f>
        <v>1017.48953025</v>
      </c>
      <c r="AB22" s="3"/>
    </row>
    <row r="23" spans="1:28" ht="17.25" customHeight="1">
      <c r="A23" s="1"/>
      <c r="B23" s="2"/>
      <c r="C23" s="432">
        <v>5</v>
      </c>
      <c r="D23" s="432">
        <v>256755</v>
      </c>
      <c r="E23" s="432">
        <v>1635</v>
      </c>
      <c r="F23" s="433" t="s">
        <v>139</v>
      </c>
      <c r="G23" s="434">
        <v>132</v>
      </c>
      <c r="H23" s="435">
        <v>162.60000610351562</v>
      </c>
      <c r="I23" s="237">
        <f t="shared" si="0"/>
        <v>220.591738438551</v>
      </c>
      <c r="J23" s="440">
        <v>41278.52777777778</v>
      </c>
      <c r="K23" s="440">
        <v>41278.53055555555</v>
      </c>
      <c r="L23" s="12">
        <f t="shared" si="1"/>
        <v>0.0666666665347293</v>
      </c>
      <c r="M23" s="13">
        <f t="shared" si="2"/>
        <v>4</v>
      </c>
      <c r="N23" s="441" t="s">
        <v>132</v>
      </c>
      <c r="O23" s="628" t="s">
        <v>134</v>
      </c>
      <c r="P23" s="613" t="str">
        <f t="shared" si="3"/>
        <v>--</v>
      </c>
      <c r="Q23" s="614" t="str">
        <f t="shared" si="4"/>
        <v>--</v>
      </c>
      <c r="R23" s="615">
        <f t="shared" si="5"/>
        <v>6617.75215315653</v>
      </c>
      <c r="S23" s="616" t="str">
        <f t="shared" si="6"/>
        <v>--</v>
      </c>
      <c r="T23" s="617" t="str">
        <f t="shared" si="7"/>
        <v>--</v>
      </c>
      <c r="U23" s="618" t="str">
        <f t="shared" si="8"/>
        <v>--</v>
      </c>
      <c r="V23" s="619" t="str">
        <f t="shared" si="9"/>
        <v>--</v>
      </c>
      <c r="W23" s="620" t="str">
        <f t="shared" si="10"/>
        <v>--</v>
      </c>
      <c r="X23" s="621" t="str">
        <f t="shared" si="11"/>
        <v>--</v>
      </c>
      <c r="Y23" s="622" t="str">
        <f t="shared" si="12"/>
        <v>--</v>
      </c>
      <c r="Z23" s="623" t="s">
        <v>133</v>
      </c>
      <c r="AA23" s="50">
        <f t="shared" si="13"/>
        <v>6617.75215315653</v>
      </c>
      <c r="AB23" s="3"/>
    </row>
    <row r="24" spans="1:28" ht="16.5" customHeight="1">
      <c r="A24" s="1"/>
      <c r="B24" s="2"/>
      <c r="C24" s="432"/>
      <c r="D24" s="432"/>
      <c r="E24" s="432"/>
      <c r="F24" s="433"/>
      <c r="G24" s="434"/>
      <c r="H24" s="435"/>
      <c r="I24" s="237">
        <f t="shared" si="0"/>
        <v>33.916317675</v>
      </c>
      <c r="J24" s="440"/>
      <c r="K24" s="440"/>
      <c r="L24" s="12">
        <f t="shared" si="1"/>
      </c>
      <c r="M24" s="13">
        <f t="shared" si="2"/>
      </c>
      <c r="N24" s="441"/>
      <c r="O24" s="612">
        <f aca="true" t="shared" si="14" ref="O24:O35">IF(F24="","","--")</f>
      </c>
      <c r="P24" s="613" t="str">
        <f t="shared" si="3"/>
        <v>--</v>
      </c>
      <c r="Q24" s="614" t="str">
        <f t="shared" si="4"/>
        <v>--</v>
      </c>
      <c r="R24" s="615" t="str">
        <f t="shared" si="5"/>
        <v>--</v>
      </c>
      <c r="S24" s="616" t="str">
        <f t="shared" si="6"/>
        <v>--</v>
      </c>
      <c r="T24" s="617" t="str">
        <f t="shared" si="7"/>
        <v>--</v>
      </c>
      <c r="U24" s="618" t="str">
        <f t="shared" si="8"/>
        <v>--</v>
      </c>
      <c r="V24" s="619" t="str">
        <f t="shared" si="9"/>
        <v>--</v>
      </c>
      <c r="W24" s="620" t="str">
        <f t="shared" si="10"/>
        <v>--</v>
      </c>
      <c r="X24" s="621" t="str">
        <f t="shared" si="11"/>
        <v>--</v>
      </c>
      <c r="Y24" s="622" t="str">
        <f t="shared" si="12"/>
        <v>--</v>
      </c>
      <c r="Z24" s="623">
        <f aca="true" t="shared" si="15" ref="Z24:Z35">IF(F24="","","SI")</f>
      </c>
      <c r="AA24" s="50">
        <f t="shared" si="13"/>
      </c>
      <c r="AB24" s="3"/>
    </row>
    <row r="25" spans="1:28" ht="16.5" customHeight="1">
      <c r="A25" s="1"/>
      <c r="B25" s="2"/>
      <c r="C25" s="432"/>
      <c r="D25" s="432"/>
      <c r="E25" s="432"/>
      <c r="F25" s="433"/>
      <c r="G25" s="434"/>
      <c r="H25" s="435"/>
      <c r="I25" s="237">
        <f t="shared" si="0"/>
        <v>33.916317675</v>
      </c>
      <c r="J25" s="440"/>
      <c r="K25" s="440"/>
      <c r="L25" s="12">
        <f t="shared" si="1"/>
      </c>
      <c r="M25" s="13">
        <f t="shared" si="2"/>
      </c>
      <c r="N25" s="441"/>
      <c r="O25" s="612">
        <f t="shared" si="14"/>
      </c>
      <c r="P25" s="613" t="str">
        <f t="shared" si="3"/>
        <v>--</v>
      </c>
      <c r="Q25" s="614" t="str">
        <f t="shared" si="4"/>
        <v>--</v>
      </c>
      <c r="R25" s="615" t="str">
        <f t="shared" si="5"/>
        <v>--</v>
      </c>
      <c r="S25" s="616" t="str">
        <f t="shared" si="6"/>
        <v>--</v>
      </c>
      <c r="T25" s="617" t="str">
        <f t="shared" si="7"/>
        <v>--</v>
      </c>
      <c r="U25" s="618" t="str">
        <f t="shared" si="8"/>
        <v>--</v>
      </c>
      <c r="V25" s="619" t="str">
        <f t="shared" si="9"/>
        <v>--</v>
      </c>
      <c r="W25" s="620" t="str">
        <f t="shared" si="10"/>
        <v>--</v>
      </c>
      <c r="X25" s="621" t="str">
        <f t="shared" si="11"/>
        <v>--</v>
      </c>
      <c r="Y25" s="622" t="str">
        <f t="shared" si="12"/>
        <v>--</v>
      </c>
      <c r="Z25" s="623">
        <f t="shared" si="15"/>
      </c>
      <c r="AA25" s="50">
        <f t="shared" si="13"/>
      </c>
      <c r="AB25" s="3"/>
    </row>
    <row r="26" spans="1:28" ht="16.5" customHeight="1">
      <c r="A26" s="1"/>
      <c r="B26" s="2"/>
      <c r="C26" s="432"/>
      <c r="D26" s="432"/>
      <c r="E26" s="432"/>
      <c r="F26" s="433"/>
      <c r="G26" s="434"/>
      <c r="H26" s="435"/>
      <c r="I26" s="237">
        <f t="shared" si="0"/>
        <v>33.916317675</v>
      </c>
      <c r="J26" s="440"/>
      <c r="K26" s="440"/>
      <c r="L26" s="12">
        <f t="shared" si="1"/>
      </c>
      <c r="M26" s="13">
        <f t="shared" si="2"/>
      </c>
      <c r="N26" s="441"/>
      <c r="O26" s="612">
        <f t="shared" si="14"/>
      </c>
      <c r="P26" s="613" t="str">
        <f t="shared" si="3"/>
        <v>--</v>
      </c>
      <c r="Q26" s="614" t="str">
        <f t="shared" si="4"/>
        <v>--</v>
      </c>
      <c r="R26" s="615" t="str">
        <f t="shared" si="5"/>
        <v>--</v>
      </c>
      <c r="S26" s="616" t="str">
        <f t="shared" si="6"/>
        <v>--</v>
      </c>
      <c r="T26" s="617" t="str">
        <f t="shared" si="7"/>
        <v>--</v>
      </c>
      <c r="U26" s="618" t="str">
        <f t="shared" si="8"/>
        <v>--</v>
      </c>
      <c r="V26" s="619" t="str">
        <f t="shared" si="9"/>
        <v>--</v>
      </c>
      <c r="W26" s="620" t="str">
        <f t="shared" si="10"/>
        <v>--</v>
      </c>
      <c r="X26" s="621" t="str">
        <f t="shared" si="11"/>
        <v>--</v>
      </c>
      <c r="Y26" s="622" t="str">
        <f t="shared" si="12"/>
        <v>--</v>
      </c>
      <c r="Z26" s="623">
        <f t="shared" si="15"/>
      </c>
      <c r="AA26" s="50">
        <f t="shared" si="13"/>
      </c>
      <c r="AB26" s="3"/>
    </row>
    <row r="27" spans="1:28" ht="16.5" customHeight="1">
      <c r="A27" s="1"/>
      <c r="B27" s="2"/>
      <c r="C27" s="432"/>
      <c r="D27" s="432"/>
      <c r="E27" s="432"/>
      <c r="F27" s="433"/>
      <c r="G27" s="434"/>
      <c r="H27" s="435"/>
      <c r="I27" s="237">
        <f t="shared" si="0"/>
        <v>33.916317675</v>
      </c>
      <c r="J27" s="440"/>
      <c r="K27" s="440"/>
      <c r="L27" s="12">
        <f t="shared" si="1"/>
      </c>
      <c r="M27" s="13">
        <f t="shared" si="2"/>
      </c>
      <c r="N27" s="441"/>
      <c r="O27" s="612">
        <f t="shared" si="14"/>
      </c>
      <c r="P27" s="613" t="str">
        <f t="shared" si="3"/>
        <v>--</v>
      </c>
      <c r="Q27" s="614" t="str">
        <f t="shared" si="4"/>
        <v>--</v>
      </c>
      <c r="R27" s="615" t="str">
        <f t="shared" si="5"/>
        <v>--</v>
      </c>
      <c r="S27" s="616" t="str">
        <f t="shared" si="6"/>
        <v>--</v>
      </c>
      <c r="T27" s="617" t="str">
        <f t="shared" si="7"/>
        <v>--</v>
      </c>
      <c r="U27" s="618" t="str">
        <f t="shared" si="8"/>
        <v>--</v>
      </c>
      <c r="V27" s="619" t="str">
        <f t="shared" si="9"/>
        <v>--</v>
      </c>
      <c r="W27" s="620" t="str">
        <f t="shared" si="10"/>
        <v>--</v>
      </c>
      <c r="X27" s="621" t="str">
        <f t="shared" si="11"/>
        <v>--</v>
      </c>
      <c r="Y27" s="622" t="str">
        <f t="shared" si="12"/>
        <v>--</v>
      </c>
      <c r="Z27" s="623">
        <f t="shared" si="15"/>
      </c>
      <c r="AA27" s="50">
        <f t="shared" si="13"/>
      </c>
      <c r="AB27" s="3"/>
    </row>
    <row r="28" spans="1:28" ht="16.5" customHeight="1">
      <c r="A28" s="1"/>
      <c r="B28" s="2"/>
      <c r="C28" s="432"/>
      <c r="D28" s="432"/>
      <c r="E28" s="432"/>
      <c r="F28" s="433"/>
      <c r="G28" s="434"/>
      <c r="H28" s="435"/>
      <c r="I28" s="237">
        <f t="shared" si="0"/>
        <v>33.916317675</v>
      </c>
      <c r="J28" s="440"/>
      <c r="K28" s="440"/>
      <c r="L28" s="12">
        <f t="shared" si="1"/>
      </c>
      <c r="M28" s="13">
        <f t="shared" si="2"/>
      </c>
      <c r="N28" s="441"/>
      <c r="O28" s="612">
        <f t="shared" si="14"/>
      </c>
      <c r="P28" s="613" t="str">
        <f t="shared" si="3"/>
        <v>--</v>
      </c>
      <c r="Q28" s="614" t="str">
        <f t="shared" si="4"/>
        <v>--</v>
      </c>
      <c r="R28" s="615" t="str">
        <f t="shared" si="5"/>
        <v>--</v>
      </c>
      <c r="S28" s="616" t="str">
        <f t="shared" si="6"/>
        <v>--</v>
      </c>
      <c r="T28" s="617" t="str">
        <f t="shared" si="7"/>
        <v>--</v>
      </c>
      <c r="U28" s="618" t="str">
        <f t="shared" si="8"/>
        <v>--</v>
      </c>
      <c r="V28" s="619" t="str">
        <f t="shared" si="9"/>
        <v>--</v>
      </c>
      <c r="W28" s="620" t="str">
        <f t="shared" si="10"/>
        <v>--</v>
      </c>
      <c r="X28" s="621" t="str">
        <f t="shared" si="11"/>
        <v>--</v>
      </c>
      <c r="Y28" s="622" t="str">
        <f t="shared" si="12"/>
        <v>--</v>
      </c>
      <c r="Z28" s="623">
        <f t="shared" si="15"/>
      </c>
      <c r="AA28" s="50">
        <f t="shared" si="13"/>
      </c>
      <c r="AB28" s="3"/>
    </row>
    <row r="29" spans="1:28" ht="16.5" customHeight="1">
      <c r="A29" s="1"/>
      <c r="B29" s="2"/>
      <c r="C29" s="432"/>
      <c r="D29" s="432"/>
      <c r="E29" s="432"/>
      <c r="F29" s="433"/>
      <c r="G29" s="434"/>
      <c r="H29" s="435"/>
      <c r="I29" s="237">
        <f t="shared" si="0"/>
        <v>33.916317675</v>
      </c>
      <c r="J29" s="440"/>
      <c r="K29" s="440"/>
      <c r="L29" s="12">
        <f t="shared" si="1"/>
      </c>
      <c r="M29" s="13">
        <f t="shared" si="2"/>
      </c>
      <c r="N29" s="441"/>
      <c r="O29" s="612">
        <f t="shared" si="14"/>
      </c>
      <c r="P29" s="613" t="str">
        <f t="shared" si="3"/>
        <v>--</v>
      </c>
      <c r="Q29" s="614" t="str">
        <f t="shared" si="4"/>
        <v>--</v>
      </c>
      <c r="R29" s="615" t="str">
        <f t="shared" si="5"/>
        <v>--</v>
      </c>
      <c r="S29" s="616" t="str">
        <f t="shared" si="6"/>
        <v>--</v>
      </c>
      <c r="T29" s="617" t="str">
        <f t="shared" si="7"/>
        <v>--</v>
      </c>
      <c r="U29" s="618" t="str">
        <f t="shared" si="8"/>
        <v>--</v>
      </c>
      <c r="V29" s="619" t="str">
        <f t="shared" si="9"/>
        <v>--</v>
      </c>
      <c r="W29" s="620" t="str">
        <f t="shared" si="10"/>
        <v>--</v>
      </c>
      <c r="X29" s="621" t="str">
        <f t="shared" si="11"/>
        <v>--</v>
      </c>
      <c r="Y29" s="622" t="str">
        <f t="shared" si="12"/>
        <v>--</v>
      </c>
      <c r="Z29" s="623">
        <f t="shared" si="15"/>
      </c>
      <c r="AA29" s="50">
        <f t="shared" si="13"/>
      </c>
      <c r="AB29" s="3"/>
    </row>
    <row r="30" spans="1:28" ht="16.5" customHeight="1">
      <c r="A30" s="1"/>
      <c r="B30" s="2"/>
      <c r="C30" s="432"/>
      <c r="D30" s="432"/>
      <c r="E30" s="432"/>
      <c r="F30" s="433"/>
      <c r="G30" s="434"/>
      <c r="H30" s="435"/>
      <c r="I30" s="237">
        <f t="shared" si="0"/>
        <v>33.916317675</v>
      </c>
      <c r="J30" s="440"/>
      <c r="K30" s="440"/>
      <c r="L30" s="12">
        <f t="shared" si="1"/>
      </c>
      <c r="M30" s="13">
        <f t="shared" si="2"/>
      </c>
      <c r="N30" s="441"/>
      <c r="O30" s="612">
        <f t="shared" si="14"/>
      </c>
      <c r="P30" s="613" t="str">
        <f t="shared" si="3"/>
        <v>--</v>
      </c>
      <c r="Q30" s="614" t="str">
        <f t="shared" si="4"/>
        <v>--</v>
      </c>
      <c r="R30" s="615" t="str">
        <f t="shared" si="5"/>
        <v>--</v>
      </c>
      <c r="S30" s="616" t="str">
        <f t="shared" si="6"/>
        <v>--</v>
      </c>
      <c r="T30" s="617" t="str">
        <f t="shared" si="7"/>
        <v>--</v>
      </c>
      <c r="U30" s="618" t="str">
        <f t="shared" si="8"/>
        <v>--</v>
      </c>
      <c r="V30" s="619" t="str">
        <f t="shared" si="9"/>
        <v>--</v>
      </c>
      <c r="W30" s="620" t="str">
        <f t="shared" si="10"/>
        <v>--</v>
      </c>
      <c r="X30" s="621" t="str">
        <f t="shared" si="11"/>
        <v>--</v>
      </c>
      <c r="Y30" s="622" t="str">
        <f t="shared" si="12"/>
        <v>--</v>
      </c>
      <c r="Z30" s="623">
        <f t="shared" si="15"/>
      </c>
      <c r="AA30" s="50">
        <f t="shared" si="13"/>
      </c>
      <c r="AB30" s="3"/>
    </row>
    <row r="31" spans="1:28" ht="16.5" customHeight="1">
      <c r="A31" s="1"/>
      <c r="B31" s="2"/>
      <c r="C31" s="432"/>
      <c r="D31" s="432"/>
      <c r="E31" s="432"/>
      <c r="F31" s="433"/>
      <c r="G31" s="434"/>
      <c r="H31" s="435"/>
      <c r="I31" s="237">
        <f t="shared" si="0"/>
        <v>33.916317675</v>
      </c>
      <c r="J31" s="440"/>
      <c r="K31" s="440"/>
      <c r="L31" s="12">
        <f t="shared" si="1"/>
      </c>
      <c r="M31" s="13">
        <f t="shared" si="2"/>
      </c>
      <c r="N31" s="441"/>
      <c r="O31" s="612">
        <f t="shared" si="14"/>
      </c>
      <c r="P31" s="613" t="str">
        <f t="shared" si="3"/>
        <v>--</v>
      </c>
      <c r="Q31" s="614" t="str">
        <f t="shared" si="4"/>
        <v>--</v>
      </c>
      <c r="R31" s="615" t="str">
        <f t="shared" si="5"/>
        <v>--</v>
      </c>
      <c r="S31" s="616" t="str">
        <f t="shared" si="6"/>
        <v>--</v>
      </c>
      <c r="T31" s="617" t="str">
        <f t="shared" si="7"/>
        <v>--</v>
      </c>
      <c r="U31" s="618" t="str">
        <f t="shared" si="8"/>
        <v>--</v>
      </c>
      <c r="V31" s="619" t="str">
        <f t="shared" si="9"/>
        <v>--</v>
      </c>
      <c r="W31" s="620" t="str">
        <f t="shared" si="10"/>
        <v>--</v>
      </c>
      <c r="X31" s="621" t="str">
        <f t="shared" si="11"/>
        <v>--</v>
      </c>
      <c r="Y31" s="622" t="str">
        <f t="shared" si="12"/>
        <v>--</v>
      </c>
      <c r="Z31" s="623">
        <f t="shared" si="15"/>
      </c>
      <c r="AA31" s="50">
        <f t="shared" si="13"/>
      </c>
      <c r="AB31" s="3"/>
    </row>
    <row r="32" spans="2:28" ht="16.5" customHeight="1">
      <c r="B32" s="51"/>
      <c r="C32" s="432"/>
      <c r="D32" s="432"/>
      <c r="E32" s="432"/>
      <c r="F32" s="433"/>
      <c r="G32" s="434"/>
      <c r="H32" s="435"/>
      <c r="I32" s="237">
        <f t="shared" si="0"/>
        <v>33.916317675</v>
      </c>
      <c r="J32" s="440"/>
      <c r="K32" s="440"/>
      <c r="L32" s="12">
        <f t="shared" si="1"/>
      </c>
      <c r="M32" s="13">
        <f t="shared" si="2"/>
      </c>
      <c r="N32" s="441"/>
      <c r="O32" s="612">
        <f t="shared" si="14"/>
      </c>
      <c r="P32" s="613" t="str">
        <f t="shared" si="3"/>
        <v>--</v>
      </c>
      <c r="Q32" s="614" t="str">
        <f t="shared" si="4"/>
        <v>--</v>
      </c>
      <c r="R32" s="615" t="str">
        <f t="shared" si="5"/>
        <v>--</v>
      </c>
      <c r="S32" s="616" t="str">
        <f t="shared" si="6"/>
        <v>--</v>
      </c>
      <c r="T32" s="617" t="str">
        <f t="shared" si="7"/>
        <v>--</v>
      </c>
      <c r="U32" s="618" t="str">
        <f t="shared" si="8"/>
        <v>--</v>
      </c>
      <c r="V32" s="619" t="str">
        <f t="shared" si="9"/>
        <v>--</v>
      </c>
      <c r="W32" s="620" t="str">
        <f t="shared" si="10"/>
        <v>--</v>
      </c>
      <c r="X32" s="621" t="str">
        <f t="shared" si="11"/>
        <v>--</v>
      </c>
      <c r="Y32" s="622" t="str">
        <f t="shared" si="12"/>
        <v>--</v>
      </c>
      <c r="Z32" s="623">
        <f t="shared" si="15"/>
      </c>
      <c r="AA32" s="50">
        <f t="shared" si="13"/>
      </c>
      <c r="AB32" s="3"/>
    </row>
    <row r="33" spans="2:28" ht="16.5" customHeight="1">
      <c r="B33" s="51"/>
      <c r="C33" s="432"/>
      <c r="D33" s="432"/>
      <c r="E33" s="432"/>
      <c r="F33" s="433"/>
      <c r="G33" s="434"/>
      <c r="H33" s="435"/>
      <c r="I33" s="237">
        <f t="shared" si="0"/>
        <v>33.916317675</v>
      </c>
      <c r="J33" s="440"/>
      <c r="K33" s="440"/>
      <c r="L33" s="12">
        <f t="shared" si="1"/>
      </c>
      <c r="M33" s="13">
        <f t="shared" si="2"/>
      </c>
      <c r="N33" s="441"/>
      <c r="O33" s="612">
        <f t="shared" si="14"/>
      </c>
      <c r="P33" s="613" t="str">
        <f t="shared" si="3"/>
        <v>--</v>
      </c>
      <c r="Q33" s="614" t="str">
        <f t="shared" si="4"/>
        <v>--</v>
      </c>
      <c r="R33" s="615" t="str">
        <f t="shared" si="5"/>
        <v>--</v>
      </c>
      <c r="S33" s="616" t="str">
        <f t="shared" si="6"/>
        <v>--</v>
      </c>
      <c r="T33" s="617" t="str">
        <f t="shared" si="7"/>
        <v>--</v>
      </c>
      <c r="U33" s="618" t="str">
        <f t="shared" si="8"/>
        <v>--</v>
      </c>
      <c r="V33" s="619" t="str">
        <f t="shared" si="9"/>
        <v>--</v>
      </c>
      <c r="W33" s="620" t="str">
        <f t="shared" si="10"/>
        <v>--</v>
      </c>
      <c r="X33" s="621" t="str">
        <f t="shared" si="11"/>
        <v>--</v>
      </c>
      <c r="Y33" s="622" t="str">
        <f t="shared" si="12"/>
        <v>--</v>
      </c>
      <c r="Z33" s="623">
        <f t="shared" si="15"/>
      </c>
      <c r="AA33" s="50">
        <f t="shared" si="13"/>
      </c>
      <c r="AB33" s="3"/>
    </row>
    <row r="34" spans="2:28" ht="16.5" customHeight="1">
      <c r="B34" s="51"/>
      <c r="C34" s="432"/>
      <c r="D34" s="432"/>
      <c r="E34" s="432"/>
      <c r="F34" s="433"/>
      <c r="G34" s="434"/>
      <c r="H34" s="435"/>
      <c r="I34" s="237">
        <f t="shared" si="0"/>
        <v>33.916317675</v>
      </c>
      <c r="J34" s="440"/>
      <c r="K34" s="440"/>
      <c r="L34" s="12">
        <f t="shared" si="1"/>
      </c>
      <c r="M34" s="13">
        <f t="shared" si="2"/>
      </c>
      <c r="N34" s="441"/>
      <c r="O34" s="612">
        <f t="shared" si="14"/>
      </c>
      <c r="P34" s="613" t="str">
        <f t="shared" si="3"/>
        <v>--</v>
      </c>
      <c r="Q34" s="614" t="str">
        <f t="shared" si="4"/>
        <v>--</v>
      </c>
      <c r="R34" s="615" t="str">
        <f t="shared" si="5"/>
        <v>--</v>
      </c>
      <c r="S34" s="616" t="str">
        <f t="shared" si="6"/>
        <v>--</v>
      </c>
      <c r="T34" s="617" t="str">
        <f t="shared" si="7"/>
        <v>--</v>
      </c>
      <c r="U34" s="618" t="str">
        <f t="shared" si="8"/>
        <v>--</v>
      </c>
      <c r="V34" s="619" t="str">
        <f t="shared" si="9"/>
        <v>--</v>
      </c>
      <c r="W34" s="620" t="str">
        <f t="shared" si="10"/>
        <v>--</v>
      </c>
      <c r="X34" s="621" t="str">
        <f t="shared" si="11"/>
        <v>--</v>
      </c>
      <c r="Y34" s="622" t="str">
        <f t="shared" si="12"/>
        <v>--</v>
      </c>
      <c r="Z34" s="623">
        <f t="shared" si="15"/>
      </c>
      <c r="AA34" s="50">
        <f t="shared" si="13"/>
      </c>
      <c r="AB34" s="3"/>
    </row>
    <row r="35" spans="2:28" ht="16.5" customHeight="1">
      <c r="B35" s="51"/>
      <c r="C35" s="432"/>
      <c r="D35" s="432"/>
      <c r="E35" s="432"/>
      <c r="F35" s="433"/>
      <c r="G35" s="434"/>
      <c r="H35" s="435"/>
      <c r="I35" s="237">
        <f t="shared" si="0"/>
        <v>33.916317675</v>
      </c>
      <c r="J35" s="440"/>
      <c r="K35" s="440"/>
      <c r="L35" s="12">
        <f t="shared" si="1"/>
      </c>
      <c r="M35" s="13">
        <f t="shared" si="2"/>
      </c>
      <c r="N35" s="441"/>
      <c r="O35" s="612">
        <f t="shared" si="14"/>
      </c>
      <c r="P35" s="613" t="str">
        <f t="shared" si="3"/>
        <v>--</v>
      </c>
      <c r="Q35" s="614" t="str">
        <f t="shared" si="4"/>
        <v>--</v>
      </c>
      <c r="R35" s="615" t="str">
        <f t="shared" si="5"/>
        <v>--</v>
      </c>
      <c r="S35" s="616" t="str">
        <f t="shared" si="6"/>
        <v>--</v>
      </c>
      <c r="T35" s="617" t="str">
        <f t="shared" si="7"/>
        <v>--</v>
      </c>
      <c r="U35" s="618" t="str">
        <f t="shared" si="8"/>
        <v>--</v>
      </c>
      <c r="V35" s="619" t="str">
        <f t="shared" si="9"/>
        <v>--</v>
      </c>
      <c r="W35" s="620" t="str">
        <f t="shared" si="10"/>
        <v>--</v>
      </c>
      <c r="X35" s="621" t="str">
        <f t="shared" si="11"/>
        <v>--</v>
      </c>
      <c r="Y35" s="622" t="str">
        <f t="shared" si="12"/>
        <v>--</v>
      </c>
      <c r="Z35" s="623">
        <f t="shared" si="15"/>
      </c>
      <c r="AA35" s="50">
        <f t="shared" si="13"/>
      </c>
      <c r="AB35" s="3"/>
    </row>
    <row r="36" spans="1:28" ht="16.5" customHeight="1" thickBot="1">
      <c r="A36" s="1"/>
      <c r="B36" s="2"/>
      <c r="C36" s="436"/>
      <c r="D36" s="436"/>
      <c r="E36" s="436"/>
      <c r="F36" s="437"/>
      <c r="G36" s="438"/>
      <c r="H36" s="439"/>
      <c r="I36" s="238"/>
      <c r="J36" s="439"/>
      <c r="K36" s="439"/>
      <c r="L36" s="14"/>
      <c r="M36" s="14"/>
      <c r="N36" s="439"/>
      <c r="O36" s="442"/>
      <c r="P36" s="443"/>
      <c r="Q36" s="444"/>
      <c r="R36" s="445"/>
      <c r="S36" s="446"/>
      <c r="T36" s="447"/>
      <c r="U36" s="448"/>
      <c r="V36" s="449"/>
      <c r="W36" s="450"/>
      <c r="X36" s="451"/>
      <c r="Y36" s="452"/>
      <c r="Z36" s="453"/>
      <c r="AA36" s="52"/>
      <c r="AB36" s="3"/>
    </row>
    <row r="37" spans="1:28" ht="16.5" customHeight="1" thickBot="1" thickTop="1">
      <c r="A37" s="1"/>
      <c r="B37" s="2"/>
      <c r="C37" s="211" t="s">
        <v>60</v>
      </c>
      <c r="D37" s="639" t="s">
        <v>157</v>
      </c>
      <c r="E37" s="607"/>
      <c r="F37" s="212"/>
      <c r="G37" s="15"/>
      <c r="H37" s="16"/>
      <c r="I37" s="53"/>
      <c r="J37" s="53"/>
      <c r="K37" s="53"/>
      <c r="L37" s="53"/>
      <c r="M37" s="53"/>
      <c r="N37" s="53"/>
      <c r="O37" s="54"/>
      <c r="P37" s="294">
        <f aca="true" t="shared" si="16" ref="P37:Y37">ROUND(SUM(P20:P36),2)</f>
        <v>0</v>
      </c>
      <c r="Q37" s="295">
        <f t="shared" si="16"/>
        <v>0</v>
      </c>
      <c r="R37" s="296">
        <f t="shared" si="16"/>
        <v>7635.24</v>
      </c>
      <c r="S37" s="296">
        <f t="shared" si="16"/>
        <v>0</v>
      </c>
      <c r="T37" s="297">
        <f t="shared" si="16"/>
        <v>0</v>
      </c>
      <c r="U37" s="298">
        <f t="shared" si="16"/>
        <v>0</v>
      </c>
      <c r="V37" s="298">
        <f t="shared" si="16"/>
        <v>0</v>
      </c>
      <c r="W37" s="299">
        <f t="shared" si="16"/>
        <v>0</v>
      </c>
      <c r="X37" s="300">
        <f t="shared" si="16"/>
        <v>0</v>
      </c>
      <c r="Y37" s="301">
        <f t="shared" si="16"/>
        <v>0</v>
      </c>
      <c r="Z37" s="55"/>
      <c r="AA37" s="611">
        <f>ROUND(SUM(AA20:AA36),2)</f>
        <v>7635.24</v>
      </c>
      <c r="AB37" s="56"/>
    </row>
    <row r="38" spans="1:28" s="226" customFormat="1" ht="9.75" thickTop="1">
      <c r="A38" s="215"/>
      <c r="B38" s="216"/>
      <c r="C38" s="213"/>
      <c r="D38" s="213"/>
      <c r="E38" s="213"/>
      <c r="F38" s="214"/>
      <c r="G38" s="217"/>
      <c r="H38" s="218"/>
      <c r="I38" s="219"/>
      <c r="J38" s="219"/>
      <c r="K38" s="219"/>
      <c r="L38" s="219"/>
      <c r="M38" s="219"/>
      <c r="N38" s="219"/>
      <c r="O38" s="220"/>
      <c r="P38" s="221"/>
      <c r="Q38" s="221"/>
      <c r="R38" s="222"/>
      <c r="S38" s="222"/>
      <c r="T38" s="223"/>
      <c r="U38" s="223"/>
      <c r="V38" s="223"/>
      <c r="W38" s="223"/>
      <c r="X38" s="223"/>
      <c r="Y38" s="223"/>
      <c r="Z38" s="223"/>
      <c r="AA38" s="224"/>
      <c r="AB38" s="225"/>
    </row>
    <row r="39" spans="1:28" s="9" customFormat="1" ht="16.5" customHeight="1" thickBot="1">
      <c r="A39" s="7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</row>
    <row r="40" spans="1:28" ht="13.5" thickTop="1">
      <c r="A40" s="1"/>
      <c r="B40" s="1"/>
      <c r="AB40" s="1"/>
    </row>
    <row r="85" spans="1:2" ht="12.75">
      <c r="A85" s="1"/>
      <c r="B85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workbookViewId="0" topLeftCell="A1">
      <selection activeCell="A21" sqref="A21:IV29"/>
    </sheetView>
  </sheetViews>
  <sheetFormatPr defaultColWidth="11.421875" defaultRowHeight="12.75"/>
  <cols>
    <col min="1" max="2" width="4.140625" style="564" customWidth="1"/>
    <col min="3" max="3" width="5.57421875" style="564" customWidth="1"/>
    <col min="4" max="5" width="13.7109375" style="564" customWidth="1"/>
    <col min="6" max="6" width="29.8515625" style="564" customWidth="1"/>
    <col min="7" max="7" width="25.7109375" style="564" customWidth="1"/>
    <col min="8" max="8" width="7.7109375" style="564" customWidth="1"/>
    <col min="9" max="9" width="12.7109375" style="564" customWidth="1"/>
    <col min="10" max="10" width="11.8515625" style="564" hidden="1" customWidth="1"/>
    <col min="11" max="12" width="15.7109375" style="564" customWidth="1"/>
    <col min="13" max="15" width="9.7109375" style="564" customWidth="1"/>
    <col min="16" max="16" width="5.8515625" style="564" customWidth="1"/>
    <col min="17" max="18" width="7.00390625" style="564" customWidth="1"/>
    <col min="19" max="19" width="11.7109375" style="564" hidden="1" customWidth="1"/>
    <col min="20" max="21" width="14.00390625" style="564" hidden="1" customWidth="1"/>
    <col min="22" max="22" width="14.28125" style="564" hidden="1" customWidth="1"/>
    <col min="23" max="27" width="14.140625" style="564" hidden="1" customWidth="1"/>
    <col min="28" max="28" width="9.00390625" style="564" customWidth="1"/>
    <col min="29" max="29" width="15.7109375" style="564" customWidth="1"/>
    <col min="30" max="30" width="4.140625" style="564" customWidth="1"/>
    <col min="31" max="16384" width="11.421875" style="564" customWidth="1"/>
  </cols>
  <sheetData>
    <row r="1" spans="1:30" s="471" customFormat="1" ht="26.25">
      <c r="A1" s="101"/>
      <c r="B1" s="101"/>
      <c r="C1" s="101"/>
      <c r="D1" s="101"/>
      <c r="E1" s="101"/>
      <c r="F1" s="101"/>
      <c r="G1" s="101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70"/>
    </row>
    <row r="2" spans="1:30" s="471" customFormat="1" ht="26.25">
      <c r="A2" s="101"/>
      <c r="B2" s="102" t="str">
        <f>+'TOT-0113'!B2</f>
        <v>ANEXO I al Memorándum  D.T.E.E.  N°           / 2014.-</v>
      </c>
      <c r="C2" s="103"/>
      <c r="D2" s="103"/>
      <c r="E2" s="103"/>
      <c r="F2" s="103"/>
      <c r="G2" s="103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</row>
    <row r="3" spans="1:30" s="474" customFormat="1" ht="12.75">
      <c r="A3" s="9"/>
      <c r="B3" s="9"/>
      <c r="C3" s="9"/>
      <c r="D3" s="9"/>
      <c r="E3" s="9"/>
      <c r="F3" s="9"/>
      <c r="G3" s="9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</row>
    <row r="4" spans="1:30" s="476" customFormat="1" ht="11.25">
      <c r="A4" s="610" t="s">
        <v>17</v>
      </c>
      <c r="B4" s="104"/>
      <c r="C4" s="609"/>
      <c r="D4" s="609"/>
      <c r="E4" s="609"/>
      <c r="F4" s="104"/>
      <c r="G4" s="104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</row>
    <row r="5" spans="1:30" s="476" customFormat="1" ht="11.25">
      <c r="A5" s="610" t="s">
        <v>127</v>
      </c>
      <c r="B5" s="104"/>
      <c r="C5" s="609"/>
      <c r="D5" s="609"/>
      <c r="E5" s="609"/>
      <c r="F5" s="104"/>
      <c r="G5" s="104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</row>
    <row r="6" spans="1:30" s="474" customFormat="1" ht="13.5" thickBot="1">
      <c r="A6" s="473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</row>
    <row r="7" spans="1:30" s="474" customFormat="1" ht="13.5" thickTop="1">
      <c r="A7" s="473"/>
      <c r="B7" s="477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9"/>
    </row>
    <row r="8" spans="1:30" s="483" customFormat="1" ht="20.25">
      <c r="A8" s="480"/>
      <c r="B8" s="481"/>
      <c r="C8" s="170"/>
      <c r="D8" s="170"/>
      <c r="E8" s="170"/>
      <c r="F8" s="482" t="s">
        <v>36</v>
      </c>
      <c r="H8" s="170"/>
      <c r="I8" s="480"/>
      <c r="J8" s="48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484"/>
    </row>
    <row r="9" spans="1:30" s="474" customFormat="1" ht="12.75">
      <c r="A9" s="473"/>
      <c r="B9" s="485"/>
      <c r="C9" s="165"/>
      <c r="D9" s="165"/>
      <c r="E9" s="165"/>
      <c r="F9" s="165"/>
      <c r="G9" s="165"/>
      <c r="H9" s="165"/>
      <c r="I9" s="473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486"/>
    </row>
    <row r="10" spans="1:30" s="483" customFormat="1" ht="20.25">
      <c r="A10" s="480"/>
      <c r="B10" s="481"/>
      <c r="C10" s="170"/>
      <c r="D10" s="170"/>
      <c r="E10" s="170"/>
      <c r="F10" s="482" t="s">
        <v>61</v>
      </c>
      <c r="G10" s="170"/>
      <c r="H10" s="170"/>
      <c r="I10" s="48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484"/>
    </row>
    <row r="11" spans="1:30" s="474" customFormat="1" ht="12.75">
      <c r="A11" s="473"/>
      <c r="B11" s="485"/>
      <c r="C11" s="165"/>
      <c r="D11" s="165"/>
      <c r="E11" s="165"/>
      <c r="F11" s="487"/>
      <c r="G11" s="165"/>
      <c r="H11" s="165"/>
      <c r="I11" s="473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486"/>
    </row>
    <row r="12" spans="1:30" s="483" customFormat="1" ht="20.25">
      <c r="A12" s="480"/>
      <c r="B12" s="481"/>
      <c r="C12" s="170"/>
      <c r="D12" s="170"/>
      <c r="E12" s="170"/>
      <c r="F12" s="482" t="s">
        <v>62</v>
      </c>
      <c r="G12" s="488"/>
      <c r="H12" s="480"/>
      <c r="I12" s="480"/>
      <c r="J12" s="170"/>
      <c r="K12" s="170"/>
      <c r="L12" s="480"/>
      <c r="M12" s="48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484"/>
    </row>
    <row r="13" spans="1:30" s="474" customFormat="1" ht="12.75">
      <c r="A13" s="473"/>
      <c r="B13" s="485"/>
      <c r="C13" s="165"/>
      <c r="D13" s="165"/>
      <c r="E13" s="165"/>
      <c r="F13" s="489"/>
      <c r="G13" s="490"/>
      <c r="H13" s="473"/>
      <c r="I13" s="473"/>
      <c r="J13" s="165"/>
      <c r="K13" s="165"/>
      <c r="L13" s="473"/>
      <c r="M13" s="473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486"/>
    </row>
    <row r="14" spans="1:30" s="483" customFormat="1" ht="20.25">
      <c r="A14" s="480"/>
      <c r="B14" s="481"/>
      <c r="C14" s="170"/>
      <c r="D14" s="170"/>
      <c r="E14" s="170"/>
      <c r="F14" s="482" t="s">
        <v>63</v>
      </c>
      <c r="G14" s="171"/>
      <c r="H14" s="171"/>
      <c r="I14" s="172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484"/>
    </row>
    <row r="15" spans="1:30" s="474" customFormat="1" ht="12.75">
      <c r="A15" s="473"/>
      <c r="B15" s="485"/>
      <c r="C15" s="165"/>
      <c r="D15" s="165"/>
      <c r="E15" s="165"/>
      <c r="F15" s="491"/>
      <c r="G15" s="166"/>
      <c r="H15" s="166"/>
      <c r="I15" s="167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486"/>
    </row>
    <row r="16" spans="1:30" s="497" customFormat="1" ht="19.5">
      <c r="A16" s="492"/>
      <c r="B16" s="79" t="str">
        <f>+'TOT-0113'!B14</f>
        <v>Desde el 01 al 31 de enero de 2013</v>
      </c>
      <c r="C16" s="493"/>
      <c r="D16" s="493"/>
      <c r="E16" s="493"/>
      <c r="F16" s="493"/>
      <c r="G16" s="493"/>
      <c r="H16" s="493"/>
      <c r="I16" s="494"/>
      <c r="J16" s="493"/>
      <c r="K16" s="495"/>
      <c r="L16" s="495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6"/>
    </row>
    <row r="17" spans="1:30" s="474" customFormat="1" ht="14.25" thickBot="1">
      <c r="A17" s="473"/>
      <c r="B17" s="485"/>
      <c r="C17" s="165"/>
      <c r="D17" s="165"/>
      <c r="E17" s="165"/>
      <c r="F17" s="165"/>
      <c r="G17" s="165"/>
      <c r="H17" s="165"/>
      <c r="I17" s="32"/>
      <c r="J17" s="165"/>
      <c r="K17" s="498"/>
      <c r="L17" s="499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486"/>
    </row>
    <row r="18" spans="1:30" s="474" customFormat="1" ht="16.5" customHeight="1" thickBot="1" thickTop="1">
      <c r="A18" s="473"/>
      <c r="B18" s="485"/>
      <c r="C18" s="165"/>
      <c r="D18" s="165"/>
      <c r="E18" s="165"/>
      <c r="F18" s="174" t="s">
        <v>64</v>
      </c>
      <c r="G18" s="175"/>
      <c r="H18" s="500"/>
      <c r="I18" s="501">
        <v>0.473</v>
      </c>
      <c r="J18" s="473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486"/>
    </row>
    <row r="19" spans="1:30" s="474" customFormat="1" ht="16.5" customHeight="1" thickBot="1" thickTop="1">
      <c r="A19" s="473"/>
      <c r="B19" s="485"/>
      <c r="C19" s="165"/>
      <c r="D19" s="165"/>
      <c r="E19" s="165"/>
      <c r="F19" s="176" t="s">
        <v>65</v>
      </c>
      <c r="G19" s="177"/>
      <c r="H19" s="177"/>
      <c r="I19" s="178">
        <v>30</v>
      </c>
      <c r="J19" s="165"/>
      <c r="K19" s="206" t="str">
        <f>IF(I19=30," ",IF(I19=60,"Coeficiente duplicado por tasa de falla &gt;4 Sal. x año/100 km.","REVISAR COEFICIENTE"))</f>
        <v> </v>
      </c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502"/>
      <c r="X19" s="502"/>
      <c r="Y19" s="502"/>
      <c r="Z19" s="502"/>
      <c r="AA19" s="502"/>
      <c r="AB19" s="502"/>
      <c r="AC19" s="502"/>
      <c r="AD19" s="486"/>
    </row>
    <row r="20" spans="1:30" s="638" customFormat="1" ht="16.5" customHeight="1" thickBot="1" thickTop="1">
      <c r="A20" s="634"/>
      <c r="B20" s="635"/>
      <c r="C20" s="636">
        <v>3</v>
      </c>
      <c r="D20" s="636">
        <v>4</v>
      </c>
      <c r="E20" s="636">
        <v>5</v>
      </c>
      <c r="F20" s="636">
        <v>6</v>
      </c>
      <c r="G20" s="636">
        <v>7</v>
      </c>
      <c r="H20" s="636">
        <v>8</v>
      </c>
      <c r="I20" s="636">
        <v>9</v>
      </c>
      <c r="J20" s="636">
        <v>10</v>
      </c>
      <c r="K20" s="636">
        <v>11</v>
      </c>
      <c r="L20" s="636">
        <v>12</v>
      </c>
      <c r="M20" s="636">
        <v>13</v>
      </c>
      <c r="N20" s="636">
        <v>14</v>
      </c>
      <c r="O20" s="636">
        <v>15</v>
      </c>
      <c r="P20" s="636">
        <v>16</v>
      </c>
      <c r="Q20" s="636">
        <v>17</v>
      </c>
      <c r="R20" s="636">
        <v>18</v>
      </c>
      <c r="S20" s="636">
        <v>19</v>
      </c>
      <c r="T20" s="636">
        <v>20</v>
      </c>
      <c r="U20" s="636">
        <v>21</v>
      </c>
      <c r="V20" s="636">
        <v>22</v>
      </c>
      <c r="W20" s="636">
        <v>23</v>
      </c>
      <c r="X20" s="636">
        <v>24</v>
      </c>
      <c r="Y20" s="636">
        <v>25</v>
      </c>
      <c r="Z20" s="636">
        <v>26</v>
      </c>
      <c r="AA20" s="636">
        <v>27</v>
      </c>
      <c r="AB20" s="636">
        <v>28</v>
      </c>
      <c r="AC20" s="636">
        <v>29</v>
      </c>
      <c r="AD20" s="637"/>
    </row>
    <row r="21" spans="1:30" s="512" customFormat="1" ht="33.75" customHeight="1" thickBot="1" thickTop="1">
      <c r="A21" s="503"/>
      <c r="B21" s="504"/>
      <c r="C21" s="184" t="s">
        <v>42</v>
      </c>
      <c r="D21" s="93" t="s">
        <v>126</v>
      </c>
      <c r="E21" s="93" t="s">
        <v>125</v>
      </c>
      <c r="F21" s="183" t="s">
        <v>66</v>
      </c>
      <c r="G21" s="179" t="s">
        <v>15</v>
      </c>
      <c r="H21" s="180" t="s">
        <v>67</v>
      </c>
      <c r="I21" s="183" t="s">
        <v>43</v>
      </c>
      <c r="J21" s="234" t="s">
        <v>45</v>
      </c>
      <c r="K21" s="182" t="s">
        <v>68</v>
      </c>
      <c r="L21" s="182" t="s">
        <v>69</v>
      </c>
      <c r="M21" s="183" t="s">
        <v>70</v>
      </c>
      <c r="N21" s="183" t="s">
        <v>71</v>
      </c>
      <c r="O21" s="97" t="s">
        <v>50</v>
      </c>
      <c r="P21" s="184" t="s">
        <v>72</v>
      </c>
      <c r="Q21" s="183" t="s">
        <v>73</v>
      </c>
      <c r="R21" s="179" t="s">
        <v>74</v>
      </c>
      <c r="S21" s="302" t="s">
        <v>75</v>
      </c>
      <c r="T21" s="505" t="s">
        <v>52</v>
      </c>
      <c r="U21" s="506" t="s">
        <v>53</v>
      </c>
      <c r="V21" s="304" t="s">
        <v>76</v>
      </c>
      <c r="W21" s="507"/>
      <c r="X21" s="307" t="s">
        <v>76</v>
      </c>
      <c r="Y21" s="508"/>
      <c r="Z21" s="509" t="s">
        <v>56</v>
      </c>
      <c r="AA21" s="510" t="s">
        <v>57</v>
      </c>
      <c r="AB21" s="183" t="s">
        <v>58</v>
      </c>
      <c r="AC21" s="183" t="s">
        <v>59</v>
      </c>
      <c r="AD21" s="511"/>
    </row>
    <row r="22" spans="1:30" s="474" customFormat="1" ht="16.5" customHeight="1" thickTop="1">
      <c r="A22" s="473"/>
      <c r="B22" s="485"/>
      <c r="C22" s="513"/>
      <c r="D22" s="513"/>
      <c r="E22" s="513"/>
      <c r="F22" s="514"/>
      <c r="G22" s="515"/>
      <c r="H22" s="515"/>
      <c r="I22" s="515"/>
      <c r="J22" s="516"/>
      <c r="K22" s="514"/>
      <c r="L22" s="515"/>
      <c r="M22" s="514"/>
      <c r="N22" s="514"/>
      <c r="O22" s="515"/>
      <c r="P22" s="515"/>
      <c r="Q22" s="515"/>
      <c r="R22" s="515"/>
      <c r="S22" s="517"/>
      <c r="T22" s="518"/>
      <c r="U22" s="519"/>
      <c r="V22" s="520"/>
      <c r="W22" s="521"/>
      <c r="X22" s="522"/>
      <c r="Y22" s="523"/>
      <c r="Z22" s="524"/>
      <c r="AA22" s="525"/>
      <c r="AB22" s="515"/>
      <c r="AC22" s="526"/>
      <c r="AD22" s="486"/>
    </row>
    <row r="23" spans="1:30" s="474" customFormat="1" ht="16.5" customHeight="1">
      <c r="A23" s="473"/>
      <c r="B23" s="485"/>
      <c r="C23" s="513"/>
      <c r="D23" s="513"/>
      <c r="E23" s="513"/>
      <c r="F23" s="527"/>
      <c r="G23" s="527"/>
      <c r="H23" s="527"/>
      <c r="I23" s="527"/>
      <c r="J23" s="528"/>
      <c r="K23" s="529"/>
      <c r="L23" s="527"/>
      <c r="M23" s="529"/>
      <c r="N23" s="529"/>
      <c r="O23" s="527"/>
      <c r="P23" s="527"/>
      <c r="Q23" s="527"/>
      <c r="R23" s="527"/>
      <c r="S23" s="530"/>
      <c r="T23" s="531"/>
      <c r="U23" s="532"/>
      <c r="V23" s="533"/>
      <c r="W23" s="534"/>
      <c r="X23" s="535"/>
      <c r="Y23" s="536"/>
      <c r="Z23" s="537"/>
      <c r="AA23" s="538"/>
      <c r="AB23" s="527"/>
      <c r="AC23" s="539"/>
      <c r="AD23" s="486"/>
    </row>
    <row r="24" spans="1:30" s="474" customFormat="1" ht="16.5" customHeight="1">
      <c r="A24" s="473"/>
      <c r="B24" s="485"/>
      <c r="C24" s="567">
        <v>6</v>
      </c>
      <c r="D24" s="567">
        <v>257460</v>
      </c>
      <c r="E24" s="567">
        <v>1798</v>
      </c>
      <c r="F24" s="433" t="s">
        <v>140</v>
      </c>
      <c r="G24" s="432" t="s">
        <v>8</v>
      </c>
      <c r="H24" s="568">
        <v>40</v>
      </c>
      <c r="I24" s="604" t="s">
        <v>141</v>
      </c>
      <c r="J24" s="237">
        <f aca="true" t="shared" si="0" ref="J24:J43">H24*$I$18</f>
        <v>18.919999999999998</v>
      </c>
      <c r="K24" s="571">
        <v>41296.353472222225</v>
      </c>
      <c r="L24" s="571">
        <v>41296.54861111111</v>
      </c>
      <c r="M24" s="22">
        <f aca="true" t="shared" si="1" ref="M24:M43">IF(F24="","",(L24-K24)*24)</f>
        <v>4.68333333323244</v>
      </c>
      <c r="N24" s="23">
        <f aca="true" t="shared" si="2" ref="N24:N43">IF(F24="","",ROUND((L24-K24)*24*60,0))</f>
        <v>281</v>
      </c>
      <c r="O24" s="572" t="s">
        <v>137</v>
      </c>
      <c r="P24" s="21" t="str">
        <f aca="true" t="shared" si="3" ref="P24:P43">IF(F24="","",IF(OR(O24="P",O24="RP"),"--","NO"))</f>
        <v>--</v>
      </c>
      <c r="Q24" s="624" t="str">
        <f aca="true" t="shared" si="4" ref="Q24:Q43">IF(F24="","","--")</f>
        <v>--</v>
      </c>
      <c r="R24" s="21" t="str">
        <f aca="true" t="shared" si="5" ref="R24:R43">IF(F24="","","NO")</f>
        <v>NO</v>
      </c>
      <c r="S24" s="303">
        <f aca="true" t="shared" si="6" ref="S24:S43">$I$19*IF(OR(O24="P",O24="RP"),0.1,1)*IF(R24="SI",1,0.1)</f>
        <v>0.30000000000000004</v>
      </c>
      <c r="T24" s="625">
        <f aca="true" t="shared" si="7" ref="T24:T43">IF(O24="P",J24*S24*ROUND(N24/60,2),"--")</f>
        <v>26.563679999999998</v>
      </c>
      <c r="U24" s="626" t="str">
        <f aca="true" t="shared" si="8" ref="U24:U43">IF(O24="RP",J24*S24*ROUND(N24/60,2)*Q24/100,"--")</f>
        <v>--</v>
      </c>
      <c r="V24" s="305" t="str">
        <f aca="true" t="shared" si="9" ref="V24:V43">IF(AND(O24="F",P24="NO"),J24*S24,"--")</f>
        <v>--</v>
      </c>
      <c r="W24" s="306" t="str">
        <f aca="true" t="shared" si="10" ref="W24:W43">IF(O24="F",J24*S24*ROUND(N24/60,2),"--")</f>
        <v>--</v>
      </c>
      <c r="X24" s="309" t="str">
        <f aca="true" t="shared" si="11" ref="X24:X43">IF(AND(O24="R",P24="NO"),J24*S24*Q24/100,"--")</f>
        <v>--</v>
      </c>
      <c r="Y24" s="310" t="str">
        <f aca="true" t="shared" si="12" ref="Y24:Y43">IF(O24="R",J24*S24*ROUND(N24/60,2)*Q24/100,"--")</f>
        <v>--</v>
      </c>
      <c r="Z24" s="311" t="str">
        <f aca="true" t="shared" si="13" ref="Z24:Z43">IF(O24="RF",J24*S24*ROUND(N24/60,2),"--")</f>
        <v>--</v>
      </c>
      <c r="AA24" s="312" t="str">
        <f aca="true" t="shared" si="14" ref="AA24:AA43">IF(O24="RR",J24*S24*ROUND(N24/60,2)*Q24/100,"--")</f>
        <v>--</v>
      </c>
      <c r="AB24" s="21" t="s">
        <v>133</v>
      </c>
      <c r="AC24" s="540">
        <f aca="true" t="shared" si="15" ref="AC24:AC43">IF(F24="","",SUM(T24:AA24)*IF(AB24="SI",1,2))</f>
        <v>26.563679999999998</v>
      </c>
      <c r="AD24" s="541"/>
    </row>
    <row r="25" spans="1:30" s="474" customFormat="1" ht="16.5" customHeight="1">
      <c r="A25" s="473"/>
      <c r="B25" s="485"/>
      <c r="C25" s="567">
        <v>7</v>
      </c>
      <c r="D25" s="567">
        <v>257462</v>
      </c>
      <c r="E25" s="567">
        <v>1798</v>
      </c>
      <c r="F25" s="433" t="s">
        <v>140</v>
      </c>
      <c r="G25" s="432" t="s">
        <v>8</v>
      </c>
      <c r="H25" s="568">
        <v>40</v>
      </c>
      <c r="I25" s="604" t="s">
        <v>141</v>
      </c>
      <c r="J25" s="237">
        <f t="shared" si="0"/>
        <v>18.919999999999998</v>
      </c>
      <c r="K25" s="571">
        <v>41297.36944444444</v>
      </c>
      <c r="L25" s="571">
        <v>41297.58194444444</v>
      </c>
      <c r="M25" s="22">
        <f t="shared" si="1"/>
        <v>5.100000000034925</v>
      </c>
      <c r="N25" s="23">
        <f t="shared" si="2"/>
        <v>306</v>
      </c>
      <c r="O25" s="572" t="s">
        <v>137</v>
      </c>
      <c r="P25" s="21" t="str">
        <f t="shared" si="3"/>
        <v>--</v>
      </c>
      <c r="Q25" s="624" t="str">
        <f t="shared" si="4"/>
        <v>--</v>
      </c>
      <c r="R25" s="21" t="str">
        <f t="shared" si="5"/>
        <v>NO</v>
      </c>
      <c r="S25" s="303">
        <f t="shared" si="6"/>
        <v>0.30000000000000004</v>
      </c>
      <c r="T25" s="625">
        <f t="shared" si="7"/>
        <v>28.947599999999998</v>
      </c>
      <c r="U25" s="626" t="str">
        <f t="shared" si="8"/>
        <v>--</v>
      </c>
      <c r="V25" s="305" t="str">
        <f t="shared" si="9"/>
        <v>--</v>
      </c>
      <c r="W25" s="306" t="str">
        <f t="shared" si="10"/>
        <v>--</v>
      </c>
      <c r="X25" s="309" t="str">
        <f t="shared" si="11"/>
        <v>--</v>
      </c>
      <c r="Y25" s="310" t="str">
        <f t="shared" si="12"/>
        <v>--</v>
      </c>
      <c r="Z25" s="311" t="str">
        <f t="shared" si="13"/>
        <v>--</v>
      </c>
      <c r="AA25" s="312" t="str">
        <f t="shared" si="14"/>
        <v>--</v>
      </c>
      <c r="AB25" s="21" t="s">
        <v>133</v>
      </c>
      <c r="AC25" s="540">
        <f t="shared" si="15"/>
        <v>28.947599999999998</v>
      </c>
      <c r="AD25" s="541"/>
    </row>
    <row r="26" spans="1:30" s="474" customFormat="1" ht="16.5" customHeight="1">
      <c r="A26" s="473"/>
      <c r="B26" s="485"/>
      <c r="C26" s="567">
        <v>8</v>
      </c>
      <c r="D26" s="567">
        <v>257464</v>
      </c>
      <c r="E26" s="567">
        <v>1797</v>
      </c>
      <c r="F26" s="433" t="s">
        <v>140</v>
      </c>
      <c r="G26" s="432" t="s">
        <v>142</v>
      </c>
      <c r="H26" s="568">
        <v>40</v>
      </c>
      <c r="I26" s="604" t="s">
        <v>141</v>
      </c>
      <c r="J26" s="237">
        <f t="shared" si="0"/>
        <v>18.919999999999998</v>
      </c>
      <c r="K26" s="571">
        <v>41298.353472222225</v>
      </c>
      <c r="L26" s="571">
        <v>41298.42986111111</v>
      </c>
      <c r="M26" s="22">
        <f t="shared" si="1"/>
        <v>1.8333333331975155</v>
      </c>
      <c r="N26" s="23">
        <f t="shared" si="2"/>
        <v>110</v>
      </c>
      <c r="O26" s="572" t="s">
        <v>137</v>
      </c>
      <c r="P26" s="21" t="str">
        <f t="shared" si="3"/>
        <v>--</v>
      </c>
      <c r="Q26" s="624" t="str">
        <f t="shared" si="4"/>
        <v>--</v>
      </c>
      <c r="R26" s="21" t="str">
        <f t="shared" si="5"/>
        <v>NO</v>
      </c>
      <c r="S26" s="303">
        <f t="shared" si="6"/>
        <v>0.30000000000000004</v>
      </c>
      <c r="T26" s="625">
        <f t="shared" si="7"/>
        <v>10.387080000000001</v>
      </c>
      <c r="U26" s="626" t="str">
        <f t="shared" si="8"/>
        <v>--</v>
      </c>
      <c r="V26" s="305" t="str">
        <f t="shared" si="9"/>
        <v>--</v>
      </c>
      <c r="W26" s="306" t="str">
        <f t="shared" si="10"/>
        <v>--</v>
      </c>
      <c r="X26" s="309" t="str">
        <f t="shared" si="11"/>
        <v>--</v>
      </c>
      <c r="Y26" s="310" t="str">
        <f t="shared" si="12"/>
        <v>--</v>
      </c>
      <c r="Z26" s="311" t="str">
        <f t="shared" si="13"/>
        <v>--</v>
      </c>
      <c r="AA26" s="312" t="str">
        <f t="shared" si="14"/>
        <v>--</v>
      </c>
      <c r="AB26" s="21" t="s">
        <v>133</v>
      </c>
      <c r="AC26" s="540">
        <f t="shared" si="15"/>
        <v>10.387080000000001</v>
      </c>
      <c r="AD26" s="541"/>
    </row>
    <row r="27" spans="1:30" s="474" customFormat="1" ht="16.5" customHeight="1">
      <c r="A27" s="473"/>
      <c r="B27" s="485"/>
      <c r="C27" s="567">
        <v>9</v>
      </c>
      <c r="D27" s="567">
        <v>257465</v>
      </c>
      <c r="E27" s="567">
        <v>1801</v>
      </c>
      <c r="F27" s="433" t="s">
        <v>143</v>
      </c>
      <c r="G27" s="432" t="s">
        <v>144</v>
      </c>
      <c r="H27" s="568">
        <v>60</v>
      </c>
      <c r="I27" s="604" t="s">
        <v>145</v>
      </c>
      <c r="J27" s="237">
        <f t="shared" si="0"/>
        <v>28.38</v>
      </c>
      <c r="K27" s="571">
        <v>41301.25</v>
      </c>
      <c r="L27" s="571">
        <v>41301.756944444445</v>
      </c>
      <c r="M27" s="22">
        <f t="shared" si="1"/>
        <v>12.16666666668607</v>
      </c>
      <c r="N27" s="23">
        <f t="shared" si="2"/>
        <v>730</v>
      </c>
      <c r="O27" s="572" t="s">
        <v>137</v>
      </c>
      <c r="P27" s="21" t="str">
        <f t="shared" si="3"/>
        <v>--</v>
      </c>
      <c r="Q27" s="624" t="str">
        <f t="shared" si="4"/>
        <v>--</v>
      </c>
      <c r="R27" s="21" t="str">
        <f t="shared" si="5"/>
        <v>NO</v>
      </c>
      <c r="S27" s="303">
        <f t="shared" si="6"/>
        <v>0.30000000000000004</v>
      </c>
      <c r="T27" s="625">
        <f t="shared" si="7"/>
        <v>103.61538000000002</v>
      </c>
      <c r="U27" s="626" t="str">
        <f t="shared" si="8"/>
        <v>--</v>
      </c>
      <c r="V27" s="305" t="str">
        <f t="shared" si="9"/>
        <v>--</v>
      </c>
      <c r="W27" s="306" t="str">
        <f t="shared" si="10"/>
        <v>--</v>
      </c>
      <c r="X27" s="309" t="str">
        <f t="shared" si="11"/>
        <v>--</v>
      </c>
      <c r="Y27" s="310" t="str">
        <f t="shared" si="12"/>
        <v>--</v>
      </c>
      <c r="Z27" s="311" t="str">
        <f t="shared" si="13"/>
        <v>--</v>
      </c>
      <c r="AA27" s="312" t="str">
        <f t="shared" si="14"/>
        <v>--</v>
      </c>
      <c r="AB27" s="21" t="s">
        <v>133</v>
      </c>
      <c r="AC27" s="540">
        <f t="shared" si="15"/>
        <v>103.61538000000002</v>
      </c>
      <c r="AD27" s="541"/>
    </row>
    <row r="28" spans="1:30" s="474" customFormat="1" ht="16.5" customHeight="1">
      <c r="A28" s="473"/>
      <c r="B28" s="485"/>
      <c r="C28" s="567">
        <v>10</v>
      </c>
      <c r="D28" s="567">
        <v>257507</v>
      </c>
      <c r="E28" s="567">
        <v>3484</v>
      </c>
      <c r="F28" s="433" t="s">
        <v>146</v>
      </c>
      <c r="G28" s="432" t="s">
        <v>147</v>
      </c>
      <c r="H28" s="568">
        <v>20</v>
      </c>
      <c r="I28" s="604" t="s">
        <v>148</v>
      </c>
      <c r="J28" s="237">
        <f t="shared" si="0"/>
        <v>9.459999999999999</v>
      </c>
      <c r="K28" s="571">
        <v>41303.325</v>
      </c>
      <c r="L28" s="571">
        <v>41303.55138888889</v>
      </c>
      <c r="M28" s="22">
        <f t="shared" si="1"/>
        <v>5.433333333407063</v>
      </c>
      <c r="N28" s="23">
        <f t="shared" si="2"/>
        <v>326</v>
      </c>
      <c r="O28" s="572" t="s">
        <v>137</v>
      </c>
      <c r="P28" s="21" t="str">
        <f t="shared" si="3"/>
        <v>--</v>
      </c>
      <c r="Q28" s="624" t="str">
        <f t="shared" si="4"/>
        <v>--</v>
      </c>
      <c r="R28" s="21" t="str">
        <f t="shared" si="5"/>
        <v>NO</v>
      </c>
      <c r="S28" s="303">
        <f t="shared" si="6"/>
        <v>0.30000000000000004</v>
      </c>
      <c r="T28" s="625">
        <f t="shared" si="7"/>
        <v>15.41034</v>
      </c>
      <c r="U28" s="626" t="str">
        <f t="shared" si="8"/>
        <v>--</v>
      </c>
      <c r="V28" s="305" t="str">
        <f t="shared" si="9"/>
        <v>--</v>
      </c>
      <c r="W28" s="306" t="str">
        <f t="shared" si="10"/>
        <v>--</v>
      </c>
      <c r="X28" s="309" t="str">
        <f t="shared" si="11"/>
        <v>--</v>
      </c>
      <c r="Y28" s="310" t="str">
        <f t="shared" si="12"/>
        <v>--</v>
      </c>
      <c r="Z28" s="311" t="str">
        <f t="shared" si="13"/>
        <v>--</v>
      </c>
      <c r="AA28" s="312" t="str">
        <f t="shared" si="14"/>
        <v>--</v>
      </c>
      <c r="AB28" s="21" t="s">
        <v>133</v>
      </c>
      <c r="AC28" s="540">
        <f t="shared" si="15"/>
        <v>15.41034</v>
      </c>
      <c r="AD28" s="541"/>
    </row>
    <row r="29" spans="1:30" s="474" customFormat="1" ht="16.5" customHeight="1">
      <c r="A29" s="473"/>
      <c r="B29" s="485"/>
      <c r="C29" s="567">
        <v>11</v>
      </c>
      <c r="D29" s="567">
        <v>257508</v>
      </c>
      <c r="E29" s="567">
        <v>1797</v>
      </c>
      <c r="F29" s="433" t="s">
        <v>140</v>
      </c>
      <c r="G29" s="432" t="s">
        <v>142</v>
      </c>
      <c r="H29" s="568">
        <v>40</v>
      </c>
      <c r="I29" s="604" t="s">
        <v>141</v>
      </c>
      <c r="J29" s="237">
        <f t="shared" si="0"/>
        <v>18.919999999999998</v>
      </c>
      <c r="K29" s="571">
        <v>41304.31319444445</v>
      </c>
      <c r="L29" s="571">
        <v>41304.525</v>
      </c>
      <c r="M29" s="22">
        <f t="shared" si="1"/>
        <v>5.083333333313931</v>
      </c>
      <c r="N29" s="23">
        <f t="shared" si="2"/>
        <v>305</v>
      </c>
      <c r="O29" s="572" t="s">
        <v>137</v>
      </c>
      <c r="P29" s="21" t="str">
        <f t="shared" si="3"/>
        <v>--</v>
      </c>
      <c r="Q29" s="624" t="str">
        <f t="shared" si="4"/>
        <v>--</v>
      </c>
      <c r="R29" s="21" t="str">
        <f t="shared" si="5"/>
        <v>NO</v>
      </c>
      <c r="S29" s="303">
        <f t="shared" si="6"/>
        <v>0.30000000000000004</v>
      </c>
      <c r="T29" s="625">
        <f t="shared" si="7"/>
        <v>28.83408</v>
      </c>
      <c r="U29" s="626" t="str">
        <f t="shared" si="8"/>
        <v>--</v>
      </c>
      <c r="V29" s="305" t="str">
        <f t="shared" si="9"/>
        <v>--</v>
      </c>
      <c r="W29" s="306" t="str">
        <f t="shared" si="10"/>
        <v>--</v>
      </c>
      <c r="X29" s="309" t="str">
        <f t="shared" si="11"/>
        <v>--</v>
      </c>
      <c r="Y29" s="310" t="str">
        <f t="shared" si="12"/>
        <v>--</v>
      </c>
      <c r="Z29" s="311" t="str">
        <f t="shared" si="13"/>
        <v>--</v>
      </c>
      <c r="AA29" s="312" t="str">
        <f t="shared" si="14"/>
        <v>--</v>
      </c>
      <c r="AB29" s="21" t="s">
        <v>133</v>
      </c>
      <c r="AC29" s="540">
        <f t="shared" si="15"/>
        <v>28.83408</v>
      </c>
      <c r="AD29" s="541"/>
    </row>
    <row r="30" spans="1:30" s="474" customFormat="1" ht="16.5" customHeight="1">
      <c r="A30" s="473"/>
      <c r="B30" s="485"/>
      <c r="C30" s="567"/>
      <c r="D30" s="567"/>
      <c r="E30" s="567"/>
      <c r="F30" s="433"/>
      <c r="G30" s="432"/>
      <c r="H30" s="568"/>
      <c r="I30" s="604"/>
      <c r="J30" s="237">
        <f t="shared" si="0"/>
        <v>0</v>
      </c>
      <c r="K30" s="571"/>
      <c r="L30" s="571"/>
      <c r="M30" s="22">
        <f t="shared" si="1"/>
      </c>
      <c r="N30" s="23">
        <f t="shared" si="2"/>
      </c>
      <c r="O30" s="572"/>
      <c r="P30" s="21">
        <f t="shared" si="3"/>
      </c>
      <c r="Q30" s="624">
        <f t="shared" si="4"/>
      </c>
      <c r="R30" s="21">
        <f t="shared" si="5"/>
      </c>
      <c r="S30" s="303">
        <f t="shared" si="6"/>
        <v>3</v>
      </c>
      <c r="T30" s="625" t="str">
        <f t="shared" si="7"/>
        <v>--</v>
      </c>
      <c r="U30" s="626" t="str">
        <f t="shared" si="8"/>
        <v>--</v>
      </c>
      <c r="V30" s="305" t="str">
        <f t="shared" si="9"/>
        <v>--</v>
      </c>
      <c r="W30" s="306" t="str">
        <f t="shared" si="10"/>
        <v>--</v>
      </c>
      <c r="X30" s="309" t="str">
        <f t="shared" si="11"/>
        <v>--</v>
      </c>
      <c r="Y30" s="310" t="str">
        <f t="shared" si="12"/>
        <v>--</v>
      </c>
      <c r="Z30" s="311" t="str">
        <f t="shared" si="13"/>
        <v>--</v>
      </c>
      <c r="AA30" s="312" t="str">
        <f t="shared" si="14"/>
        <v>--</v>
      </c>
      <c r="AB30" s="21">
        <f aca="true" t="shared" si="16" ref="AB30:AB43">IF(F30="","","SI")</f>
      </c>
      <c r="AC30" s="540">
        <f t="shared" si="15"/>
      </c>
      <c r="AD30" s="541"/>
    </row>
    <row r="31" spans="1:30" s="474" customFormat="1" ht="16.5" customHeight="1">
      <c r="A31" s="473"/>
      <c r="B31" s="485"/>
      <c r="C31" s="567"/>
      <c r="D31" s="567"/>
      <c r="E31" s="567"/>
      <c r="F31" s="433"/>
      <c r="G31" s="432"/>
      <c r="H31" s="568"/>
      <c r="I31" s="569"/>
      <c r="J31" s="237">
        <f t="shared" si="0"/>
        <v>0</v>
      </c>
      <c r="K31" s="571"/>
      <c r="L31" s="571"/>
      <c r="M31" s="22">
        <f t="shared" si="1"/>
      </c>
      <c r="N31" s="23">
        <f t="shared" si="2"/>
      </c>
      <c r="O31" s="572"/>
      <c r="P31" s="21">
        <f t="shared" si="3"/>
      </c>
      <c r="Q31" s="624">
        <f t="shared" si="4"/>
      </c>
      <c r="R31" s="21">
        <f t="shared" si="5"/>
      </c>
      <c r="S31" s="303">
        <f t="shared" si="6"/>
        <v>3</v>
      </c>
      <c r="T31" s="625" t="str">
        <f t="shared" si="7"/>
        <v>--</v>
      </c>
      <c r="U31" s="626" t="str">
        <f t="shared" si="8"/>
        <v>--</v>
      </c>
      <c r="V31" s="305" t="str">
        <f t="shared" si="9"/>
        <v>--</v>
      </c>
      <c r="W31" s="306" t="str">
        <f t="shared" si="10"/>
        <v>--</v>
      </c>
      <c r="X31" s="309" t="str">
        <f t="shared" si="11"/>
        <v>--</v>
      </c>
      <c r="Y31" s="310" t="str">
        <f t="shared" si="12"/>
        <v>--</v>
      </c>
      <c r="Z31" s="311" t="str">
        <f t="shared" si="13"/>
        <v>--</v>
      </c>
      <c r="AA31" s="312" t="str">
        <f t="shared" si="14"/>
        <v>--</v>
      </c>
      <c r="AB31" s="21">
        <f t="shared" si="16"/>
      </c>
      <c r="AC31" s="540">
        <f t="shared" si="15"/>
      </c>
      <c r="AD31" s="541"/>
    </row>
    <row r="32" spans="1:30" s="474" customFormat="1" ht="16.5" customHeight="1">
      <c r="A32" s="473"/>
      <c r="B32" s="485"/>
      <c r="C32" s="567"/>
      <c r="D32" s="567"/>
      <c r="E32" s="567"/>
      <c r="F32" s="433"/>
      <c r="G32" s="432"/>
      <c r="H32" s="568"/>
      <c r="I32" s="569"/>
      <c r="J32" s="237">
        <f t="shared" si="0"/>
        <v>0</v>
      </c>
      <c r="K32" s="571"/>
      <c r="L32" s="571"/>
      <c r="M32" s="22">
        <f t="shared" si="1"/>
      </c>
      <c r="N32" s="23">
        <f t="shared" si="2"/>
      </c>
      <c r="O32" s="572"/>
      <c r="P32" s="21">
        <f t="shared" si="3"/>
      </c>
      <c r="Q32" s="624">
        <f t="shared" si="4"/>
      </c>
      <c r="R32" s="21">
        <f t="shared" si="5"/>
      </c>
      <c r="S32" s="303">
        <f t="shared" si="6"/>
        <v>3</v>
      </c>
      <c r="T32" s="625" t="str">
        <f t="shared" si="7"/>
        <v>--</v>
      </c>
      <c r="U32" s="626" t="str">
        <f t="shared" si="8"/>
        <v>--</v>
      </c>
      <c r="V32" s="305" t="str">
        <f t="shared" si="9"/>
        <v>--</v>
      </c>
      <c r="W32" s="306" t="str">
        <f t="shared" si="10"/>
        <v>--</v>
      </c>
      <c r="X32" s="309" t="str">
        <f t="shared" si="11"/>
        <v>--</v>
      </c>
      <c r="Y32" s="310" t="str">
        <f t="shared" si="12"/>
        <v>--</v>
      </c>
      <c r="Z32" s="311" t="str">
        <f t="shared" si="13"/>
        <v>--</v>
      </c>
      <c r="AA32" s="312" t="str">
        <f t="shared" si="14"/>
        <v>--</v>
      </c>
      <c r="AB32" s="21">
        <f t="shared" si="16"/>
      </c>
      <c r="AC32" s="540">
        <f t="shared" si="15"/>
      </c>
      <c r="AD32" s="486"/>
    </row>
    <row r="33" spans="1:30" s="474" customFormat="1" ht="16.5" customHeight="1">
      <c r="A33" s="473"/>
      <c r="B33" s="485"/>
      <c r="C33" s="567"/>
      <c r="D33" s="567"/>
      <c r="E33" s="567"/>
      <c r="F33" s="433"/>
      <c r="G33" s="432"/>
      <c r="H33" s="568"/>
      <c r="I33" s="569"/>
      <c r="J33" s="237">
        <f t="shared" si="0"/>
        <v>0</v>
      </c>
      <c r="K33" s="571"/>
      <c r="L33" s="571"/>
      <c r="M33" s="22">
        <f t="shared" si="1"/>
      </c>
      <c r="N33" s="23">
        <f t="shared" si="2"/>
      </c>
      <c r="O33" s="572"/>
      <c r="P33" s="21">
        <f t="shared" si="3"/>
      </c>
      <c r="Q33" s="624">
        <f t="shared" si="4"/>
      </c>
      <c r="R33" s="21">
        <f t="shared" si="5"/>
      </c>
      <c r="S33" s="303">
        <f t="shared" si="6"/>
        <v>3</v>
      </c>
      <c r="T33" s="625" t="str">
        <f t="shared" si="7"/>
        <v>--</v>
      </c>
      <c r="U33" s="626" t="str">
        <f t="shared" si="8"/>
        <v>--</v>
      </c>
      <c r="V33" s="305" t="str">
        <f t="shared" si="9"/>
        <v>--</v>
      </c>
      <c r="W33" s="306" t="str">
        <f t="shared" si="10"/>
        <v>--</v>
      </c>
      <c r="X33" s="309" t="str">
        <f t="shared" si="11"/>
        <v>--</v>
      </c>
      <c r="Y33" s="310" t="str">
        <f t="shared" si="12"/>
        <v>--</v>
      </c>
      <c r="Z33" s="311" t="str">
        <f t="shared" si="13"/>
        <v>--</v>
      </c>
      <c r="AA33" s="312" t="str">
        <f t="shared" si="14"/>
        <v>--</v>
      </c>
      <c r="AB33" s="21">
        <f t="shared" si="16"/>
      </c>
      <c r="AC33" s="540">
        <f t="shared" si="15"/>
      </c>
      <c r="AD33" s="486"/>
    </row>
    <row r="34" spans="1:30" s="474" customFormat="1" ht="16.5" customHeight="1">
      <c r="A34" s="473"/>
      <c r="B34" s="485"/>
      <c r="C34" s="567"/>
      <c r="D34" s="567"/>
      <c r="E34" s="567"/>
      <c r="F34" s="433"/>
      <c r="G34" s="432"/>
      <c r="H34" s="568"/>
      <c r="I34" s="569"/>
      <c r="J34" s="237">
        <f t="shared" si="0"/>
        <v>0</v>
      </c>
      <c r="K34" s="571"/>
      <c r="L34" s="571"/>
      <c r="M34" s="22">
        <f t="shared" si="1"/>
      </c>
      <c r="N34" s="23">
        <f t="shared" si="2"/>
      </c>
      <c r="O34" s="572"/>
      <c r="P34" s="21">
        <f t="shared" si="3"/>
      </c>
      <c r="Q34" s="624">
        <f t="shared" si="4"/>
      </c>
      <c r="R34" s="21">
        <f t="shared" si="5"/>
      </c>
      <c r="S34" s="303">
        <f t="shared" si="6"/>
        <v>3</v>
      </c>
      <c r="T34" s="625" t="str">
        <f t="shared" si="7"/>
        <v>--</v>
      </c>
      <c r="U34" s="626" t="str">
        <f t="shared" si="8"/>
        <v>--</v>
      </c>
      <c r="V34" s="305" t="str">
        <f t="shared" si="9"/>
        <v>--</v>
      </c>
      <c r="W34" s="306" t="str">
        <f t="shared" si="10"/>
        <v>--</v>
      </c>
      <c r="X34" s="309" t="str">
        <f t="shared" si="11"/>
        <v>--</v>
      </c>
      <c r="Y34" s="310" t="str">
        <f t="shared" si="12"/>
        <v>--</v>
      </c>
      <c r="Z34" s="311" t="str">
        <f t="shared" si="13"/>
        <v>--</v>
      </c>
      <c r="AA34" s="312" t="str">
        <f t="shared" si="14"/>
        <v>--</v>
      </c>
      <c r="AB34" s="21">
        <f t="shared" si="16"/>
      </c>
      <c r="AC34" s="540">
        <f t="shared" si="15"/>
      </c>
      <c r="AD34" s="486"/>
    </row>
    <row r="35" spans="1:30" s="474" customFormat="1" ht="16.5" customHeight="1">
      <c r="A35" s="473"/>
      <c r="B35" s="485"/>
      <c r="C35" s="567"/>
      <c r="D35" s="567"/>
      <c r="E35" s="567"/>
      <c r="F35" s="433"/>
      <c r="G35" s="432"/>
      <c r="H35" s="568"/>
      <c r="I35" s="569"/>
      <c r="J35" s="237">
        <f t="shared" si="0"/>
        <v>0</v>
      </c>
      <c r="K35" s="571"/>
      <c r="L35" s="571"/>
      <c r="M35" s="22">
        <f t="shared" si="1"/>
      </c>
      <c r="N35" s="23">
        <f t="shared" si="2"/>
      </c>
      <c r="O35" s="572"/>
      <c r="P35" s="21">
        <f t="shared" si="3"/>
      </c>
      <c r="Q35" s="624">
        <f t="shared" si="4"/>
      </c>
      <c r="R35" s="21">
        <f t="shared" si="5"/>
      </c>
      <c r="S35" s="303">
        <f t="shared" si="6"/>
        <v>3</v>
      </c>
      <c r="T35" s="625" t="str">
        <f t="shared" si="7"/>
        <v>--</v>
      </c>
      <c r="U35" s="626" t="str">
        <f t="shared" si="8"/>
        <v>--</v>
      </c>
      <c r="V35" s="305" t="str">
        <f t="shared" si="9"/>
        <v>--</v>
      </c>
      <c r="W35" s="306" t="str">
        <f t="shared" si="10"/>
        <v>--</v>
      </c>
      <c r="X35" s="309" t="str">
        <f t="shared" si="11"/>
        <v>--</v>
      </c>
      <c r="Y35" s="310" t="str">
        <f t="shared" si="12"/>
        <v>--</v>
      </c>
      <c r="Z35" s="311" t="str">
        <f t="shared" si="13"/>
        <v>--</v>
      </c>
      <c r="AA35" s="312" t="str">
        <f t="shared" si="14"/>
        <v>--</v>
      </c>
      <c r="AB35" s="21">
        <f t="shared" si="16"/>
      </c>
      <c r="AC35" s="540">
        <f t="shared" si="15"/>
      </c>
      <c r="AD35" s="486"/>
    </row>
    <row r="36" spans="1:30" s="474" customFormat="1" ht="16.5" customHeight="1">
      <c r="A36" s="473"/>
      <c r="B36" s="485"/>
      <c r="C36" s="567"/>
      <c r="D36" s="567"/>
      <c r="E36" s="567"/>
      <c r="F36" s="433"/>
      <c r="G36" s="432"/>
      <c r="H36" s="568"/>
      <c r="I36" s="569"/>
      <c r="J36" s="237">
        <f t="shared" si="0"/>
        <v>0</v>
      </c>
      <c r="K36" s="571"/>
      <c r="L36" s="571"/>
      <c r="M36" s="22">
        <f t="shared" si="1"/>
      </c>
      <c r="N36" s="23">
        <f t="shared" si="2"/>
      </c>
      <c r="O36" s="572"/>
      <c r="P36" s="21">
        <f t="shared" si="3"/>
      </c>
      <c r="Q36" s="624">
        <f t="shared" si="4"/>
      </c>
      <c r="R36" s="21">
        <f t="shared" si="5"/>
      </c>
      <c r="S36" s="303">
        <f t="shared" si="6"/>
        <v>3</v>
      </c>
      <c r="T36" s="625" t="str">
        <f t="shared" si="7"/>
        <v>--</v>
      </c>
      <c r="U36" s="626" t="str">
        <f t="shared" si="8"/>
        <v>--</v>
      </c>
      <c r="V36" s="305" t="str">
        <f t="shared" si="9"/>
        <v>--</v>
      </c>
      <c r="W36" s="306" t="str">
        <f t="shared" si="10"/>
        <v>--</v>
      </c>
      <c r="X36" s="309" t="str">
        <f t="shared" si="11"/>
        <v>--</v>
      </c>
      <c r="Y36" s="310" t="str">
        <f t="shared" si="12"/>
        <v>--</v>
      </c>
      <c r="Z36" s="311" t="str">
        <f t="shared" si="13"/>
        <v>--</v>
      </c>
      <c r="AA36" s="312" t="str">
        <f t="shared" si="14"/>
        <v>--</v>
      </c>
      <c r="AB36" s="21">
        <f t="shared" si="16"/>
      </c>
      <c r="AC36" s="540">
        <f t="shared" si="15"/>
      </c>
      <c r="AD36" s="486"/>
    </row>
    <row r="37" spans="1:30" s="474" customFormat="1" ht="16.5" customHeight="1">
      <c r="A37" s="473"/>
      <c r="B37" s="485"/>
      <c r="C37" s="567"/>
      <c r="D37" s="567"/>
      <c r="E37" s="567"/>
      <c r="F37" s="433"/>
      <c r="G37" s="432"/>
      <c r="H37" s="568"/>
      <c r="I37" s="569"/>
      <c r="J37" s="237">
        <f t="shared" si="0"/>
        <v>0</v>
      </c>
      <c r="K37" s="571"/>
      <c r="L37" s="571"/>
      <c r="M37" s="22">
        <f t="shared" si="1"/>
      </c>
      <c r="N37" s="23">
        <f t="shared" si="2"/>
      </c>
      <c r="O37" s="572"/>
      <c r="P37" s="21">
        <f t="shared" si="3"/>
      </c>
      <c r="Q37" s="624">
        <f t="shared" si="4"/>
      </c>
      <c r="R37" s="21">
        <f t="shared" si="5"/>
      </c>
      <c r="S37" s="303">
        <f t="shared" si="6"/>
        <v>3</v>
      </c>
      <c r="T37" s="625" t="str">
        <f t="shared" si="7"/>
        <v>--</v>
      </c>
      <c r="U37" s="626" t="str">
        <f t="shared" si="8"/>
        <v>--</v>
      </c>
      <c r="V37" s="305" t="str">
        <f t="shared" si="9"/>
        <v>--</v>
      </c>
      <c r="W37" s="306" t="str">
        <f t="shared" si="10"/>
        <v>--</v>
      </c>
      <c r="X37" s="309" t="str">
        <f t="shared" si="11"/>
        <v>--</v>
      </c>
      <c r="Y37" s="310" t="str">
        <f t="shared" si="12"/>
        <v>--</v>
      </c>
      <c r="Z37" s="311" t="str">
        <f t="shared" si="13"/>
        <v>--</v>
      </c>
      <c r="AA37" s="312" t="str">
        <f t="shared" si="14"/>
        <v>--</v>
      </c>
      <c r="AB37" s="21">
        <f t="shared" si="16"/>
      </c>
      <c r="AC37" s="540">
        <f t="shared" si="15"/>
      </c>
      <c r="AD37" s="486"/>
    </row>
    <row r="38" spans="1:30" s="474" customFormat="1" ht="16.5" customHeight="1">
      <c r="A38" s="473"/>
      <c r="B38" s="485"/>
      <c r="C38" s="567"/>
      <c r="D38" s="567"/>
      <c r="E38" s="567"/>
      <c r="F38" s="433"/>
      <c r="G38" s="432"/>
      <c r="H38" s="568"/>
      <c r="I38" s="569"/>
      <c r="J38" s="237">
        <f t="shared" si="0"/>
        <v>0</v>
      </c>
      <c r="K38" s="571"/>
      <c r="L38" s="571"/>
      <c r="M38" s="22">
        <f t="shared" si="1"/>
      </c>
      <c r="N38" s="23">
        <f t="shared" si="2"/>
      </c>
      <c r="O38" s="572"/>
      <c r="P38" s="21">
        <f t="shared" si="3"/>
      </c>
      <c r="Q38" s="624">
        <f t="shared" si="4"/>
      </c>
      <c r="R38" s="21">
        <f t="shared" si="5"/>
      </c>
      <c r="S38" s="303">
        <f t="shared" si="6"/>
        <v>3</v>
      </c>
      <c r="T38" s="625" t="str">
        <f t="shared" si="7"/>
        <v>--</v>
      </c>
      <c r="U38" s="626" t="str">
        <f t="shared" si="8"/>
        <v>--</v>
      </c>
      <c r="V38" s="305" t="str">
        <f t="shared" si="9"/>
        <v>--</v>
      </c>
      <c r="W38" s="306" t="str">
        <f t="shared" si="10"/>
        <v>--</v>
      </c>
      <c r="X38" s="309" t="str">
        <f t="shared" si="11"/>
        <v>--</v>
      </c>
      <c r="Y38" s="310" t="str">
        <f t="shared" si="12"/>
        <v>--</v>
      </c>
      <c r="Z38" s="311" t="str">
        <f t="shared" si="13"/>
        <v>--</v>
      </c>
      <c r="AA38" s="312" t="str">
        <f t="shared" si="14"/>
        <v>--</v>
      </c>
      <c r="AB38" s="21">
        <f t="shared" si="16"/>
      </c>
      <c r="AC38" s="540">
        <f t="shared" si="15"/>
      </c>
      <c r="AD38" s="486"/>
    </row>
    <row r="39" spans="1:30" s="474" customFormat="1" ht="16.5" customHeight="1">
      <c r="A39" s="473"/>
      <c r="B39" s="485"/>
      <c r="C39" s="567"/>
      <c r="D39" s="567"/>
      <c r="E39" s="567"/>
      <c r="F39" s="433"/>
      <c r="G39" s="432"/>
      <c r="H39" s="568"/>
      <c r="I39" s="569"/>
      <c r="J39" s="237">
        <f t="shared" si="0"/>
        <v>0</v>
      </c>
      <c r="K39" s="571"/>
      <c r="L39" s="571"/>
      <c r="M39" s="22">
        <f t="shared" si="1"/>
      </c>
      <c r="N39" s="23">
        <f t="shared" si="2"/>
      </c>
      <c r="O39" s="572"/>
      <c r="P39" s="21">
        <f t="shared" si="3"/>
      </c>
      <c r="Q39" s="624">
        <f t="shared" si="4"/>
      </c>
      <c r="R39" s="21">
        <f t="shared" si="5"/>
      </c>
      <c r="S39" s="303">
        <f t="shared" si="6"/>
        <v>3</v>
      </c>
      <c r="T39" s="625" t="str">
        <f t="shared" si="7"/>
        <v>--</v>
      </c>
      <c r="U39" s="626" t="str">
        <f t="shared" si="8"/>
        <v>--</v>
      </c>
      <c r="V39" s="305" t="str">
        <f t="shared" si="9"/>
        <v>--</v>
      </c>
      <c r="W39" s="306" t="str">
        <f t="shared" si="10"/>
        <v>--</v>
      </c>
      <c r="X39" s="309" t="str">
        <f t="shared" si="11"/>
        <v>--</v>
      </c>
      <c r="Y39" s="310" t="str">
        <f t="shared" si="12"/>
        <v>--</v>
      </c>
      <c r="Z39" s="311" t="str">
        <f t="shared" si="13"/>
        <v>--</v>
      </c>
      <c r="AA39" s="312" t="str">
        <f t="shared" si="14"/>
        <v>--</v>
      </c>
      <c r="AB39" s="21">
        <f t="shared" si="16"/>
      </c>
      <c r="AC39" s="540">
        <f t="shared" si="15"/>
      </c>
      <c r="AD39" s="486"/>
    </row>
    <row r="40" spans="1:30" s="474" customFormat="1" ht="16.5" customHeight="1">
      <c r="A40" s="473"/>
      <c r="B40" s="485"/>
      <c r="C40" s="567"/>
      <c r="D40" s="567"/>
      <c r="E40" s="567"/>
      <c r="F40" s="433"/>
      <c r="G40" s="432"/>
      <c r="H40" s="568"/>
      <c r="I40" s="569"/>
      <c r="J40" s="237">
        <f t="shared" si="0"/>
        <v>0</v>
      </c>
      <c r="K40" s="571"/>
      <c r="L40" s="571"/>
      <c r="M40" s="22">
        <f t="shared" si="1"/>
      </c>
      <c r="N40" s="23">
        <f t="shared" si="2"/>
      </c>
      <c r="O40" s="572"/>
      <c r="P40" s="21">
        <f t="shared" si="3"/>
      </c>
      <c r="Q40" s="624">
        <f t="shared" si="4"/>
      </c>
      <c r="R40" s="21">
        <f t="shared" si="5"/>
      </c>
      <c r="S40" s="303">
        <f t="shared" si="6"/>
        <v>3</v>
      </c>
      <c r="T40" s="625" t="str">
        <f t="shared" si="7"/>
        <v>--</v>
      </c>
      <c r="U40" s="626" t="str">
        <f t="shared" si="8"/>
        <v>--</v>
      </c>
      <c r="V40" s="305" t="str">
        <f t="shared" si="9"/>
        <v>--</v>
      </c>
      <c r="W40" s="306" t="str">
        <f t="shared" si="10"/>
        <v>--</v>
      </c>
      <c r="X40" s="309" t="str">
        <f t="shared" si="11"/>
        <v>--</v>
      </c>
      <c r="Y40" s="310" t="str">
        <f t="shared" si="12"/>
        <v>--</v>
      </c>
      <c r="Z40" s="311" t="str">
        <f t="shared" si="13"/>
        <v>--</v>
      </c>
      <c r="AA40" s="312" t="str">
        <f t="shared" si="14"/>
        <v>--</v>
      </c>
      <c r="AB40" s="21">
        <f t="shared" si="16"/>
      </c>
      <c r="AC40" s="540">
        <f t="shared" si="15"/>
      </c>
      <c r="AD40" s="486"/>
    </row>
    <row r="41" spans="1:30" s="474" customFormat="1" ht="16.5" customHeight="1">
      <c r="A41" s="473"/>
      <c r="B41" s="485"/>
      <c r="C41" s="567"/>
      <c r="D41" s="567"/>
      <c r="E41" s="567"/>
      <c r="F41" s="433"/>
      <c r="G41" s="432"/>
      <c r="H41" s="568"/>
      <c r="I41" s="569"/>
      <c r="J41" s="237">
        <f t="shared" si="0"/>
        <v>0</v>
      </c>
      <c r="K41" s="571"/>
      <c r="L41" s="571"/>
      <c r="M41" s="22">
        <f t="shared" si="1"/>
      </c>
      <c r="N41" s="23">
        <f t="shared" si="2"/>
      </c>
      <c r="O41" s="572"/>
      <c r="P41" s="21">
        <f t="shared" si="3"/>
      </c>
      <c r="Q41" s="624">
        <f t="shared" si="4"/>
      </c>
      <c r="R41" s="21">
        <f t="shared" si="5"/>
      </c>
      <c r="S41" s="303">
        <f t="shared" si="6"/>
        <v>3</v>
      </c>
      <c r="T41" s="625" t="str">
        <f t="shared" si="7"/>
        <v>--</v>
      </c>
      <c r="U41" s="626" t="str">
        <f t="shared" si="8"/>
        <v>--</v>
      </c>
      <c r="V41" s="305" t="str">
        <f t="shared" si="9"/>
        <v>--</v>
      </c>
      <c r="W41" s="306" t="str">
        <f t="shared" si="10"/>
        <v>--</v>
      </c>
      <c r="X41" s="309" t="str">
        <f t="shared" si="11"/>
        <v>--</v>
      </c>
      <c r="Y41" s="310" t="str">
        <f t="shared" si="12"/>
        <v>--</v>
      </c>
      <c r="Z41" s="311" t="str">
        <f t="shared" si="13"/>
        <v>--</v>
      </c>
      <c r="AA41" s="312" t="str">
        <f t="shared" si="14"/>
        <v>--</v>
      </c>
      <c r="AB41" s="21">
        <f t="shared" si="16"/>
      </c>
      <c r="AC41" s="540">
        <f t="shared" si="15"/>
      </c>
      <c r="AD41" s="486"/>
    </row>
    <row r="42" spans="1:30" s="474" customFormat="1" ht="16.5" customHeight="1">
      <c r="A42" s="473"/>
      <c r="B42" s="485"/>
      <c r="C42" s="567"/>
      <c r="D42" s="567"/>
      <c r="E42" s="567"/>
      <c r="F42" s="433"/>
      <c r="G42" s="432"/>
      <c r="H42" s="568"/>
      <c r="I42" s="569"/>
      <c r="J42" s="237">
        <f t="shared" si="0"/>
        <v>0</v>
      </c>
      <c r="K42" s="571"/>
      <c r="L42" s="571"/>
      <c r="M42" s="22">
        <f t="shared" si="1"/>
      </c>
      <c r="N42" s="23">
        <f t="shared" si="2"/>
      </c>
      <c r="O42" s="572"/>
      <c r="P42" s="21">
        <f t="shared" si="3"/>
      </c>
      <c r="Q42" s="624">
        <f t="shared" si="4"/>
      </c>
      <c r="R42" s="21">
        <f t="shared" si="5"/>
      </c>
      <c r="S42" s="303">
        <f t="shared" si="6"/>
        <v>3</v>
      </c>
      <c r="T42" s="625" t="str">
        <f t="shared" si="7"/>
        <v>--</v>
      </c>
      <c r="U42" s="626" t="str">
        <f t="shared" si="8"/>
        <v>--</v>
      </c>
      <c r="V42" s="305" t="str">
        <f t="shared" si="9"/>
        <v>--</v>
      </c>
      <c r="W42" s="306" t="str">
        <f t="shared" si="10"/>
        <v>--</v>
      </c>
      <c r="X42" s="309" t="str">
        <f t="shared" si="11"/>
        <v>--</v>
      </c>
      <c r="Y42" s="310" t="str">
        <f t="shared" si="12"/>
        <v>--</v>
      </c>
      <c r="Z42" s="311" t="str">
        <f t="shared" si="13"/>
        <v>--</v>
      </c>
      <c r="AA42" s="312" t="str">
        <f t="shared" si="14"/>
        <v>--</v>
      </c>
      <c r="AB42" s="21">
        <f t="shared" si="16"/>
      </c>
      <c r="AC42" s="540">
        <f t="shared" si="15"/>
      </c>
      <c r="AD42" s="486"/>
    </row>
    <row r="43" spans="1:30" s="474" customFormat="1" ht="16.5" customHeight="1">
      <c r="A43" s="473"/>
      <c r="B43" s="485"/>
      <c r="C43" s="567"/>
      <c r="D43" s="567"/>
      <c r="E43" s="567"/>
      <c r="F43" s="433"/>
      <c r="G43" s="432"/>
      <c r="H43" s="568"/>
      <c r="I43" s="569"/>
      <c r="J43" s="237">
        <f t="shared" si="0"/>
        <v>0</v>
      </c>
      <c r="K43" s="571"/>
      <c r="L43" s="571"/>
      <c r="M43" s="22">
        <f t="shared" si="1"/>
      </c>
      <c r="N43" s="23">
        <f t="shared" si="2"/>
      </c>
      <c r="O43" s="572"/>
      <c r="P43" s="21">
        <f t="shared" si="3"/>
      </c>
      <c r="Q43" s="624">
        <f t="shared" si="4"/>
      </c>
      <c r="R43" s="21">
        <f t="shared" si="5"/>
      </c>
      <c r="S43" s="303">
        <f t="shared" si="6"/>
        <v>3</v>
      </c>
      <c r="T43" s="625" t="str">
        <f t="shared" si="7"/>
        <v>--</v>
      </c>
      <c r="U43" s="626" t="str">
        <f t="shared" si="8"/>
        <v>--</v>
      </c>
      <c r="V43" s="305" t="str">
        <f t="shared" si="9"/>
        <v>--</v>
      </c>
      <c r="W43" s="306" t="str">
        <f t="shared" si="10"/>
        <v>--</v>
      </c>
      <c r="X43" s="309" t="str">
        <f t="shared" si="11"/>
        <v>--</v>
      </c>
      <c r="Y43" s="310" t="str">
        <f t="shared" si="12"/>
        <v>--</v>
      </c>
      <c r="Z43" s="311" t="str">
        <f t="shared" si="13"/>
        <v>--</v>
      </c>
      <c r="AA43" s="312" t="str">
        <f t="shared" si="14"/>
        <v>--</v>
      </c>
      <c r="AB43" s="21">
        <f t="shared" si="16"/>
      </c>
      <c r="AC43" s="540">
        <f t="shared" si="15"/>
      </c>
      <c r="AD43" s="486"/>
    </row>
    <row r="44" spans="1:30" s="474" customFormat="1" ht="16.5" customHeight="1" thickBot="1">
      <c r="A44" s="473"/>
      <c r="B44" s="485"/>
      <c r="C44" s="570"/>
      <c r="D44" s="570"/>
      <c r="E44" s="570"/>
      <c r="F44" s="570"/>
      <c r="G44" s="570"/>
      <c r="H44" s="570"/>
      <c r="I44" s="570"/>
      <c r="J44" s="543"/>
      <c r="K44" s="570"/>
      <c r="L44" s="570"/>
      <c r="M44" s="542"/>
      <c r="N44" s="542"/>
      <c r="O44" s="570"/>
      <c r="P44" s="570"/>
      <c r="Q44" s="570"/>
      <c r="R44" s="570"/>
      <c r="S44" s="573"/>
      <c r="T44" s="574"/>
      <c r="U44" s="575"/>
      <c r="V44" s="576"/>
      <c r="W44" s="577"/>
      <c r="X44" s="578"/>
      <c r="Y44" s="579"/>
      <c r="Z44" s="580"/>
      <c r="AA44" s="581"/>
      <c r="AB44" s="570"/>
      <c r="AC44" s="544"/>
      <c r="AD44" s="486"/>
    </row>
    <row r="45" spans="1:30" s="474" customFormat="1" ht="16.5" customHeight="1" thickBot="1" thickTop="1">
      <c r="A45" s="473"/>
      <c r="B45" s="485"/>
      <c r="C45" s="642" t="s">
        <v>156</v>
      </c>
      <c r="D45" s="641" t="s">
        <v>158</v>
      </c>
      <c r="E45" s="217"/>
      <c r="F45" s="212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545">
        <f aca="true" t="shared" si="17" ref="T45:AA45">SUM(T22:T44)</f>
        <v>213.75816</v>
      </c>
      <c r="U45" s="546">
        <f t="shared" si="17"/>
        <v>0</v>
      </c>
      <c r="V45" s="547">
        <f t="shared" si="17"/>
        <v>0</v>
      </c>
      <c r="W45" s="547">
        <f t="shared" si="17"/>
        <v>0</v>
      </c>
      <c r="X45" s="548">
        <f t="shared" si="17"/>
        <v>0</v>
      </c>
      <c r="Y45" s="548">
        <f t="shared" si="17"/>
        <v>0</v>
      </c>
      <c r="Z45" s="549">
        <f t="shared" si="17"/>
        <v>0</v>
      </c>
      <c r="AA45" s="550">
        <f t="shared" si="17"/>
        <v>0</v>
      </c>
      <c r="AB45" s="551"/>
      <c r="AC45" s="552">
        <f>ROUND(SUM(AC22:AC44),2)</f>
        <v>213.76</v>
      </c>
      <c r="AD45" s="486"/>
    </row>
    <row r="46" spans="1:30" s="560" customFormat="1" ht="9.75" thickTop="1">
      <c r="A46" s="553"/>
      <c r="B46" s="554"/>
      <c r="C46" s="555"/>
      <c r="D46" s="555"/>
      <c r="E46" s="555"/>
      <c r="F46" s="214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7"/>
      <c r="U46" s="557"/>
      <c r="V46" s="557"/>
      <c r="W46" s="557"/>
      <c r="X46" s="557"/>
      <c r="Y46" s="557"/>
      <c r="Z46" s="557"/>
      <c r="AA46" s="557"/>
      <c r="AB46" s="556"/>
      <c r="AC46" s="558"/>
      <c r="AD46" s="559"/>
    </row>
    <row r="47" spans="1:30" s="474" customFormat="1" ht="16.5" customHeight="1" thickBot="1">
      <c r="A47" s="473"/>
      <c r="B47" s="561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562"/>
      <c r="AA47" s="562"/>
      <c r="AB47" s="562"/>
      <c r="AC47" s="562"/>
      <c r="AD47" s="563"/>
    </row>
    <row r="48" spans="2:30" ht="16.5" customHeight="1" thickTop="1"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56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Y49"/>
  <sheetViews>
    <sheetView zoomScale="70" zoomScaleNormal="70" workbookViewId="0" topLeftCell="A1">
      <selection activeCell="A21" sqref="A21:IV2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1" customFormat="1" ht="26.25">
      <c r="W1" s="337"/>
    </row>
    <row r="2" spans="2:23" s="101" customFormat="1" ht="26.25">
      <c r="B2" s="102" t="str">
        <f>+'TOT-0113'!B2</f>
        <v>ANEXO I al Memorándum  D.T.E.E.  N°           / 2014.-</v>
      </c>
      <c r="C2" s="103"/>
      <c r="D2" s="103"/>
      <c r="E2" s="103"/>
      <c r="F2" s="103"/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="9" customFormat="1" ht="12.75"/>
    <row r="4" spans="1:4" s="104" customFormat="1" ht="11.25">
      <c r="A4" s="610" t="s">
        <v>17</v>
      </c>
      <c r="C4" s="609"/>
      <c r="D4" s="609"/>
    </row>
    <row r="5" spans="1:4" s="104" customFormat="1" ht="11.25">
      <c r="A5" s="610" t="s">
        <v>127</v>
      </c>
      <c r="C5" s="609"/>
      <c r="D5" s="609"/>
    </row>
    <row r="6" s="9" customFormat="1" ht="13.5" thickBot="1"/>
    <row r="7" spans="2:23" s="9" customFormat="1" ht="13.5" thickTop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s="106" customFormat="1" ht="20.25">
      <c r="B8" s="105"/>
      <c r="C8" s="40"/>
      <c r="D8" s="40"/>
      <c r="E8" s="40"/>
      <c r="F8" s="19" t="s">
        <v>36</v>
      </c>
      <c r="P8" s="40"/>
      <c r="Q8" s="40"/>
      <c r="R8" s="40"/>
      <c r="S8" s="40"/>
      <c r="T8" s="40"/>
      <c r="U8" s="40"/>
      <c r="V8" s="40"/>
      <c r="W8" s="107"/>
    </row>
    <row r="9" spans="2:23" s="9" customFormat="1" ht="12.75">
      <c r="B9" s="39"/>
      <c r="C9" s="7"/>
      <c r="D9" s="7"/>
      <c r="E9" s="7"/>
      <c r="F9" s="7"/>
      <c r="G9" s="7"/>
      <c r="H9" s="7"/>
      <c r="I9" s="115"/>
      <c r="J9" s="115"/>
      <c r="K9" s="115"/>
      <c r="L9" s="115"/>
      <c r="M9" s="115"/>
      <c r="P9" s="7"/>
      <c r="Q9" s="7"/>
      <c r="R9" s="7"/>
      <c r="S9" s="7"/>
      <c r="T9" s="7"/>
      <c r="U9" s="7"/>
      <c r="V9" s="7"/>
      <c r="W9" s="10"/>
    </row>
    <row r="10" spans="2:23" s="106" customFormat="1" ht="20.25">
      <c r="B10" s="105"/>
      <c r="C10" s="40"/>
      <c r="D10" s="40"/>
      <c r="E10" s="40"/>
      <c r="F10" s="19" t="s">
        <v>123</v>
      </c>
      <c r="G10" s="19"/>
      <c r="H10" s="40"/>
      <c r="I10" s="19"/>
      <c r="J10" s="19"/>
      <c r="K10" s="19"/>
      <c r="L10" s="19"/>
      <c r="M10" s="19"/>
      <c r="P10" s="40"/>
      <c r="Q10" s="40"/>
      <c r="R10" s="40"/>
      <c r="S10" s="40"/>
      <c r="T10" s="40"/>
      <c r="U10" s="40"/>
      <c r="V10" s="40"/>
      <c r="W10" s="107"/>
    </row>
    <row r="11" spans="2:23" s="9" customFormat="1" ht="12.75">
      <c r="B11" s="39"/>
      <c r="C11" s="7"/>
      <c r="D11" s="7"/>
      <c r="E11" s="7"/>
      <c r="F11" s="117"/>
      <c r="G11" s="115"/>
      <c r="H11" s="7"/>
      <c r="I11" s="115"/>
      <c r="J11" s="115"/>
      <c r="K11" s="115"/>
      <c r="L11" s="115"/>
      <c r="M11" s="115"/>
      <c r="P11" s="7"/>
      <c r="Q11" s="7"/>
      <c r="R11" s="7"/>
      <c r="S11" s="7"/>
      <c r="T11" s="7"/>
      <c r="U11" s="7"/>
      <c r="V11" s="7"/>
      <c r="W11" s="10"/>
    </row>
    <row r="12" spans="2:23" s="113" customFormat="1" ht="19.5">
      <c r="B12" s="79" t="str">
        <f>+'TOT-0113'!B14</f>
        <v>Desde el 01 al 31 de enero de 2013</v>
      </c>
      <c r="C12" s="109"/>
      <c r="D12" s="109"/>
      <c r="E12" s="109"/>
      <c r="F12" s="109"/>
      <c r="G12" s="109"/>
      <c r="H12" s="78"/>
      <c r="I12" s="109"/>
      <c r="J12" s="110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2"/>
    </row>
    <row r="13" spans="2:23" s="113" customFormat="1" ht="7.5" customHeight="1">
      <c r="B13" s="79"/>
      <c r="C13" s="109"/>
      <c r="D13" s="109"/>
      <c r="E13" s="109"/>
      <c r="F13" s="109"/>
      <c r="G13" s="109"/>
      <c r="H13" s="78"/>
      <c r="I13" s="109"/>
      <c r="J13" s="110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2"/>
    </row>
    <row r="14" spans="2:23" s="9" customFormat="1" ht="7.5" customHeight="1" thickBot="1">
      <c r="B14" s="39"/>
      <c r="C14" s="7"/>
      <c r="D14" s="7"/>
      <c r="E14" s="7"/>
      <c r="I14" s="114"/>
      <c r="K14" s="7"/>
      <c r="L14" s="7"/>
      <c r="M14" s="7"/>
      <c r="N14" s="114"/>
      <c r="O14" s="114"/>
      <c r="P14" s="114"/>
      <c r="Q14" s="7"/>
      <c r="R14" s="7"/>
      <c r="S14" s="7"/>
      <c r="T14" s="7"/>
      <c r="U14" s="7"/>
      <c r="V14" s="7"/>
      <c r="W14" s="10"/>
    </row>
    <row r="15" spans="2:23" s="9" customFormat="1" ht="16.5" customHeight="1" thickBot="1" thickTop="1">
      <c r="B15" s="39"/>
      <c r="C15" s="7"/>
      <c r="D15" s="7"/>
      <c r="E15" s="7"/>
      <c r="F15" s="190" t="s">
        <v>77</v>
      </c>
      <c r="G15" s="191">
        <v>15.7740927</v>
      </c>
      <c r="H15" s="85">
        <f>60*'TOT-0113'!B13</f>
        <v>60</v>
      </c>
      <c r="I15" s="114"/>
      <c r="J15" s="206" t="str">
        <f>IF(H15=60," ",IF(H15=120,"Coeficiente duplicado por tasa de falla &gt;4 Sal. x año/100 km.","REVISAR COEFICIENTE"))</f>
        <v> </v>
      </c>
      <c r="K15" s="7"/>
      <c r="L15" s="7"/>
      <c r="M15" s="7"/>
      <c r="N15" s="114"/>
      <c r="O15" s="114"/>
      <c r="P15" s="114"/>
      <c r="Q15" s="7"/>
      <c r="R15" s="7"/>
      <c r="S15" s="7"/>
      <c r="T15" s="7"/>
      <c r="U15" s="7"/>
      <c r="V15" s="7"/>
      <c r="W15" s="10"/>
    </row>
    <row r="16" spans="2:23" s="9" customFormat="1" ht="16.5" customHeight="1" thickBot="1" thickTop="1">
      <c r="B16" s="39"/>
      <c r="C16" s="7"/>
      <c r="D16" s="7"/>
      <c r="E16" s="7"/>
      <c r="F16" s="190" t="s">
        <v>78</v>
      </c>
      <c r="G16" s="191">
        <v>6.3079374</v>
      </c>
      <c r="H16" s="85">
        <f>50*'TOT-0113'!B13</f>
        <v>50</v>
      </c>
      <c r="J16" s="206" t="str">
        <f>IF(H16=50," ",IF(H16=100,"Coeficiente duplicado por tasa de falla &gt;4 Sal. x año/100 km.","REVISAR COEFICIENTE"))</f>
        <v> </v>
      </c>
      <c r="Q16" s="241"/>
      <c r="S16" s="7"/>
      <c r="T16" s="7"/>
      <c r="U16" s="7"/>
      <c r="V16" s="187"/>
      <c r="W16" s="10"/>
    </row>
    <row r="17" spans="2:23" s="9" customFormat="1" ht="16.5" customHeight="1" thickBot="1" thickTop="1">
      <c r="B17" s="39"/>
      <c r="C17" s="7"/>
      <c r="D17" s="7"/>
      <c r="E17" s="7"/>
      <c r="F17" s="192" t="s">
        <v>79</v>
      </c>
      <c r="G17" s="193">
        <v>4.733608800000001</v>
      </c>
      <c r="H17" s="194">
        <f>25*'TOT-0113'!B13</f>
        <v>25</v>
      </c>
      <c r="J17" s="206" t="str">
        <f>IF(H17=25," ",IF(H17=50,"Coeficiente duplicado por tasa de falla &gt;4 Sal. x año/100 km.","REVISAR COEFICIENTE"))</f>
        <v> </v>
      </c>
      <c r="K17" s="159"/>
      <c r="L17" s="159"/>
      <c r="M17" s="7"/>
      <c r="P17" s="188"/>
      <c r="Q17" s="189"/>
      <c r="R17" s="31"/>
      <c r="S17" s="7"/>
      <c r="T17" s="7"/>
      <c r="U17" s="7"/>
      <c r="V17" s="187"/>
      <c r="W17" s="10"/>
    </row>
    <row r="18" spans="2:23" s="9" customFormat="1" ht="16.5" customHeight="1" thickBot="1" thickTop="1">
      <c r="B18" s="39"/>
      <c r="C18" s="7"/>
      <c r="D18" s="7"/>
      <c r="E18" s="7"/>
      <c r="F18" s="195" t="s">
        <v>80</v>
      </c>
      <c r="G18" s="193">
        <v>4.733608800000001</v>
      </c>
      <c r="H18" s="196">
        <f>20*'TOT-0113'!B13</f>
        <v>20</v>
      </c>
      <c r="J18" s="206" t="str">
        <f>IF(H18=20," ",IF(H18=40,"Coeficiente duplicado por tasa de falla &gt;4 Sal. x año/100 km.","REVISAR COEFICIENTE"))</f>
        <v> </v>
      </c>
      <c r="K18" s="159"/>
      <c r="L18" s="159"/>
      <c r="M18" s="7"/>
      <c r="P18" s="188"/>
      <c r="Q18" s="189"/>
      <c r="R18" s="31"/>
      <c r="S18" s="7"/>
      <c r="T18" s="7"/>
      <c r="U18" s="7"/>
      <c r="V18" s="187"/>
      <c r="W18" s="10"/>
    </row>
    <row r="19" spans="2:25" s="9" customFormat="1" ht="7.5" customHeight="1" thickTop="1">
      <c r="B19" s="39"/>
      <c r="C19" s="7"/>
      <c r="D19" s="7"/>
      <c r="E19" s="7"/>
      <c r="F19" s="90"/>
      <c r="G19" s="602"/>
      <c r="H19" s="603"/>
      <c r="J19" s="206"/>
      <c r="K19" s="159"/>
      <c r="L19" s="159"/>
      <c r="M19" s="7"/>
      <c r="P19" s="188"/>
      <c r="Q19" s="189"/>
      <c r="R19" s="31"/>
      <c r="S19" s="7"/>
      <c r="T19" s="7"/>
      <c r="U19" s="7"/>
      <c r="V19" s="187"/>
      <c r="W19" s="10"/>
      <c r="Y19" s="633"/>
    </row>
    <row r="20" spans="2:25" s="633" customFormat="1" ht="15" customHeight="1" thickBot="1">
      <c r="B20" s="630"/>
      <c r="C20" s="629">
        <v>3</v>
      </c>
      <c r="D20" s="629">
        <v>4</v>
      </c>
      <c r="E20" s="629">
        <v>5</v>
      </c>
      <c r="F20" s="629">
        <v>6</v>
      </c>
      <c r="G20" s="629">
        <v>7</v>
      </c>
      <c r="H20" s="629">
        <v>8</v>
      </c>
      <c r="I20" s="629">
        <v>9</v>
      </c>
      <c r="J20" s="629">
        <v>10</v>
      </c>
      <c r="K20" s="629">
        <v>11</v>
      </c>
      <c r="L20" s="629">
        <v>12</v>
      </c>
      <c r="M20" s="629">
        <v>13</v>
      </c>
      <c r="N20" s="629">
        <v>14</v>
      </c>
      <c r="O20" s="629">
        <v>15</v>
      </c>
      <c r="P20" s="629">
        <v>16</v>
      </c>
      <c r="Q20" s="629">
        <v>17</v>
      </c>
      <c r="R20" s="629">
        <v>18</v>
      </c>
      <c r="S20" s="629">
        <v>19</v>
      </c>
      <c r="T20" s="629">
        <v>20</v>
      </c>
      <c r="U20" s="629">
        <v>21</v>
      </c>
      <c r="V20" s="629">
        <v>22</v>
      </c>
      <c r="W20" s="632"/>
      <c r="Y20" s="9"/>
    </row>
    <row r="21" spans="2:23" s="9" customFormat="1" ht="33.75" customHeight="1" thickBot="1" thickTop="1">
      <c r="B21" s="39"/>
      <c r="C21" s="185" t="s">
        <v>42</v>
      </c>
      <c r="D21" s="93" t="s">
        <v>126</v>
      </c>
      <c r="E21" s="93" t="s">
        <v>125</v>
      </c>
      <c r="F21" s="183" t="s">
        <v>66</v>
      </c>
      <c r="G21" s="197" t="s">
        <v>15</v>
      </c>
      <c r="H21" s="200" t="s">
        <v>43</v>
      </c>
      <c r="I21" s="234" t="s">
        <v>45</v>
      </c>
      <c r="J21" s="179" t="s">
        <v>46</v>
      </c>
      <c r="K21" s="197" t="s">
        <v>47</v>
      </c>
      <c r="L21" s="199" t="s">
        <v>70</v>
      </c>
      <c r="M21" s="199" t="s">
        <v>71</v>
      </c>
      <c r="N21" s="97" t="s">
        <v>50</v>
      </c>
      <c r="O21" s="184" t="s">
        <v>72</v>
      </c>
      <c r="P21" s="314" t="s">
        <v>81</v>
      </c>
      <c r="Q21" s="287" t="s">
        <v>52</v>
      </c>
      <c r="R21" s="307" t="s">
        <v>76</v>
      </c>
      <c r="S21" s="308"/>
      <c r="T21" s="324" t="s">
        <v>56</v>
      </c>
      <c r="U21" s="181" t="s">
        <v>58</v>
      </c>
      <c r="V21" s="181" t="s">
        <v>59</v>
      </c>
      <c r="W21" s="33"/>
    </row>
    <row r="22" spans="2:23" s="9" customFormat="1" ht="16.5" customHeight="1" thickTop="1">
      <c r="B22" s="39"/>
      <c r="C22" s="18"/>
      <c r="D22" s="17"/>
      <c r="E22" s="17"/>
      <c r="F22" s="27"/>
      <c r="G22" s="27"/>
      <c r="H22" s="11"/>
      <c r="I22" s="240"/>
      <c r="J22" s="28"/>
      <c r="K22" s="29"/>
      <c r="L22" s="30"/>
      <c r="M22" s="57"/>
      <c r="N22" s="316"/>
      <c r="O22" s="316"/>
      <c r="P22" s="317"/>
      <c r="Q22" s="319"/>
      <c r="R22" s="321"/>
      <c r="S22" s="322"/>
      <c r="T22" s="325"/>
      <c r="U22" s="323"/>
      <c r="V22" s="318"/>
      <c r="W22" s="33"/>
    </row>
    <row r="23" spans="2:23" s="9" customFormat="1" ht="16.5" customHeight="1">
      <c r="B23" s="39"/>
      <c r="C23" s="18"/>
      <c r="D23" s="17"/>
      <c r="E23" s="17"/>
      <c r="F23" s="27"/>
      <c r="G23" s="27"/>
      <c r="H23" s="11"/>
      <c r="I23" s="240"/>
      <c r="J23" s="28"/>
      <c r="K23" s="29"/>
      <c r="L23" s="30"/>
      <c r="M23" s="57"/>
      <c r="N23" s="24"/>
      <c r="O23" s="24"/>
      <c r="P23" s="315"/>
      <c r="Q23" s="320"/>
      <c r="R23" s="309"/>
      <c r="S23" s="310"/>
      <c r="T23" s="326"/>
      <c r="U23" s="21"/>
      <c r="V23" s="198"/>
      <c r="W23" s="33"/>
    </row>
    <row r="24" spans="2:23" s="9" customFormat="1" ht="16.5" customHeight="1">
      <c r="B24" s="39"/>
      <c r="C24" s="582">
        <v>12</v>
      </c>
      <c r="D24" s="567">
        <v>256753</v>
      </c>
      <c r="E24" s="567">
        <v>1771</v>
      </c>
      <c r="F24" s="583" t="s">
        <v>14</v>
      </c>
      <c r="G24" s="583" t="s">
        <v>149</v>
      </c>
      <c r="H24" s="589">
        <v>13.2</v>
      </c>
      <c r="I24" s="240">
        <f aca="true" t="shared" si="0" ref="I24:I43">IF(H24=330,$G$15,IF(AND(H24&lt;=132,H24&gt;=66),$G$16,IF(AND(H24&lt;66,H24&gt;=33),$G$17,$G$18)))</f>
        <v>4.733608800000001</v>
      </c>
      <c r="J24" s="584">
        <v>41277.37291666667</v>
      </c>
      <c r="K24" s="585">
        <v>41277.49097222222</v>
      </c>
      <c r="L24" s="30">
        <f aca="true" t="shared" si="1" ref="L24:L43">IF(F24="","",(K24-J24)*24)</f>
        <v>2.833333333313931</v>
      </c>
      <c r="M24" s="57">
        <f aca="true" t="shared" si="2" ref="M24:M43">IF(F24="","",ROUND((K24-J24)*24*60,0))</f>
        <v>170</v>
      </c>
      <c r="N24" s="586" t="s">
        <v>137</v>
      </c>
      <c r="O24" s="24" t="str">
        <f aca="true" t="shared" si="3" ref="O24:O43">IF(F24="","",IF(N24="P","--","NO"))</f>
        <v>--</v>
      </c>
      <c r="P24" s="315">
        <f aca="true" t="shared" si="4" ref="P24:P43">IF(H24=330,$H$15,IF(AND(H24&lt;=132,H24&gt;=66),$H$16,IF(AND(H24&lt;66,H24&gt;13.2),$H$17,$H$18)))</f>
        <v>20</v>
      </c>
      <c r="Q24" s="627">
        <f aca="true" t="shared" si="5" ref="Q24:Q43">IF(N24="P",I24*P24*ROUND(M24/60,2)*0.1,"--")</f>
        <v>26.792225808</v>
      </c>
      <c r="R24" s="309" t="str">
        <f aca="true" t="shared" si="6" ref="R24:R43">IF(AND(N24="F",O24="NO"),I24*P24,"--")</f>
        <v>--</v>
      </c>
      <c r="S24" s="310" t="str">
        <f aca="true" t="shared" si="7" ref="S24:S43">IF(N24="F",I24*P24*ROUND(M24/60,2),"--")</f>
        <v>--</v>
      </c>
      <c r="T24" s="326" t="str">
        <f aca="true" t="shared" si="8" ref="T24:T43">IF(N24="RF",I24*P24*ROUND(M24/60,2),"--")</f>
        <v>--</v>
      </c>
      <c r="U24" s="21" t="str">
        <f aca="true" t="shared" si="9" ref="U24:U43">IF(F24="","","SI")</f>
        <v>SI</v>
      </c>
      <c r="V24" s="58">
        <f aca="true" t="shared" si="10" ref="V24:V43">IF(F24="","",SUM(Q24:T24)*IF(U24="SI",1,2)*IF(H24="500/220",0,1))</f>
        <v>26.792225808</v>
      </c>
      <c r="W24" s="33"/>
    </row>
    <row r="25" spans="2:23" s="9" customFormat="1" ht="16.5" customHeight="1">
      <c r="B25" s="39"/>
      <c r="C25" s="582">
        <v>13</v>
      </c>
      <c r="D25" s="567">
        <v>257135</v>
      </c>
      <c r="E25" s="567">
        <v>1774</v>
      </c>
      <c r="F25" s="583" t="s">
        <v>14</v>
      </c>
      <c r="G25" s="583" t="s">
        <v>150</v>
      </c>
      <c r="H25" s="589">
        <v>13.2</v>
      </c>
      <c r="I25" s="240">
        <f t="shared" si="0"/>
        <v>4.733608800000001</v>
      </c>
      <c r="J25" s="584">
        <v>41288.36319444444</v>
      </c>
      <c r="K25" s="585">
        <v>41288.458333333336</v>
      </c>
      <c r="L25" s="30">
        <f t="shared" si="1"/>
        <v>2.2833333334419876</v>
      </c>
      <c r="M25" s="57">
        <f t="shared" si="2"/>
        <v>137</v>
      </c>
      <c r="N25" s="586" t="s">
        <v>137</v>
      </c>
      <c r="O25" s="24" t="str">
        <f t="shared" si="3"/>
        <v>--</v>
      </c>
      <c r="P25" s="315">
        <f t="shared" si="4"/>
        <v>20</v>
      </c>
      <c r="Q25" s="627">
        <f t="shared" si="5"/>
        <v>21.585256128</v>
      </c>
      <c r="R25" s="309" t="str">
        <f t="shared" si="6"/>
        <v>--</v>
      </c>
      <c r="S25" s="310" t="str">
        <f t="shared" si="7"/>
        <v>--</v>
      </c>
      <c r="T25" s="326" t="str">
        <f t="shared" si="8"/>
        <v>--</v>
      </c>
      <c r="U25" s="21" t="str">
        <f t="shared" si="9"/>
        <v>SI</v>
      </c>
      <c r="V25" s="58">
        <f t="shared" si="10"/>
        <v>21.585256128</v>
      </c>
      <c r="W25" s="33"/>
    </row>
    <row r="26" spans="2:23" s="9" customFormat="1" ht="16.5" customHeight="1">
      <c r="B26" s="39"/>
      <c r="C26" s="582">
        <v>14</v>
      </c>
      <c r="D26" s="567">
        <v>257461</v>
      </c>
      <c r="E26" s="567">
        <v>1771</v>
      </c>
      <c r="F26" s="583" t="s">
        <v>14</v>
      </c>
      <c r="G26" s="583" t="s">
        <v>151</v>
      </c>
      <c r="H26" s="589">
        <v>13.2</v>
      </c>
      <c r="I26" s="240">
        <f t="shared" si="0"/>
        <v>4.733608800000001</v>
      </c>
      <c r="J26" s="584">
        <v>41296.34375</v>
      </c>
      <c r="K26" s="585">
        <v>41296.427083333336</v>
      </c>
      <c r="L26" s="30">
        <f t="shared" si="1"/>
        <v>2.0000000000582077</v>
      </c>
      <c r="M26" s="57">
        <f t="shared" si="2"/>
        <v>120</v>
      </c>
      <c r="N26" s="586" t="s">
        <v>137</v>
      </c>
      <c r="O26" s="24" t="str">
        <f t="shared" si="3"/>
        <v>--</v>
      </c>
      <c r="P26" s="315">
        <f t="shared" si="4"/>
        <v>20</v>
      </c>
      <c r="Q26" s="627">
        <f t="shared" si="5"/>
        <v>18.934435200000003</v>
      </c>
      <c r="R26" s="309" t="str">
        <f t="shared" si="6"/>
        <v>--</v>
      </c>
      <c r="S26" s="310" t="str">
        <f t="shared" si="7"/>
        <v>--</v>
      </c>
      <c r="T26" s="326" t="str">
        <f t="shared" si="8"/>
        <v>--</v>
      </c>
      <c r="U26" s="21" t="str">
        <f t="shared" si="9"/>
        <v>SI</v>
      </c>
      <c r="V26" s="58">
        <f t="shared" si="10"/>
        <v>18.934435200000003</v>
      </c>
      <c r="W26" s="33"/>
    </row>
    <row r="27" spans="2:23" s="9" customFormat="1" ht="16.5" customHeight="1">
      <c r="B27" s="39"/>
      <c r="C27" s="582">
        <v>15</v>
      </c>
      <c r="D27" s="567">
        <v>257463</v>
      </c>
      <c r="E27" s="567">
        <v>1770</v>
      </c>
      <c r="F27" s="583" t="s">
        <v>14</v>
      </c>
      <c r="G27" s="583" t="s">
        <v>152</v>
      </c>
      <c r="H27" s="589">
        <v>13.2</v>
      </c>
      <c r="I27" s="240">
        <f t="shared" si="0"/>
        <v>4.733608800000001</v>
      </c>
      <c r="J27" s="584">
        <v>41297.58125</v>
      </c>
      <c r="K27" s="585">
        <v>41297.63125</v>
      </c>
      <c r="L27" s="30">
        <f t="shared" si="1"/>
        <v>1.1999999998952262</v>
      </c>
      <c r="M27" s="57">
        <f t="shared" si="2"/>
        <v>72</v>
      </c>
      <c r="N27" s="586" t="s">
        <v>137</v>
      </c>
      <c r="O27" s="24" t="str">
        <f t="shared" si="3"/>
        <v>--</v>
      </c>
      <c r="P27" s="315">
        <f t="shared" si="4"/>
        <v>20</v>
      </c>
      <c r="Q27" s="627">
        <f t="shared" si="5"/>
        <v>11.360661120000001</v>
      </c>
      <c r="R27" s="309" t="str">
        <f t="shared" si="6"/>
        <v>--</v>
      </c>
      <c r="S27" s="310" t="str">
        <f t="shared" si="7"/>
        <v>--</v>
      </c>
      <c r="T27" s="326" t="str">
        <f t="shared" si="8"/>
        <v>--</v>
      </c>
      <c r="U27" s="21" t="str">
        <f t="shared" si="9"/>
        <v>SI</v>
      </c>
      <c r="V27" s="58">
        <f t="shared" si="10"/>
        <v>11.360661120000001</v>
      </c>
      <c r="W27" s="33"/>
    </row>
    <row r="28" spans="2:23" s="9" customFormat="1" ht="16.5" customHeight="1">
      <c r="B28" s="39"/>
      <c r="C28" s="582"/>
      <c r="D28" s="567"/>
      <c r="E28" s="567"/>
      <c r="F28" s="583"/>
      <c r="G28" s="583"/>
      <c r="H28" s="589"/>
      <c r="I28" s="240">
        <f t="shared" si="0"/>
        <v>4.733608800000001</v>
      </c>
      <c r="J28" s="584"/>
      <c r="K28" s="585"/>
      <c r="L28" s="30">
        <f t="shared" si="1"/>
      </c>
      <c r="M28" s="57">
        <f t="shared" si="2"/>
      </c>
      <c r="N28" s="586"/>
      <c r="O28" s="24">
        <f t="shared" si="3"/>
      </c>
      <c r="P28" s="315">
        <f t="shared" si="4"/>
        <v>20</v>
      </c>
      <c r="Q28" s="627" t="str">
        <f t="shared" si="5"/>
        <v>--</v>
      </c>
      <c r="R28" s="309" t="str">
        <f t="shared" si="6"/>
        <v>--</v>
      </c>
      <c r="S28" s="310" t="str">
        <f t="shared" si="7"/>
        <v>--</v>
      </c>
      <c r="T28" s="326" t="str">
        <f t="shared" si="8"/>
        <v>--</v>
      </c>
      <c r="U28" s="21">
        <f t="shared" si="9"/>
      </c>
      <c r="V28" s="58">
        <f t="shared" si="10"/>
      </c>
      <c r="W28" s="33"/>
    </row>
    <row r="29" spans="2:23" s="9" customFormat="1" ht="16.5" customHeight="1">
      <c r="B29" s="39"/>
      <c r="C29" s="582"/>
      <c r="D29" s="567"/>
      <c r="E29" s="567"/>
      <c r="F29" s="583"/>
      <c r="G29" s="583"/>
      <c r="H29" s="589"/>
      <c r="I29" s="240">
        <f t="shared" si="0"/>
        <v>4.733608800000001</v>
      </c>
      <c r="J29" s="584"/>
      <c r="K29" s="585"/>
      <c r="L29" s="30">
        <f t="shared" si="1"/>
      </c>
      <c r="M29" s="57">
        <f t="shared" si="2"/>
      </c>
      <c r="N29" s="586"/>
      <c r="O29" s="24">
        <f t="shared" si="3"/>
      </c>
      <c r="P29" s="315">
        <f t="shared" si="4"/>
        <v>20</v>
      </c>
      <c r="Q29" s="627" t="str">
        <f t="shared" si="5"/>
        <v>--</v>
      </c>
      <c r="R29" s="309" t="str">
        <f t="shared" si="6"/>
        <v>--</v>
      </c>
      <c r="S29" s="310" t="str">
        <f t="shared" si="7"/>
        <v>--</v>
      </c>
      <c r="T29" s="326" t="str">
        <f t="shared" si="8"/>
        <v>--</v>
      </c>
      <c r="U29" s="21">
        <f t="shared" si="9"/>
      </c>
      <c r="V29" s="58">
        <f t="shared" si="10"/>
      </c>
      <c r="W29" s="33"/>
    </row>
    <row r="30" spans="2:23" s="9" customFormat="1" ht="16.5" customHeight="1">
      <c r="B30" s="39"/>
      <c r="C30" s="582"/>
      <c r="D30" s="567"/>
      <c r="E30" s="567"/>
      <c r="F30" s="583"/>
      <c r="G30" s="583"/>
      <c r="H30" s="589"/>
      <c r="I30" s="240">
        <f t="shared" si="0"/>
        <v>4.733608800000001</v>
      </c>
      <c r="J30" s="584"/>
      <c r="K30" s="585"/>
      <c r="L30" s="30">
        <f t="shared" si="1"/>
      </c>
      <c r="M30" s="57">
        <f t="shared" si="2"/>
      </c>
      <c r="N30" s="586"/>
      <c r="O30" s="24">
        <f t="shared" si="3"/>
      </c>
      <c r="P30" s="315">
        <f t="shared" si="4"/>
        <v>20</v>
      </c>
      <c r="Q30" s="627" t="str">
        <f t="shared" si="5"/>
        <v>--</v>
      </c>
      <c r="R30" s="309" t="str">
        <f t="shared" si="6"/>
        <v>--</v>
      </c>
      <c r="S30" s="310" t="str">
        <f t="shared" si="7"/>
        <v>--</v>
      </c>
      <c r="T30" s="326" t="str">
        <f t="shared" si="8"/>
        <v>--</v>
      </c>
      <c r="U30" s="21">
        <f t="shared" si="9"/>
      </c>
      <c r="V30" s="58">
        <f t="shared" si="10"/>
      </c>
      <c r="W30" s="33"/>
    </row>
    <row r="31" spans="2:23" s="9" customFormat="1" ht="16.5" customHeight="1">
      <c r="B31" s="39"/>
      <c r="C31" s="582"/>
      <c r="D31" s="567"/>
      <c r="E31" s="567"/>
      <c r="F31" s="583"/>
      <c r="G31" s="583"/>
      <c r="H31" s="589"/>
      <c r="I31" s="240">
        <f t="shared" si="0"/>
        <v>4.733608800000001</v>
      </c>
      <c r="J31" s="584"/>
      <c r="K31" s="585"/>
      <c r="L31" s="30">
        <f t="shared" si="1"/>
      </c>
      <c r="M31" s="57">
        <f t="shared" si="2"/>
      </c>
      <c r="N31" s="586"/>
      <c r="O31" s="24">
        <f t="shared" si="3"/>
      </c>
      <c r="P31" s="315">
        <f t="shared" si="4"/>
        <v>20</v>
      </c>
      <c r="Q31" s="627" t="str">
        <f t="shared" si="5"/>
        <v>--</v>
      </c>
      <c r="R31" s="309" t="str">
        <f t="shared" si="6"/>
        <v>--</v>
      </c>
      <c r="S31" s="310" t="str">
        <f t="shared" si="7"/>
        <v>--</v>
      </c>
      <c r="T31" s="326" t="str">
        <f t="shared" si="8"/>
        <v>--</v>
      </c>
      <c r="U31" s="21">
        <f t="shared" si="9"/>
      </c>
      <c r="V31" s="58">
        <f t="shared" si="10"/>
      </c>
      <c r="W31" s="33"/>
    </row>
    <row r="32" spans="2:23" s="9" customFormat="1" ht="16.5" customHeight="1">
      <c r="B32" s="39"/>
      <c r="C32" s="582"/>
      <c r="D32" s="567"/>
      <c r="E32" s="567"/>
      <c r="F32" s="583"/>
      <c r="G32" s="583"/>
      <c r="H32" s="589"/>
      <c r="I32" s="240">
        <f t="shared" si="0"/>
        <v>4.733608800000001</v>
      </c>
      <c r="J32" s="584"/>
      <c r="K32" s="585"/>
      <c r="L32" s="30">
        <f t="shared" si="1"/>
      </c>
      <c r="M32" s="57">
        <f t="shared" si="2"/>
      </c>
      <c r="N32" s="586"/>
      <c r="O32" s="24">
        <f t="shared" si="3"/>
      </c>
      <c r="P32" s="315">
        <f t="shared" si="4"/>
        <v>20</v>
      </c>
      <c r="Q32" s="627" t="str">
        <f t="shared" si="5"/>
        <v>--</v>
      </c>
      <c r="R32" s="309" t="str">
        <f t="shared" si="6"/>
        <v>--</v>
      </c>
      <c r="S32" s="310" t="str">
        <f t="shared" si="7"/>
        <v>--</v>
      </c>
      <c r="T32" s="326" t="str">
        <f t="shared" si="8"/>
        <v>--</v>
      </c>
      <c r="U32" s="21">
        <f t="shared" si="9"/>
      </c>
      <c r="V32" s="58">
        <f t="shared" si="10"/>
      </c>
      <c r="W32" s="33"/>
    </row>
    <row r="33" spans="2:23" s="9" customFormat="1" ht="16.5" customHeight="1">
      <c r="B33" s="39"/>
      <c r="C33" s="582"/>
      <c r="D33" s="567"/>
      <c r="E33" s="567"/>
      <c r="F33" s="583"/>
      <c r="G33" s="583"/>
      <c r="H33" s="589"/>
      <c r="I33" s="240">
        <f t="shared" si="0"/>
        <v>4.733608800000001</v>
      </c>
      <c r="J33" s="584"/>
      <c r="K33" s="585"/>
      <c r="L33" s="30">
        <f t="shared" si="1"/>
      </c>
      <c r="M33" s="57">
        <f t="shared" si="2"/>
      </c>
      <c r="N33" s="586"/>
      <c r="O33" s="24">
        <f t="shared" si="3"/>
      </c>
      <c r="P33" s="315">
        <f t="shared" si="4"/>
        <v>20</v>
      </c>
      <c r="Q33" s="627" t="str">
        <f t="shared" si="5"/>
        <v>--</v>
      </c>
      <c r="R33" s="309" t="str">
        <f t="shared" si="6"/>
        <v>--</v>
      </c>
      <c r="S33" s="310" t="str">
        <f t="shared" si="7"/>
        <v>--</v>
      </c>
      <c r="T33" s="326" t="str">
        <f t="shared" si="8"/>
        <v>--</v>
      </c>
      <c r="U33" s="21">
        <f t="shared" si="9"/>
      </c>
      <c r="V33" s="58">
        <f t="shared" si="10"/>
      </c>
      <c r="W33" s="33"/>
    </row>
    <row r="34" spans="2:23" s="9" customFormat="1" ht="16.5" customHeight="1">
      <c r="B34" s="39"/>
      <c r="C34" s="582"/>
      <c r="D34" s="567"/>
      <c r="E34" s="567"/>
      <c r="F34" s="583"/>
      <c r="G34" s="583"/>
      <c r="H34" s="589"/>
      <c r="I34" s="240">
        <f t="shared" si="0"/>
        <v>4.733608800000001</v>
      </c>
      <c r="J34" s="584"/>
      <c r="K34" s="585"/>
      <c r="L34" s="30">
        <f t="shared" si="1"/>
      </c>
      <c r="M34" s="57">
        <f t="shared" si="2"/>
      </c>
      <c r="N34" s="586"/>
      <c r="O34" s="24">
        <f t="shared" si="3"/>
      </c>
      <c r="P34" s="315">
        <f t="shared" si="4"/>
        <v>20</v>
      </c>
      <c r="Q34" s="627" t="str">
        <f t="shared" si="5"/>
        <v>--</v>
      </c>
      <c r="R34" s="309" t="str">
        <f t="shared" si="6"/>
        <v>--</v>
      </c>
      <c r="S34" s="310" t="str">
        <f t="shared" si="7"/>
        <v>--</v>
      </c>
      <c r="T34" s="326" t="str">
        <f t="shared" si="8"/>
        <v>--</v>
      </c>
      <c r="U34" s="21">
        <f t="shared" si="9"/>
      </c>
      <c r="V34" s="58">
        <f t="shared" si="10"/>
      </c>
      <c r="W34" s="33"/>
    </row>
    <row r="35" spans="2:23" s="9" customFormat="1" ht="16.5" customHeight="1">
      <c r="B35" s="39"/>
      <c r="C35" s="582"/>
      <c r="D35" s="567"/>
      <c r="E35" s="567"/>
      <c r="F35" s="583"/>
      <c r="G35" s="583"/>
      <c r="H35" s="589"/>
      <c r="I35" s="240">
        <f t="shared" si="0"/>
        <v>4.733608800000001</v>
      </c>
      <c r="J35" s="584"/>
      <c r="K35" s="585"/>
      <c r="L35" s="30">
        <f t="shared" si="1"/>
      </c>
      <c r="M35" s="57">
        <f t="shared" si="2"/>
      </c>
      <c r="N35" s="586"/>
      <c r="O35" s="24">
        <f t="shared" si="3"/>
      </c>
      <c r="P35" s="315">
        <f t="shared" si="4"/>
        <v>20</v>
      </c>
      <c r="Q35" s="627" t="str">
        <f t="shared" si="5"/>
        <v>--</v>
      </c>
      <c r="R35" s="309" t="str">
        <f t="shared" si="6"/>
        <v>--</v>
      </c>
      <c r="S35" s="310" t="str">
        <f t="shared" si="7"/>
        <v>--</v>
      </c>
      <c r="T35" s="326" t="str">
        <f t="shared" si="8"/>
        <v>--</v>
      </c>
      <c r="U35" s="21">
        <f t="shared" si="9"/>
      </c>
      <c r="V35" s="58">
        <f t="shared" si="10"/>
      </c>
      <c r="W35" s="33"/>
    </row>
    <row r="36" spans="2:23" s="9" customFormat="1" ht="16.5" customHeight="1">
      <c r="B36" s="39"/>
      <c r="C36" s="582"/>
      <c r="D36" s="567"/>
      <c r="E36" s="567"/>
      <c r="F36" s="583"/>
      <c r="G36" s="583"/>
      <c r="H36" s="589"/>
      <c r="I36" s="240">
        <f t="shared" si="0"/>
        <v>4.733608800000001</v>
      </c>
      <c r="J36" s="584"/>
      <c r="K36" s="585"/>
      <c r="L36" s="30">
        <f t="shared" si="1"/>
      </c>
      <c r="M36" s="57">
        <f t="shared" si="2"/>
      </c>
      <c r="N36" s="586"/>
      <c r="O36" s="24">
        <f t="shared" si="3"/>
      </c>
      <c r="P36" s="315">
        <f t="shared" si="4"/>
        <v>20</v>
      </c>
      <c r="Q36" s="627" t="str">
        <f t="shared" si="5"/>
        <v>--</v>
      </c>
      <c r="R36" s="309" t="str">
        <f t="shared" si="6"/>
        <v>--</v>
      </c>
      <c r="S36" s="310" t="str">
        <f t="shared" si="7"/>
        <v>--</v>
      </c>
      <c r="T36" s="326" t="str">
        <f t="shared" si="8"/>
        <v>--</v>
      </c>
      <c r="U36" s="21">
        <f t="shared" si="9"/>
      </c>
      <c r="V36" s="58">
        <f t="shared" si="10"/>
      </c>
      <c r="W36" s="33"/>
    </row>
    <row r="37" spans="2:23" s="9" customFormat="1" ht="16.5" customHeight="1">
      <c r="B37" s="39"/>
      <c r="C37" s="582"/>
      <c r="D37" s="567"/>
      <c r="E37" s="567"/>
      <c r="F37" s="583"/>
      <c r="G37" s="583"/>
      <c r="H37" s="589"/>
      <c r="I37" s="240">
        <f t="shared" si="0"/>
        <v>4.733608800000001</v>
      </c>
      <c r="J37" s="584"/>
      <c r="K37" s="585"/>
      <c r="L37" s="30">
        <f t="shared" si="1"/>
      </c>
      <c r="M37" s="57">
        <f t="shared" si="2"/>
      </c>
      <c r="N37" s="586"/>
      <c r="O37" s="24">
        <f t="shared" si="3"/>
      </c>
      <c r="P37" s="315">
        <f t="shared" si="4"/>
        <v>20</v>
      </c>
      <c r="Q37" s="627" t="str">
        <f t="shared" si="5"/>
        <v>--</v>
      </c>
      <c r="R37" s="309" t="str">
        <f t="shared" si="6"/>
        <v>--</v>
      </c>
      <c r="S37" s="310" t="str">
        <f t="shared" si="7"/>
        <v>--</v>
      </c>
      <c r="T37" s="326" t="str">
        <f t="shared" si="8"/>
        <v>--</v>
      </c>
      <c r="U37" s="21">
        <f t="shared" si="9"/>
      </c>
      <c r="V37" s="58">
        <f t="shared" si="10"/>
      </c>
      <c r="W37" s="33"/>
    </row>
    <row r="38" spans="2:23" s="9" customFormat="1" ht="16.5" customHeight="1">
      <c r="B38" s="39"/>
      <c r="C38" s="582"/>
      <c r="D38" s="567"/>
      <c r="E38" s="567"/>
      <c r="F38" s="583"/>
      <c r="G38" s="583"/>
      <c r="H38" s="589"/>
      <c r="I38" s="240">
        <f t="shared" si="0"/>
        <v>4.733608800000001</v>
      </c>
      <c r="J38" s="584"/>
      <c r="K38" s="585"/>
      <c r="L38" s="30">
        <f t="shared" si="1"/>
      </c>
      <c r="M38" s="57">
        <f t="shared" si="2"/>
      </c>
      <c r="N38" s="586"/>
      <c r="O38" s="24">
        <f t="shared" si="3"/>
      </c>
      <c r="P38" s="315">
        <f t="shared" si="4"/>
        <v>20</v>
      </c>
      <c r="Q38" s="627" t="str">
        <f t="shared" si="5"/>
        <v>--</v>
      </c>
      <c r="R38" s="309" t="str">
        <f t="shared" si="6"/>
        <v>--</v>
      </c>
      <c r="S38" s="310" t="str">
        <f t="shared" si="7"/>
        <v>--</v>
      </c>
      <c r="T38" s="326" t="str">
        <f t="shared" si="8"/>
        <v>--</v>
      </c>
      <c r="U38" s="21">
        <f t="shared" si="9"/>
      </c>
      <c r="V38" s="58">
        <f t="shared" si="10"/>
      </c>
      <c r="W38" s="33"/>
    </row>
    <row r="39" spans="2:23" s="9" customFormat="1" ht="16.5" customHeight="1">
      <c r="B39" s="39"/>
      <c r="C39" s="582"/>
      <c r="D39" s="567"/>
      <c r="E39" s="567"/>
      <c r="F39" s="583"/>
      <c r="G39" s="583"/>
      <c r="H39" s="589"/>
      <c r="I39" s="240">
        <f t="shared" si="0"/>
        <v>4.733608800000001</v>
      </c>
      <c r="J39" s="584"/>
      <c r="K39" s="585"/>
      <c r="L39" s="30">
        <f t="shared" si="1"/>
      </c>
      <c r="M39" s="57">
        <f t="shared" si="2"/>
      </c>
      <c r="N39" s="586"/>
      <c r="O39" s="24">
        <f t="shared" si="3"/>
      </c>
      <c r="P39" s="315">
        <f t="shared" si="4"/>
        <v>20</v>
      </c>
      <c r="Q39" s="627" t="str">
        <f t="shared" si="5"/>
        <v>--</v>
      </c>
      <c r="R39" s="309" t="str">
        <f t="shared" si="6"/>
        <v>--</v>
      </c>
      <c r="S39" s="310" t="str">
        <f t="shared" si="7"/>
        <v>--</v>
      </c>
      <c r="T39" s="326" t="str">
        <f t="shared" si="8"/>
        <v>--</v>
      </c>
      <c r="U39" s="21">
        <f t="shared" si="9"/>
      </c>
      <c r="V39" s="58">
        <f t="shared" si="10"/>
      </c>
      <c r="W39" s="33"/>
    </row>
    <row r="40" spans="2:23" s="9" customFormat="1" ht="16.5" customHeight="1">
      <c r="B40" s="39"/>
      <c r="C40" s="582"/>
      <c r="D40" s="567"/>
      <c r="E40" s="567"/>
      <c r="F40" s="583"/>
      <c r="G40" s="583"/>
      <c r="H40" s="589"/>
      <c r="I40" s="240">
        <f t="shared" si="0"/>
        <v>4.733608800000001</v>
      </c>
      <c r="J40" s="584"/>
      <c r="K40" s="585"/>
      <c r="L40" s="30">
        <f t="shared" si="1"/>
      </c>
      <c r="M40" s="57">
        <f t="shared" si="2"/>
      </c>
      <c r="N40" s="586"/>
      <c r="O40" s="24">
        <f t="shared" si="3"/>
      </c>
      <c r="P40" s="315">
        <f t="shared" si="4"/>
        <v>20</v>
      </c>
      <c r="Q40" s="627" t="str">
        <f t="shared" si="5"/>
        <v>--</v>
      </c>
      <c r="R40" s="309" t="str">
        <f t="shared" si="6"/>
        <v>--</v>
      </c>
      <c r="S40" s="310" t="str">
        <f t="shared" si="7"/>
        <v>--</v>
      </c>
      <c r="T40" s="326" t="str">
        <f t="shared" si="8"/>
        <v>--</v>
      </c>
      <c r="U40" s="21">
        <f t="shared" si="9"/>
      </c>
      <c r="V40" s="58">
        <f t="shared" si="10"/>
      </c>
      <c r="W40" s="33"/>
    </row>
    <row r="41" spans="2:23" s="9" customFormat="1" ht="16.5" customHeight="1">
      <c r="B41" s="39"/>
      <c r="C41" s="582"/>
      <c r="D41" s="567"/>
      <c r="E41" s="567"/>
      <c r="F41" s="583"/>
      <c r="G41" s="583"/>
      <c r="H41" s="589"/>
      <c r="I41" s="240">
        <f t="shared" si="0"/>
        <v>4.733608800000001</v>
      </c>
      <c r="J41" s="584"/>
      <c r="K41" s="585"/>
      <c r="L41" s="30">
        <f t="shared" si="1"/>
      </c>
      <c r="M41" s="57">
        <f t="shared" si="2"/>
      </c>
      <c r="N41" s="586"/>
      <c r="O41" s="24">
        <f t="shared" si="3"/>
      </c>
      <c r="P41" s="315">
        <f t="shared" si="4"/>
        <v>20</v>
      </c>
      <c r="Q41" s="627" t="str">
        <f t="shared" si="5"/>
        <v>--</v>
      </c>
      <c r="R41" s="309" t="str">
        <f t="shared" si="6"/>
        <v>--</v>
      </c>
      <c r="S41" s="310" t="str">
        <f t="shared" si="7"/>
        <v>--</v>
      </c>
      <c r="T41" s="326" t="str">
        <f t="shared" si="8"/>
        <v>--</v>
      </c>
      <c r="U41" s="21">
        <f t="shared" si="9"/>
      </c>
      <c r="V41" s="58">
        <f t="shared" si="10"/>
      </c>
      <c r="W41" s="33"/>
    </row>
    <row r="42" spans="2:23" s="9" customFormat="1" ht="16.5" customHeight="1">
      <c r="B42" s="39"/>
      <c r="C42" s="582"/>
      <c r="D42" s="567"/>
      <c r="E42" s="567"/>
      <c r="F42" s="583"/>
      <c r="G42" s="583"/>
      <c r="H42" s="589"/>
      <c r="I42" s="240">
        <f t="shared" si="0"/>
        <v>4.733608800000001</v>
      </c>
      <c r="J42" s="584"/>
      <c r="K42" s="585"/>
      <c r="L42" s="30">
        <f t="shared" si="1"/>
      </c>
      <c r="M42" s="57">
        <f t="shared" si="2"/>
      </c>
      <c r="N42" s="586"/>
      <c r="O42" s="24">
        <f t="shared" si="3"/>
      </c>
      <c r="P42" s="315">
        <f t="shared" si="4"/>
        <v>20</v>
      </c>
      <c r="Q42" s="627" t="str">
        <f t="shared" si="5"/>
        <v>--</v>
      </c>
      <c r="R42" s="309" t="str">
        <f t="shared" si="6"/>
        <v>--</v>
      </c>
      <c r="S42" s="310" t="str">
        <f t="shared" si="7"/>
        <v>--</v>
      </c>
      <c r="T42" s="326" t="str">
        <f t="shared" si="8"/>
        <v>--</v>
      </c>
      <c r="U42" s="21">
        <f t="shared" si="9"/>
      </c>
      <c r="V42" s="58">
        <f t="shared" si="10"/>
      </c>
      <c r="W42" s="33"/>
    </row>
    <row r="43" spans="2:23" s="9" customFormat="1" ht="16.5" customHeight="1">
      <c r="B43" s="39"/>
      <c r="C43" s="582"/>
      <c r="D43" s="567"/>
      <c r="E43" s="567"/>
      <c r="F43" s="583"/>
      <c r="G43" s="583"/>
      <c r="H43" s="589"/>
      <c r="I43" s="240">
        <f t="shared" si="0"/>
        <v>4.733608800000001</v>
      </c>
      <c r="J43" s="584"/>
      <c r="K43" s="585"/>
      <c r="L43" s="30">
        <f t="shared" si="1"/>
      </c>
      <c r="M43" s="57">
        <f t="shared" si="2"/>
      </c>
      <c r="N43" s="586"/>
      <c r="O43" s="24">
        <f t="shared" si="3"/>
      </c>
      <c r="P43" s="315">
        <f t="shared" si="4"/>
        <v>20</v>
      </c>
      <c r="Q43" s="627" t="str">
        <f t="shared" si="5"/>
        <v>--</v>
      </c>
      <c r="R43" s="309" t="str">
        <f t="shared" si="6"/>
        <v>--</v>
      </c>
      <c r="S43" s="310" t="str">
        <f t="shared" si="7"/>
        <v>--</v>
      </c>
      <c r="T43" s="326" t="str">
        <f t="shared" si="8"/>
        <v>--</v>
      </c>
      <c r="U43" s="21">
        <f t="shared" si="9"/>
      </c>
      <c r="V43" s="58">
        <f t="shared" si="10"/>
      </c>
      <c r="W43" s="33"/>
    </row>
    <row r="44" spans="2:23" s="9" customFormat="1" ht="16.5" customHeight="1" thickBot="1">
      <c r="B44" s="39"/>
      <c r="C44" s="570"/>
      <c r="D44" s="570"/>
      <c r="E44" s="570"/>
      <c r="F44" s="570"/>
      <c r="G44" s="570"/>
      <c r="H44" s="570"/>
      <c r="I44" s="239"/>
      <c r="J44" s="570"/>
      <c r="K44" s="570"/>
      <c r="L44" s="25"/>
      <c r="M44" s="25"/>
      <c r="N44" s="570"/>
      <c r="O44" s="570"/>
      <c r="P44" s="587"/>
      <c r="Q44" s="588"/>
      <c r="R44" s="578"/>
      <c r="S44" s="579"/>
      <c r="T44" s="573"/>
      <c r="U44" s="570"/>
      <c r="V44" s="186"/>
      <c r="W44" s="33"/>
    </row>
    <row r="45" spans="2:25" s="9" customFormat="1" ht="16.5" customHeight="1" thickBot="1" thickTop="1">
      <c r="B45" s="39"/>
      <c r="C45" s="640" t="s">
        <v>156</v>
      </c>
      <c r="D45" s="639" t="s">
        <v>158</v>
      </c>
      <c r="E45" s="607"/>
      <c r="F45" s="212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27">
        <f>ROUND(SUM(Q22:Q44),2)</f>
        <v>78.67</v>
      </c>
      <c r="R45" s="294">
        <f>SUM(R22:R44)</f>
        <v>0</v>
      </c>
      <c r="S45" s="294">
        <f>SUM(S22:S44)</f>
        <v>0</v>
      </c>
      <c r="T45" s="328">
        <f>SUM(T22:T44)</f>
        <v>0</v>
      </c>
      <c r="U45" s="59"/>
      <c r="V45" s="227">
        <f>SUM(V22:V44)</f>
        <v>78.67257825600001</v>
      </c>
      <c r="W45" s="33"/>
      <c r="Y45" s="229"/>
    </row>
    <row r="46" spans="2:25" s="229" customFormat="1" ht="13.5" thickTop="1">
      <c r="B46" s="228"/>
      <c r="C46" s="213"/>
      <c r="D46" s="213"/>
      <c r="E46" s="213"/>
      <c r="F46" s="214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1"/>
      <c r="V46" s="232"/>
      <c r="W46" s="233"/>
      <c r="Y46" s="9"/>
    </row>
    <row r="47" spans="1:25" s="9" customFormat="1" ht="16.5" customHeight="1" thickBot="1">
      <c r="A47" s="10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9"/>
      <c r="Y47"/>
    </row>
    <row r="48" spans="1:23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3:6" ht="12.75">
      <c r="C49" s="5"/>
      <c r="D49" s="5"/>
      <c r="E49" s="5"/>
      <c r="F49" s="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workbookViewId="0" topLeftCell="A16">
      <selection activeCell="J32" sqref="J32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31.28125" style="0" customWidth="1"/>
    <col min="9" max="9" width="19.140625" style="0" customWidth="1"/>
    <col min="10" max="10" width="14.57421875" style="0" customWidth="1"/>
    <col min="11" max="11" width="8.421875" style="0" customWidth="1"/>
    <col min="12" max="12" width="33.28125" style="0" customWidth="1"/>
    <col min="13" max="13" width="10.003906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1" customFormat="1" ht="39.75" customHeight="1">
      <c r="P1" s="337"/>
    </row>
    <row r="2" spans="1:16" s="101" customFormat="1" ht="26.25">
      <c r="A2" s="162"/>
      <c r="B2" s="605" t="str">
        <f>'TOT-0113'!B2</f>
        <v>ANEXO I al Memorándum  D.T.E.E.  N°           / 2014.-</v>
      </c>
      <c r="C2" s="605"/>
      <c r="D2" s="605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4" s="104" customFormat="1" ht="12.75">
      <c r="A3" s="610" t="s">
        <v>128</v>
      </c>
      <c r="B3" s="9"/>
      <c r="C3" s="9"/>
      <c r="D3" s="9"/>
    </row>
    <row r="4" spans="1:4" s="104" customFormat="1" ht="11.25">
      <c r="A4" s="610" t="s">
        <v>161</v>
      </c>
      <c r="B4" s="201"/>
      <c r="C4" s="201"/>
      <c r="D4" s="201"/>
    </row>
    <row r="5" spans="1:4" s="9" customFormat="1" ht="13.5" thickBot="1">
      <c r="A5" s="610"/>
      <c r="B5" s="201"/>
      <c r="C5" s="201"/>
      <c r="D5" s="201"/>
    </row>
    <row r="6" spans="1:16" s="9" customFormat="1" ht="13.5" thickTop="1">
      <c r="A6" s="7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s="106" customFormat="1" ht="20.25">
      <c r="A7" s="40"/>
      <c r="B7" s="105"/>
      <c r="C7" s="40"/>
      <c r="D7" s="19" t="s">
        <v>36</v>
      </c>
      <c r="G7" s="40"/>
      <c r="H7" s="40"/>
      <c r="I7" s="40"/>
      <c r="J7" s="40"/>
      <c r="K7" s="40"/>
      <c r="L7" s="40"/>
      <c r="M7" s="40"/>
      <c r="N7" s="40"/>
      <c r="O7" s="40"/>
      <c r="P7" s="107"/>
    </row>
    <row r="8" spans="1:16" ht="15">
      <c r="A8" s="1"/>
      <c r="B8" s="242"/>
      <c r="C8" s="66"/>
      <c r="D8" s="338"/>
      <c r="E8" s="66"/>
      <c r="F8" s="64"/>
      <c r="G8" s="66"/>
      <c r="H8" s="66"/>
      <c r="I8" s="66"/>
      <c r="J8" s="66"/>
      <c r="K8" s="66"/>
      <c r="L8" s="66"/>
      <c r="M8" s="66"/>
      <c r="N8" s="66"/>
      <c r="O8" s="66"/>
      <c r="P8" s="246"/>
    </row>
    <row r="9" spans="1:19" s="106" customFormat="1" ht="20.25">
      <c r="A9" s="40"/>
      <c r="B9" s="339"/>
      <c r="C9"/>
      <c r="D9" s="20" t="s">
        <v>154</v>
      </c>
      <c r="E9" s="340"/>
      <c r="F9" s="340"/>
      <c r="G9" s="340"/>
      <c r="H9" s="341"/>
      <c r="I9" s="340"/>
      <c r="J9" s="340"/>
      <c r="K9" s="340"/>
      <c r="L9" s="340"/>
      <c r="M9" s="340"/>
      <c r="N9" s="340"/>
      <c r="O9" s="340"/>
      <c r="P9" s="342"/>
      <c r="Q9" s="202"/>
      <c r="R9" s="164"/>
      <c r="S9" s="164"/>
    </row>
    <row r="10" spans="1:19" s="9" customFormat="1" ht="12.75">
      <c r="A10" s="7"/>
      <c r="B10" s="39"/>
      <c r="C10" s="7"/>
      <c r="D10" s="60"/>
      <c r="E10" s="26"/>
      <c r="F10" s="26"/>
      <c r="G10" s="26"/>
      <c r="H10" s="161"/>
      <c r="I10" s="26"/>
      <c r="J10" s="26"/>
      <c r="K10" s="26"/>
      <c r="L10" s="26"/>
      <c r="M10" s="26"/>
      <c r="N10" s="26"/>
      <c r="O10" s="26"/>
      <c r="P10" s="33"/>
      <c r="Q10" s="26"/>
      <c r="R10" s="26"/>
      <c r="S10" s="163"/>
    </row>
    <row r="11" spans="1:19" s="113" customFormat="1" ht="19.5">
      <c r="A11" s="42"/>
      <c r="B11" s="205" t="str">
        <f>+'TOT-0113'!B14</f>
        <v>Desde el 01 al 31 de enero de 2013</v>
      </c>
      <c r="C11" s="135"/>
      <c r="D11" s="173"/>
      <c r="E11" s="173"/>
      <c r="F11" s="173"/>
      <c r="G11" s="173"/>
      <c r="H11" s="173"/>
      <c r="I11" s="135"/>
      <c r="J11" s="173"/>
      <c r="K11" s="173"/>
      <c r="L11" s="173"/>
      <c r="M11" s="173"/>
      <c r="N11" s="173"/>
      <c r="O11" s="173"/>
      <c r="P11" s="343"/>
      <c r="Q11" s="344"/>
      <c r="R11" s="344"/>
      <c r="S11" s="344"/>
    </row>
    <row r="12" spans="1:19" ht="15">
      <c r="A12" s="1"/>
      <c r="B12" s="242"/>
      <c r="C12" s="66"/>
      <c r="D12" s="62"/>
      <c r="E12" s="62"/>
      <c r="F12" s="62"/>
      <c r="G12" s="62"/>
      <c r="H12" s="345"/>
      <c r="I12" s="66"/>
      <c r="J12" s="62"/>
      <c r="K12" s="62"/>
      <c r="L12" s="62"/>
      <c r="M12" s="62"/>
      <c r="N12" s="62"/>
      <c r="O12" s="62"/>
      <c r="P12" s="63"/>
      <c r="Q12" s="4"/>
      <c r="R12" s="4"/>
      <c r="S12" s="346"/>
    </row>
    <row r="13" spans="1:19" ht="18" customHeight="1">
      <c r="A13" s="1"/>
      <c r="B13" s="242"/>
      <c r="C13" s="66"/>
      <c r="D13" s="62"/>
      <c r="E13" s="62"/>
      <c r="F13" s="62"/>
      <c r="G13" s="62"/>
      <c r="H13" s="73"/>
      <c r="I13" s="73"/>
      <c r="J13" s="62"/>
      <c r="K13" s="62"/>
      <c r="P13" s="63"/>
      <c r="Q13" s="4"/>
      <c r="R13" s="4"/>
      <c r="S13" s="346"/>
    </row>
    <row r="14" spans="1:19" ht="18" customHeight="1">
      <c r="A14" s="1"/>
      <c r="B14" s="242"/>
      <c r="C14" s="66"/>
      <c r="D14" s="61"/>
      <c r="E14" s="347"/>
      <c r="F14" s="62"/>
      <c r="G14" s="62"/>
      <c r="H14" s="73"/>
      <c r="I14" s="73"/>
      <c r="J14" s="62"/>
      <c r="K14" s="62"/>
      <c r="P14" s="63"/>
      <c r="Q14" s="4"/>
      <c r="R14" s="4"/>
      <c r="S14" s="346"/>
    </row>
    <row r="15" spans="1:16" ht="16.5" thickBot="1">
      <c r="A15" s="1"/>
      <c r="B15" s="242"/>
      <c r="C15" s="348" t="s">
        <v>82</v>
      </c>
      <c r="D15" s="64"/>
      <c r="E15" s="243"/>
      <c r="F15" s="244"/>
      <c r="G15" s="66"/>
      <c r="H15" s="66"/>
      <c r="I15" s="66"/>
      <c r="J15" s="65"/>
      <c r="K15" s="65"/>
      <c r="L15" s="245"/>
      <c r="M15" s="66"/>
      <c r="N15" s="66"/>
      <c r="O15" s="66"/>
      <c r="P15" s="246"/>
    </row>
    <row r="16" spans="1:16" ht="16.5" thickBot="1">
      <c r="A16" s="1"/>
      <c r="B16" s="242"/>
      <c r="C16" s="247"/>
      <c r="D16" s="64"/>
      <c r="E16" s="243"/>
      <c r="F16" s="244"/>
      <c r="G16" s="66"/>
      <c r="H16" s="66"/>
      <c r="L16" s="349" t="s">
        <v>78</v>
      </c>
      <c r="M16" s="350">
        <v>6.3079374</v>
      </c>
      <c r="N16" s="351"/>
      <c r="O16" s="66"/>
      <c r="P16" s="246"/>
    </row>
    <row r="17" spans="1:16" ht="15.75">
      <c r="A17" s="1"/>
      <c r="B17" s="242"/>
      <c r="C17" s="247"/>
      <c r="D17" s="65" t="s">
        <v>83</v>
      </c>
      <c r="E17" s="248">
        <f>MID(B11,16,2)*24</f>
        <v>744</v>
      </c>
      <c r="F17" s="66" t="s">
        <v>84</v>
      </c>
      <c r="G17" s="62"/>
      <c r="H17" s="352"/>
      <c r="I17" s="353" t="s">
        <v>85</v>
      </c>
      <c r="J17" s="354">
        <v>135.6652707</v>
      </c>
      <c r="K17" s="333"/>
      <c r="L17" s="355" t="s">
        <v>79</v>
      </c>
      <c r="M17" s="356">
        <v>4.733608800000001</v>
      </c>
      <c r="N17" s="357"/>
      <c r="O17" s="66"/>
      <c r="P17" s="246"/>
    </row>
    <row r="18" spans="1:16" ht="16.5" thickBot="1">
      <c r="A18" s="1"/>
      <c r="B18" s="242"/>
      <c r="C18" s="247"/>
      <c r="D18" s="65" t="s">
        <v>86</v>
      </c>
      <c r="E18" s="250">
        <v>0.025</v>
      </c>
      <c r="F18" s="62"/>
      <c r="G18" s="62"/>
      <c r="H18" s="358"/>
      <c r="I18" s="359" t="s">
        <v>87</v>
      </c>
      <c r="J18" s="360">
        <v>0.473</v>
      </c>
      <c r="K18" s="361"/>
      <c r="L18" s="362" t="s">
        <v>80</v>
      </c>
      <c r="M18" s="363">
        <v>4.733608800000001</v>
      </c>
      <c r="N18" s="364"/>
      <c r="O18" s="66"/>
      <c r="P18" s="246"/>
    </row>
    <row r="19" spans="1:16" ht="15.75">
      <c r="A19" s="1"/>
      <c r="B19" s="242"/>
      <c r="C19" s="247"/>
      <c r="D19" s="65"/>
      <c r="E19" s="250"/>
      <c r="F19" s="62"/>
      <c r="G19" s="62"/>
      <c r="H19" s="62"/>
      <c r="I19" s="62"/>
      <c r="L19" s="245"/>
      <c r="M19" s="66"/>
      <c r="N19" s="66"/>
      <c r="O19" s="66"/>
      <c r="P19" s="246"/>
    </row>
    <row r="20" spans="1:16" ht="15">
      <c r="A20" s="1"/>
      <c r="B20" s="242"/>
      <c r="C20" s="61" t="s">
        <v>88</v>
      </c>
      <c r="D20" s="68"/>
      <c r="E20" s="243"/>
      <c r="F20" s="244"/>
      <c r="G20" s="66"/>
      <c r="H20" s="66"/>
      <c r="I20" s="66"/>
      <c r="J20" s="65"/>
      <c r="K20" s="65"/>
      <c r="L20" s="245"/>
      <c r="M20" s="66"/>
      <c r="N20" s="66"/>
      <c r="O20" s="66"/>
      <c r="P20" s="246"/>
    </row>
    <row r="21" spans="1:16" ht="15">
      <c r="A21" s="1"/>
      <c r="B21" s="242"/>
      <c r="C21" s="66"/>
      <c r="D21" s="66"/>
      <c r="E21" s="66"/>
      <c r="F21" s="66"/>
      <c r="G21" s="66"/>
      <c r="H21" s="251"/>
      <c r="I21" s="66"/>
      <c r="J21" s="66"/>
      <c r="K21" s="66"/>
      <c r="L21" s="66"/>
      <c r="M21" s="66"/>
      <c r="N21" s="66"/>
      <c r="O21" s="66"/>
      <c r="P21" s="246"/>
    </row>
    <row r="22" spans="1:16" ht="15">
      <c r="A22" s="1"/>
      <c r="B22" s="242"/>
      <c r="C22" s="66"/>
      <c r="D22" s="65" t="s">
        <v>89</v>
      </c>
      <c r="E22" s="66"/>
      <c r="F22" s="251" t="s">
        <v>20</v>
      </c>
      <c r="G22" s="66"/>
      <c r="H22" s="64"/>
      <c r="I22" s="365">
        <f>'TOT-0113'!I20</f>
        <v>7635.24</v>
      </c>
      <c r="J22" s="66"/>
      <c r="K22" s="66"/>
      <c r="L22" s="366" t="s">
        <v>90</v>
      </c>
      <c r="M22" s="66"/>
      <c r="N22" s="66"/>
      <c r="O22" s="66"/>
      <c r="P22" s="246"/>
    </row>
    <row r="23" spans="1:16" ht="15">
      <c r="A23" s="1"/>
      <c r="B23" s="242"/>
      <c r="C23" s="66"/>
      <c r="D23" s="66"/>
      <c r="E23" s="66"/>
      <c r="F23" s="251" t="s">
        <v>91</v>
      </c>
      <c r="G23" s="66"/>
      <c r="H23" s="64"/>
      <c r="I23" s="365">
        <v>0</v>
      </c>
      <c r="J23" s="66"/>
      <c r="K23" s="66"/>
      <c r="L23" s="366"/>
      <c r="M23" s="66"/>
      <c r="N23" s="66"/>
      <c r="O23" s="66"/>
      <c r="P23" s="246"/>
    </row>
    <row r="24" spans="1:16" ht="15">
      <c r="A24" s="1"/>
      <c r="B24" s="242"/>
      <c r="C24" s="66"/>
      <c r="D24" s="66"/>
      <c r="E24" s="66"/>
      <c r="F24" s="251" t="s">
        <v>3</v>
      </c>
      <c r="G24" s="66"/>
      <c r="H24" s="64"/>
      <c r="I24" s="367">
        <f>'TOT-0113'!I28</f>
        <v>78.67257825600001</v>
      </c>
      <c r="J24" s="66"/>
      <c r="K24" s="66"/>
      <c r="L24" s="366" t="s">
        <v>92</v>
      </c>
      <c r="M24" s="66"/>
      <c r="N24" s="66"/>
      <c r="O24" s="66"/>
      <c r="P24" s="246"/>
    </row>
    <row r="25" spans="1:16" ht="15.75" thickBot="1">
      <c r="A25" s="1"/>
      <c r="B25" s="242"/>
      <c r="C25" s="66"/>
      <c r="D25" s="66"/>
      <c r="E25" s="66"/>
      <c r="F25" s="66"/>
      <c r="G25" s="66"/>
      <c r="H25" s="251"/>
      <c r="I25" s="66"/>
      <c r="J25" s="66"/>
      <c r="K25" s="66"/>
      <c r="L25" s="66"/>
      <c r="M25" s="66"/>
      <c r="N25" s="66"/>
      <c r="O25" s="66"/>
      <c r="P25" s="246"/>
    </row>
    <row r="26" spans="2:16" ht="20.25" thickBot="1" thickTop="1">
      <c r="B26" s="242"/>
      <c r="C26" s="72"/>
      <c r="H26" s="368" t="s">
        <v>93</v>
      </c>
      <c r="I26" s="148">
        <f>SUM(I22:I25)</f>
        <v>7713.9125782559995</v>
      </c>
      <c r="L26" s="69"/>
      <c r="M26" s="69"/>
      <c r="N26" s="70"/>
      <c r="O26" s="71"/>
      <c r="P26" s="252"/>
    </row>
    <row r="27" spans="2:16" ht="15.75" thickTop="1">
      <c r="B27" s="242"/>
      <c r="C27" s="72"/>
      <c r="D27" s="68"/>
      <c r="E27" s="68"/>
      <c r="F27" s="74"/>
      <c r="G27" s="69"/>
      <c r="H27" s="69"/>
      <c r="I27" s="69"/>
      <c r="J27" s="69"/>
      <c r="K27" s="69"/>
      <c r="L27" s="69"/>
      <c r="M27" s="69"/>
      <c r="N27" s="70"/>
      <c r="O27" s="71"/>
      <c r="P27" s="252"/>
    </row>
    <row r="28" spans="2:16" ht="15">
      <c r="B28" s="242"/>
      <c r="C28" s="61" t="s">
        <v>94</v>
      </c>
      <c r="D28" s="68"/>
      <c r="E28" s="68"/>
      <c r="F28" s="74"/>
      <c r="G28" s="69"/>
      <c r="H28" s="69"/>
      <c r="I28" s="69"/>
      <c r="J28" s="69"/>
      <c r="K28" s="69"/>
      <c r="L28" s="69"/>
      <c r="M28" s="69"/>
      <c r="N28" s="70"/>
      <c r="O28" s="71"/>
      <c r="P28" s="252"/>
    </row>
    <row r="29" spans="2:16" ht="15">
      <c r="B29" s="242"/>
      <c r="C29" s="72"/>
      <c r="D29" s="68"/>
      <c r="E29" s="68"/>
      <c r="F29" s="74"/>
      <c r="G29" s="69"/>
      <c r="H29" s="69"/>
      <c r="I29" s="69"/>
      <c r="J29" s="69"/>
      <c r="K29" s="69"/>
      <c r="L29" s="69"/>
      <c r="M29" s="69"/>
      <c r="N29" s="70"/>
      <c r="O29" s="71"/>
      <c r="P29" s="252"/>
    </row>
    <row r="30" spans="2:16" ht="15.75">
      <c r="B30" s="242"/>
      <c r="C30" s="72"/>
      <c r="D30" s="369" t="s">
        <v>95</v>
      </c>
      <c r="E30" s="370" t="s">
        <v>16</v>
      </c>
      <c r="F30" s="371" t="s">
        <v>96</v>
      </c>
      <c r="G30" s="372"/>
      <c r="H30" s="597" t="s">
        <v>121</v>
      </c>
      <c r="I30" s="596" t="s">
        <v>120</v>
      </c>
      <c r="J30" s="592"/>
      <c r="K30" s="395"/>
      <c r="L30" s="373" t="s">
        <v>2</v>
      </c>
      <c r="N30" s="70"/>
      <c r="O30" s="71"/>
      <c r="P30" s="252"/>
    </row>
    <row r="31" spans="2:16" ht="15.75">
      <c r="B31" s="242"/>
      <c r="C31" s="72"/>
      <c r="D31" s="374" t="s">
        <v>4</v>
      </c>
      <c r="E31" s="375">
        <v>132</v>
      </c>
      <c r="F31" s="376">
        <v>31</v>
      </c>
      <c r="G31" s="377"/>
      <c r="H31" s="378">
        <f>F31*$J$17*$E$17/100</f>
        <v>31289.838034247998</v>
      </c>
      <c r="I31" s="379">
        <v>0</v>
      </c>
      <c r="J31" s="594" t="s">
        <v>160</v>
      </c>
      <c r="K31" s="381"/>
      <c r="L31" s="382">
        <f>SUM(H31:K31)</f>
        <v>31289.838034247998</v>
      </c>
      <c r="M31" s="69"/>
      <c r="N31" s="70"/>
      <c r="O31" s="71"/>
      <c r="P31" s="252"/>
    </row>
    <row r="32" spans="2:16" ht="15.75">
      <c r="B32" s="242"/>
      <c r="C32" s="72"/>
      <c r="D32" s="402" t="s">
        <v>5</v>
      </c>
      <c r="E32" s="68">
        <v>132</v>
      </c>
      <c r="F32" s="74">
        <v>110.3</v>
      </c>
      <c r="G32" s="69"/>
      <c r="H32" s="257">
        <f>F32*$J$17*$E$17/100</f>
        <v>111331.2624250824</v>
      </c>
      <c r="I32" s="419">
        <v>184</v>
      </c>
      <c r="J32" s="593" t="s">
        <v>160</v>
      </c>
      <c r="K32" s="249"/>
      <c r="L32" s="403">
        <f>SUM(H32:K32)</f>
        <v>111515.2624250824</v>
      </c>
      <c r="M32" s="69"/>
      <c r="N32" s="70"/>
      <c r="O32" s="71"/>
      <c r="P32" s="252"/>
    </row>
    <row r="33" spans="2:16" ht="15.75">
      <c r="B33" s="242"/>
      <c r="C33" s="72"/>
      <c r="D33" s="402" t="s">
        <v>6</v>
      </c>
      <c r="E33" s="68">
        <v>132</v>
      </c>
      <c r="F33" s="74">
        <v>185.6</v>
      </c>
      <c r="G33" s="69"/>
      <c r="H33" s="257">
        <f>F33*$J$17*$E$17/100</f>
        <v>187335.2883598848</v>
      </c>
      <c r="I33" s="419">
        <v>0</v>
      </c>
      <c r="J33" s="593" t="s">
        <v>160</v>
      </c>
      <c r="K33" s="249"/>
      <c r="L33" s="403">
        <f>SUM(H33:K33)</f>
        <v>187335.2883598848</v>
      </c>
      <c r="M33" s="69"/>
      <c r="N33" s="70"/>
      <c r="O33" s="71"/>
      <c r="P33" s="252"/>
    </row>
    <row r="34" spans="2:16" ht="15.75">
      <c r="B34" s="242"/>
      <c r="C34" s="72"/>
      <c r="D34" s="383" t="s">
        <v>7</v>
      </c>
      <c r="E34" s="384">
        <v>132</v>
      </c>
      <c r="F34" s="385">
        <v>7</v>
      </c>
      <c r="G34" s="386"/>
      <c r="H34" s="387">
        <f>F34*$J$17*$E$17/100</f>
        <v>7065.447298056</v>
      </c>
      <c r="I34" s="388">
        <v>60</v>
      </c>
      <c r="J34" s="595" t="s">
        <v>160</v>
      </c>
      <c r="K34" s="390"/>
      <c r="L34" s="391">
        <f>SUM(H34:K34)</f>
        <v>7125.447298056</v>
      </c>
      <c r="M34" s="69"/>
      <c r="N34" s="70"/>
      <c r="O34" s="71"/>
      <c r="P34" s="252"/>
    </row>
    <row r="35" spans="2:16" ht="15">
      <c r="B35" s="242"/>
      <c r="C35" s="72"/>
      <c r="D35" s="68"/>
      <c r="E35" s="68"/>
      <c r="F35" s="253"/>
      <c r="G35" s="69"/>
      <c r="I35" s="75"/>
      <c r="J35" s="249"/>
      <c r="K35" s="249"/>
      <c r="L35" s="392">
        <f>SUM(L31:L34)</f>
        <v>337265.8361172712</v>
      </c>
      <c r="M35" s="69"/>
      <c r="N35" s="70"/>
      <c r="O35" s="71"/>
      <c r="P35" s="252"/>
    </row>
    <row r="36" spans="2:16" ht="15">
      <c r="B36" s="242"/>
      <c r="C36" s="72"/>
      <c r="D36" s="68"/>
      <c r="E36" s="68"/>
      <c r="F36" s="253"/>
      <c r="G36" s="69"/>
      <c r="I36" s="75"/>
      <c r="J36" s="249"/>
      <c r="K36" s="249"/>
      <c r="L36" s="254"/>
      <c r="M36" s="69"/>
      <c r="N36" s="70"/>
      <c r="O36" s="71"/>
      <c r="P36" s="252"/>
    </row>
    <row r="37" spans="2:16" ht="15.75">
      <c r="B37" s="242"/>
      <c r="C37" s="72"/>
      <c r="D37" s="369" t="s">
        <v>97</v>
      </c>
      <c r="E37" s="370" t="s">
        <v>98</v>
      </c>
      <c r="F37" s="420" t="s">
        <v>108</v>
      </c>
      <c r="G37" s="421"/>
      <c r="H37" s="598" t="s">
        <v>122</v>
      </c>
      <c r="J37" s="393" t="s">
        <v>99</v>
      </c>
      <c r="K37" s="394"/>
      <c r="L37" s="395" t="s">
        <v>46</v>
      </c>
      <c r="M37" s="370" t="s">
        <v>16</v>
      </c>
      <c r="N37" s="396" t="s">
        <v>100</v>
      </c>
      <c r="O37" s="397"/>
      <c r="P37" s="252"/>
    </row>
    <row r="38" spans="2:16" ht="15">
      <c r="B38" s="242"/>
      <c r="C38" s="72"/>
      <c r="D38" s="374" t="s">
        <v>10</v>
      </c>
      <c r="E38" s="375" t="s">
        <v>109</v>
      </c>
      <c r="F38" s="422">
        <v>30</v>
      </c>
      <c r="G38" s="423"/>
      <c r="H38" s="382">
        <f>+F38*$J$18*$E$17</f>
        <v>10557.359999999999</v>
      </c>
      <c r="J38" s="398" t="s">
        <v>110</v>
      </c>
      <c r="K38" s="380"/>
      <c r="L38" s="377" t="s">
        <v>111</v>
      </c>
      <c r="M38" s="399">
        <v>132</v>
      </c>
      <c r="N38" s="400">
        <f>M16*E17</f>
        <v>4693.1054256</v>
      </c>
      <c r="O38" s="401"/>
      <c r="P38" s="252"/>
    </row>
    <row r="39" spans="2:16" ht="15">
      <c r="B39" s="242"/>
      <c r="C39" s="72"/>
      <c r="D39" s="402" t="s">
        <v>13</v>
      </c>
      <c r="E39" s="68" t="s">
        <v>112</v>
      </c>
      <c r="F39" s="424">
        <v>88</v>
      </c>
      <c r="G39" s="425"/>
      <c r="H39" s="403">
        <f>+F39*$J$18*$E$17</f>
        <v>30968.255999999998</v>
      </c>
      <c r="J39" s="404" t="s">
        <v>11</v>
      </c>
      <c r="K39" s="405"/>
      <c r="L39" s="69" t="s">
        <v>113</v>
      </c>
      <c r="M39" s="70">
        <v>33</v>
      </c>
      <c r="N39" s="406">
        <f>+M17*E17*2</f>
        <v>7043.609894400001</v>
      </c>
      <c r="O39" s="407"/>
      <c r="P39" s="252"/>
    </row>
    <row r="40" spans="2:16" ht="15">
      <c r="B40" s="242"/>
      <c r="C40" s="72"/>
      <c r="D40" s="402" t="s">
        <v>11</v>
      </c>
      <c r="E40" s="68" t="s">
        <v>9</v>
      </c>
      <c r="F40" s="424">
        <v>7.5</v>
      </c>
      <c r="G40" s="425"/>
      <c r="H40" s="403">
        <f>+F40*$J$18*$E$17</f>
        <v>2639.3399999999997</v>
      </c>
      <c r="J40" s="404" t="s">
        <v>12</v>
      </c>
      <c r="K40" s="405"/>
      <c r="L40" s="69" t="s">
        <v>114</v>
      </c>
      <c r="M40" s="70">
        <v>33</v>
      </c>
      <c r="N40" s="406">
        <f>3*M17*E17</f>
        <v>10565.4148416</v>
      </c>
      <c r="O40" s="407"/>
      <c r="P40" s="252"/>
    </row>
    <row r="41" spans="2:16" ht="15">
      <c r="B41" s="242"/>
      <c r="C41" s="72"/>
      <c r="D41" s="402" t="s">
        <v>12</v>
      </c>
      <c r="E41" s="68" t="s">
        <v>9</v>
      </c>
      <c r="F41" s="424">
        <v>15</v>
      </c>
      <c r="G41" s="425"/>
      <c r="H41" s="403">
        <f>+F41*$J$18*$E$17</f>
        <v>5278.679999999999</v>
      </c>
      <c r="J41" s="404" t="s">
        <v>14</v>
      </c>
      <c r="K41" s="405"/>
      <c r="L41" s="69" t="s">
        <v>115</v>
      </c>
      <c r="M41" s="70">
        <v>13.2</v>
      </c>
      <c r="N41" s="406">
        <f>+M18*E17*6</f>
        <v>21130.829683200005</v>
      </c>
      <c r="O41" s="407"/>
      <c r="P41" s="252"/>
    </row>
    <row r="42" spans="2:16" ht="15">
      <c r="B42" s="242"/>
      <c r="C42" s="72"/>
      <c r="D42" s="383" t="s">
        <v>14</v>
      </c>
      <c r="E42" s="384" t="s">
        <v>116</v>
      </c>
      <c r="F42" s="426">
        <v>30</v>
      </c>
      <c r="G42" s="427"/>
      <c r="H42" s="403">
        <f>+F42*$J$18*$E$17</f>
        <v>10557.359999999999</v>
      </c>
      <c r="J42" s="404" t="s">
        <v>10</v>
      </c>
      <c r="K42" s="405"/>
      <c r="L42" s="69" t="s">
        <v>117</v>
      </c>
      <c r="M42" s="70"/>
      <c r="N42" s="406">
        <f>+M17*E17+M18*E17*2</f>
        <v>10565.414841600003</v>
      </c>
      <c r="O42" s="407"/>
      <c r="P42" s="252"/>
    </row>
    <row r="43" spans="2:16" ht="15">
      <c r="B43" s="242"/>
      <c r="C43" s="72"/>
      <c r="D43" s="68"/>
      <c r="E43" s="68"/>
      <c r="F43" s="253"/>
      <c r="G43" s="69"/>
      <c r="H43" s="392">
        <f>SUM(H38:H42)</f>
        <v>60000.99599999999</v>
      </c>
      <c r="J43" s="408" t="s">
        <v>13</v>
      </c>
      <c r="K43" s="389"/>
      <c r="L43" s="386" t="s">
        <v>118</v>
      </c>
      <c r="M43" s="409"/>
      <c r="N43" s="410">
        <f>(M16+M17+M18*5)*E17</f>
        <v>25823.9351088</v>
      </c>
      <c r="O43" s="411"/>
      <c r="P43" s="252"/>
    </row>
    <row r="44" spans="2:16" ht="15">
      <c r="B44" s="242"/>
      <c r="C44" s="72"/>
      <c r="D44" s="68"/>
      <c r="E44" s="68"/>
      <c r="F44" s="253"/>
      <c r="G44" s="69"/>
      <c r="I44" s="75"/>
      <c r="J44" s="249"/>
      <c r="K44" s="249"/>
      <c r="L44" s="254"/>
      <c r="M44" s="69"/>
      <c r="N44" s="412">
        <f>SUM(N38:N43)</f>
        <v>79822.30979520001</v>
      </c>
      <c r="O44" s="397"/>
      <c r="P44" s="252"/>
    </row>
    <row r="45" spans="2:16" ht="12.75" customHeight="1" thickBot="1">
      <c r="B45" s="242"/>
      <c r="C45" s="72"/>
      <c r="D45" s="68"/>
      <c r="E45" s="68"/>
      <c r="F45" s="74"/>
      <c r="G45" s="69"/>
      <c r="H45" s="75"/>
      <c r="I45" s="68"/>
      <c r="J45" s="68"/>
      <c r="K45" s="68"/>
      <c r="L45" s="69"/>
      <c r="M45" s="69"/>
      <c r="N45" s="70"/>
      <c r="O45" s="71"/>
      <c r="P45" s="252"/>
    </row>
    <row r="46" spans="2:16" ht="20.25" thickBot="1" thickTop="1">
      <c r="B46" s="242"/>
      <c r="C46" s="72"/>
      <c r="D46" s="68"/>
      <c r="E46" s="68"/>
      <c r="F46" s="74"/>
      <c r="G46" s="69"/>
      <c r="H46" s="413" t="s">
        <v>101</v>
      </c>
      <c r="I46" s="414">
        <f>+H43+N44+L35</f>
        <v>477089.1419124712</v>
      </c>
      <c r="J46" s="68"/>
      <c r="K46" s="68"/>
      <c r="L46" s="69"/>
      <c r="M46" s="69"/>
      <c r="N46" s="70"/>
      <c r="O46" s="71"/>
      <c r="P46" s="252"/>
    </row>
    <row r="47" spans="2:16" ht="15.75" thickTop="1">
      <c r="B47" s="242"/>
      <c r="C47" s="72"/>
      <c r="D47" s="68"/>
      <c r="E47" s="68"/>
      <c r="F47" s="74"/>
      <c r="G47" s="69"/>
      <c r="H47" s="75"/>
      <c r="I47" s="68"/>
      <c r="J47" s="68"/>
      <c r="K47" s="68"/>
      <c r="L47" s="69"/>
      <c r="M47" s="69"/>
      <c r="N47" s="70"/>
      <c r="O47" s="71"/>
      <c r="P47" s="252"/>
    </row>
    <row r="48" spans="2:16" ht="15.75">
      <c r="B48" s="242"/>
      <c r="C48" s="415" t="s">
        <v>102</v>
      </c>
      <c r="D48" s="68"/>
      <c r="E48" s="68"/>
      <c r="F48" s="74"/>
      <c r="G48" s="69"/>
      <c r="H48" s="75"/>
      <c r="I48" s="68"/>
      <c r="J48" s="68"/>
      <c r="K48" s="68"/>
      <c r="L48" s="69"/>
      <c r="M48" s="69"/>
      <c r="N48" s="70"/>
      <c r="O48" s="71"/>
      <c r="P48" s="252"/>
    </row>
    <row r="49" spans="2:16" ht="15.75" thickBot="1">
      <c r="B49" s="242"/>
      <c r="C49" s="72"/>
      <c r="D49" s="68"/>
      <c r="E49" s="68"/>
      <c r="F49" s="74"/>
      <c r="G49" s="69"/>
      <c r="H49" s="75"/>
      <c r="I49" s="68"/>
      <c r="J49" s="68"/>
      <c r="K49" s="68"/>
      <c r="L49" s="69"/>
      <c r="M49" s="69"/>
      <c r="N49" s="70"/>
      <c r="O49" s="71"/>
      <c r="P49" s="252"/>
    </row>
    <row r="50" spans="2:16" ht="20.25" thickBot="1" thickTop="1">
      <c r="B50" s="242"/>
      <c r="C50" s="72"/>
      <c r="D50" s="203" t="s">
        <v>103</v>
      </c>
      <c r="F50" s="255"/>
      <c r="G50" s="66"/>
      <c r="H50" s="147" t="s">
        <v>104</v>
      </c>
      <c r="I50" s="416">
        <f>E18*I46</f>
        <v>11927.228547811781</v>
      </c>
      <c r="J50" s="62"/>
      <c r="K50" s="62"/>
      <c r="O50" s="62"/>
      <c r="P50" s="252"/>
    </row>
    <row r="51" spans="2:16" ht="21.75" thickTop="1">
      <c r="B51" s="242"/>
      <c r="C51" s="72"/>
      <c r="F51" s="256"/>
      <c r="G51" s="40"/>
      <c r="I51" s="62"/>
      <c r="J51" s="62"/>
      <c r="K51" s="62"/>
      <c r="O51" s="62"/>
      <c r="P51" s="252"/>
    </row>
    <row r="52" spans="2:16" ht="15">
      <c r="B52" s="242"/>
      <c r="C52" s="61" t="s">
        <v>105</v>
      </c>
      <c r="E52" s="62"/>
      <c r="F52" s="62"/>
      <c r="G52" s="62"/>
      <c r="H52" s="62"/>
      <c r="I52" s="69"/>
      <c r="J52" s="69"/>
      <c r="K52" s="69"/>
      <c r="L52" s="69"/>
      <c r="M52" s="69"/>
      <c r="N52" s="70"/>
      <c r="O52" s="71"/>
      <c r="P52" s="252"/>
    </row>
    <row r="53" spans="2:16" ht="15">
      <c r="B53" s="242"/>
      <c r="C53" s="72"/>
      <c r="D53" s="67" t="s">
        <v>106</v>
      </c>
      <c r="E53" s="257">
        <f>10*I26*I50/I46</f>
        <v>1928.4781445639999</v>
      </c>
      <c r="F53" s="417"/>
      <c r="H53" s="62"/>
      <c r="I53" s="69"/>
      <c r="J53" s="69"/>
      <c r="K53" s="69"/>
      <c r="L53" s="69"/>
      <c r="M53" s="69"/>
      <c r="N53" s="70"/>
      <c r="O53" s="71"/>
      <c r="P53" s="252"/>
    </row>
    <row r="54" spans="2:16" ht="15">
      <c r="B54" s="242"/>
      <c r="C54" s="72"/>
      <c r="D54" s="62"/>
      <c r="E54" s="62"/>
      <c r="J54" s="69"/>
      <c r="K54" s="69"/>
      <c r="L54" s="69"/>
      <c r="M54" s="69"/>
      <c r="N54" s="70"/>
      <c r="O54" s="71"/>
      <c r="P54" s="252"/>
    </row>
    <row r="55" spans="2:16" ht="15">
      <c r="B55" s="242"/>
      <c r="C55" s="72"/>
      <c r="D55" s="62" t="s">
        <v>119</v>
      </c>
      <c r="E55" s="62"/>
      <c r="F55" s="62"/>
      <c r="G55" s="62"/>
      <c r="H55" s="62"/>
      <c r="M55" s="69"/>
      <c r="N55" s="70"/>
      <c r="O55" s="71"/>
      <c r="P55" s="252"/>
    </row>
    <row r="56" spans="2:16" ht="15.75" thickBot="1">
      <c r="B56" s="242"/>
      <c r="C56" s="72"/>
      <c r="D56" s="62"/>
      <c r="E56" s="62"/>
      <c r="F56" s="62"/>
      <c r="G56" s="62"/>
      <c r="H56" s="62"/>
      <c r="M56" s="69"/>
      <c r="N56" s="70"/>
      <c r="O56" s="71"/>
      <c r="P56" s="252"/>
    </row>
    <row r="57" spans="2:16" ht="20.25" thickBot="1" thickTop="1">
      <c r="B57" s="242"/>
      <c r="C57" s="72"/>
      <c r="D57" s="68"/>
      <c r="E57" s="68"/>
      <c r="F57" s="74"/>
      <c r="G57" s="69"/>
      <c r="H57" s="204" t="s">
        <v>107</v>
      </c>
      <c r="I57" s="418">
        <f>IF($E$53&gt;3*I50,3*I50,$E$53)</f>
        <v>1928.4781445639999</v>
      </c>
      <c r="J57" s="69"/>
      <c r="K57" s="69"/>
      <c r="L57" s="69"/>
      <c r="M57" s="69"/>
      <c r="N57" s="70"/>
      <c r="O57" s="71"/>
      <c r="P57" s="252"/>
    </row>
    <row r="58" spans="2:16" ht="16.5" thickBot="1" thickTop="1">
      <c r="B58" s="258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60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3937007874015748" right="0.1968503937007874" top="0.63" bottom="0.61" header="0.5118110236220472" footer="0.27"/>
  <pageSetup fitToHeight="1" fitToWidth="1" orientation="landscape" paperSize="9" scale="54" r:id="rId4"/>
  <headerFooter alignWithMargins="0">
    <oddFooter>&amp;L&amp;"Times New Roman,Normal"&amp;8&amp;Z&amp;F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73"/>
  <sheetViews>
    <sheetView zoomScale="75" zoomScaleNormal="75" workbookViewId="0" topLeftCell="C4">
      <selection activeCell="K66" sqref="K66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337"/>
    </row>
    <row r="2" spans="2:20" s="643" customFormat="1" ht="30.75">
      <c r="B2" s="102" t="str">
        <f>'TOT-0113'!B2</f>
        <v>ANEXO I al Memorándum  D.T.E.E.  N°           / 2014.-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</row>
    <row r="3" spans="1:2" ht="17.25" customHeight="1">
      <c r="A3" s="645" t="s">
        <v>17</v>
      </c>
      <c r="B3" s="646"/>
    </row>
    <row r="4" spans="1:4" ht="12.75" customHeight="1">
      <c r="A4" s="645" t="s">
        <v>18</v>
      </c>
      <c r="B4" s="646"/>
      <c r="D4" s="647"/>
    </row>
    <row r="5" spans="1:4" ht="21.75" customHeight="1">
      <c r="A5" s="648"/>
      <c r="D5" s="647"/>
    </row>
    <row r="6" spans="1:20" ht="26.25">
      <c r="A6" s="648"/>
      <c r="B6" s="649" t="s">
        <v>162</v>
      </c>
      <c r="C6" s="77"/>
      <c r="D6" s="64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4" ht="18.75" customHeight="1">
      <c r="A7" s="648"/>
      <c r="D7" s="647"/>
    </row>
    <row r="8" spans="1:20" ht="26.25">
      <c r="A8" s="648"/>
      <c r="B8" s="650" t="s">
        <v>1</v>
      </c>
      <c r="C8" s="77"/>
      <c r="D8" s="64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4" ht="18.75" customHeight="1">
      <c r="A9" s="648"/>
      <c r="D9" s="647"/>
    </row>
    <row r="10" spans="1:20" ht="26.25">
      <c r="A10" s="648"/>
      <c r="B10" s="650" t="s">
        <v>163</v>
      </c>
      <c r="C10" s="77"/>
      <c r="D10" s="64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ht="18.75" customHeight="1" thickBot="1"/>
    <row r="12" spans="2:20" ht="18.75" customHeight="1" thickTop="1">
      <c r="B12" s="651"/>
      <c r="C12" s="652"/>
      <c r="D12" s="653"/>
      <c r="E12" s="653"/>
      <c r="F12" s="653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4"/>
    </row>
    <row r="13" spans="2:20" ht="19.5">
      <c r="B13" s="205" t="s">
        <v>173</v>
      </c>
      <c r="C13" s="77"/>
      <c r="D13" s="655"/>
      <c r="E13" s="655"/>
      <c r="F13" s="655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7"/>
    </row>
    <row r="14" spans="2:20" ht="18.75" customHeight="1" thickBot="1">
      <c r="B14" s="2"/>
      <c r="C14" s="658"/>
      <c r="D14" s="659"/>
      <c r="E14" s="659"/>
      <c r="F14" s="66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663" customFormat="1" ht="34.5" customHeight="1" thickBot="1" thickTop="1">
      <c r="A15" s="646"/>
      <c r="B15" s="661"/>
      <c r="C15" s="698"/>
      <c r="D15" s="699" t="s">
        <v>20</v>
      </c>
      <c r="E15" s="700" t="s">
        <v>43</v>
      </c>
      <c r="F15" s="701" t="s">
        <v>44</v>
      </c>
      <c r="G15" s="702">
        <f>'[4]Tasa de Falla'!HE15</f>
        <v>40909</v>
      </c>
      <c r="H15" s="702">
        <f>'[4]Tasa de Falla'!HF15</f>
        <v>40940</v>
      </c>
      <c r="I15" s="702">
        <f>'[4]Tasa de Falla'!HG15</f>
        <v>40969</v>
      </c>
      <c r="J15" s="702">
        <f>'[4]Tasa de Falla'!HH15</f>
        <v>41000</v>
      </c>
      <c r="K15" s="702">
        <f>'[4]Tasa de Falla'!HI15</f>
        <v>41030</v>
      </c>
      <c r="L15" s="702">
        <f>'[4]Tasa de Falla'!HJ15</f>
        <v>41061</v>
      </c>
      <c r="M15" s="702">
        <f>'[4]Tasa de Falla'!HK15</f>
        <v>41091</v>
      </c>
      <c r="N15" s="702">
        <f>'[4]Tasa de Falla'!HL15</f>
        <v>41122</v>
      </c>
      <c r="O15" s="702">
        <f>'[4]Tasa de Falla'!HM15</f>
        <v>41153</v>
      </c>
      <c r="P15" s="702">
        <f>'[4]Tasa de Falla'!HN15</f>
        <v>41183</v>
      </c>
      <c r="Q15" s="702">
        <f>'[4]Tasa de Falla'!HO15</f>
        <v>41214</v>
      </c>
      <c r="R15" s="702">
        <f>'[4]Tasa de Falla'!HP15</f>
        <v>41244</v>
      </c>
      <c r="S15" s="702">
        <f>'[4]Tasa de Falla'!HQ15</f>
        <v>41275</v>
      </c>
      <c r="T15" s="662"/>
    </row>
    <row r="16" spans="2:20" ht="15" customHeight="1" thickTop="1">
      <c r="B16" s="2"/>
      <c r="C16" s="664"/>
      <c r="D16" s="665"/>
      <c r="E16" s="665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7"/>
      <c r="T16" s="3"/>
    </row>
    <row r="17" spans="2:20" ht="12.75" hidden="1">
      <c r="B17" s="2"/>
      <c r="C17" s="668">
        <f>IF('[1]Tasa de Falla'!C17=0,"",'[1]Tasa de Falla'!C17)</f>
        <v>1</v>
      </c>
      <c r="D17" s="669" t="str">
        <f>IF('[1]Tasa de Falla'!D17=0,"",'[1]Tasa de Falla'!D17)</f>
        <v>AMEGHINO - COMODORO RIVADAVIA</v>
      </c>
      <c r="E17" s="669">
        <f>IF('[1]Tasa de Falla'!E17=0,"",'[1]Tasa de Falla'!E17)</f>
        <v>132</v>
      </c>
      <c r="F17" s="670">
        <f>IF('[1]Tasa de Falla'!F17=0,"",'[1]Tasa de Falla'!F17)</f>
        <v>305</v>
      </c>
      <c r="G17" s="671" t="str">
        <f>IF('[1]Tasa de Falla'!EA17=0,"",'[1]Tasa de Falla'!EA17)</f>
        <v>XXXX</v>
      </c>
      <c r="H17" s="671" t="str">
        <f>IF('[1]Tasa de Falla'!EB17=0,"",'[1]Tasa de Falla'!EB17)</f>
        <v>XXXX</v>
      </c>
      <c r="I17" s="671" t="str">
        <f>IF('[1]Tasa de Falla'!EC17=0,"",'[1]Tasa de Falla'!EC17)</f>
        <v>XXXX</v>
      </c>
      <c r="J17" s="671" t="str">
        <f>IF('[1]Tasa de Falla'!ED17=0,"",'[1]Tasa de Falla'!ED17)</f>
        <v>XXXX</v>
      </c>
      <c r="K17" s="671" t="str">
        <f>IF('[1]Tasa de Falla'!EE17=0,"",'[1]Tasa de Falla'!EE17)</f>
        <v>XXXX</v>
      </c>
      <c r="L17" s="671" t="str">
        <f>IF('[1]Tasa de Falla'!EF17=0,"",'[1]Tasa de Falla'!EF17)</f>
        <v>XXXX</v>
      </c>
      <c r="M17" s="671" t="str">
        <f>IF('[1]Tasa de Falla'!EG17=0,"",'[1]Tasa de Falla'!EG17)</f>
        <v>XXXX</v>
      </c>
      <c r="N17" s="671" t="str">
        <f>IF('[1]Tasa de Falla'!EH17=0,"",'[1]Tasa de Falla'!EH17)</f>
        <v>XXXX</v>
      </c>
      <c r="O17" s="671" t="str">
        <f>IF('[1]Tasa de Falla'!EI17=0,"",'[1]Tasa de Falla'!EI17)</f>
        <v>XXXX</v>
      </c>
      <c r="P17" s="671" t="str">
        <f>IF('[1]Tasa de Falla'!EJ17=0,"",'[1]Tasa de Falla'!EJ17)</f>
        <v>XXXX</v>
      </c>
      <c r="Q17" s="671" t="str">
        <f>IF('[1]Tasa de Falla'!EK17=0,"",'[1]Tasa de Falla'!EK17)</f>
        <v>XXXX</v>
      </c>
      <c r="R17" s="671" t="str">
        <f>IF('[1]Tasa de Falla'!EL17=0,"",'[1]Tasa de Falla'!EL17)</f>
        <v>XXXX</v>
      </c>
      <c r="S17" s="672"/>
      <c r="T17" s="3"/>
    </row>
    <row r="18" spans="2:20" ht="18" customHeight="1">
      <c r="B18" s="2"/>
      <c r="C18" s="703">
        <f>IF('[4]Tasa de Falla'!C17="","",'[4]Tasa de Falla'!C17)</f>
        <v>1</v>
      </c>
      <c r="D18" s="703" t="str">
        <f>IF('[4]Tasa de Falla'!D17="","",'[4]Tasa de Falla'!D17)</f>
        <v>AMEGHINO - COMODORO RIVADAVIA</v>
      </c>
      <c r="E18" s="703">
        <f>IF('[4]Tasa de Falla'!E17="","",'[4]Tasa de Falla'!E17)</f>
        <v>132</v>
      </c>
      <c r="F18" s="703">
        <f>IF('[4]Tasa de Falla'!F17="","",'[4]Tasa de Falla'!F17)</f>
        <v>305</v>
      </c>
      <c r="G18" s="704" t="str">
        <f>IF('[4]Tasa de Falla'!HE17="","",'[4]Tasa de Falla'!HE17)</f>
        <v>XXXX</v>
      </c>
      <c r="H18" s="704" t="str">
        <f>IF('[4]Tasa de Falla'!HF17="","",'[4]Tasa de Falla'!HF17)</f>
        <v>XXXX</v>
      </c>
      <c r="I18" s="704" t="str">
        <f>IF('[4]Tasa de Falla'!HG17="","",'[4]Tasa de Falla'!HG17)</f>
        <v>XXXX</v>
      </c>
      <c r="J18" s="704" t="str">
        <f>IF('[4]Tasa de Falla'!HH17="","",'[4]Tasa de Falla'!HH17)</f>
        <v>XXXX</v>
      </c>
      <c r="K18" s="704" t="str">
        <f>IF('[4]Tasa de Falla'!HI17="","",'[4]Tasa de Falla'!HI17)</f>
        <v>XXXX</v>
      </c>
      <c r="L18" s="704" t="str">
        <f>IF('[4]Tasa de Falla'!HJ17="","",'[4]Tasa de Falla'!HJ17)</f>
        <v>XXXX</v>
      </c>
      <c r="M18" s="704" t="str">
        <f>IF('[4]Tasa de Falla'!HK17="","",'[4]Tasa de Falla'!HK17)</f>
        <v>XXXX</v>
      </c>
      <c r="N18" s="704" t="str">
        <f>IF('[4]Tasa de Falla'!HL17="","",'[4]Tasa de Falla'!HL17)</f>
        <v>XXXX</v>
      </c>
      <c r="O18" s="704" t="str">
        <f>IF('[4]Tasa de Falla'!HM17="","",'[4]Tasa de Falla'!HM17)</f>
        <v>XXXX</v>
      </c>
      <c r="P18" s="704" t="str">
        <f>IF('[4]Tasa de Falla'!HN17="","",'[4]Tasa de Falla'!HN17)</f>
        <v>XXXX</v>
      </c>
      <c r="Q18" s="704" t="str">
        <f>IF('[4]Tasa de Falla'!HO17="","",'[4]Tasa de Falla'!HO17)</f>
        <v>XXXX</v>
      </c>
      <c r="R18" s="704" t="str">
        <f>IF('[4]Tasa de Falla'!HP17="","",'[4]Tasa de Falla'!HP17)</f>
        <v>XXXX</v>
      </c>
      <c r="S18" s="672"/>
      <c r="T18" s="3"/>
    </row>
    <row r="19" spans="2:20" ht="15" customHeight="1">
      <c r="B19" s="2"/>
      <c r="C19" s="705">
        <f>IF('[4]Tasa de Falla'!C18="","",'[4]Tasa de Falla'!C18)</f>
        <v>2</v>
      </c>
      <c r="D19" s="705" t="str">
        <f>IF('[4]Tasa de Falla'!D18="","",'[4]Tasa de Falla'!D18)</f>
        <v>AMEGHINO - ESTACION PATAGONIA</v>
      </c>
      <c r="E19" s="705">
        <f>IF('[4]Tasa de Falla'!E18="","",'[4]Tasa de Falla'!E18)</f>
        <v>132</v>
      </c>
      <c r="F19" s="705">
        <f>IF('[4]Tasa de Falla'!F18="","",'[4]Tasa de Falla'!F18)</f>
        <v>299.6</v>
      </c>
      <c r="G19" s="706">
        <f>IF('[4]Tasa de Falla'!HE18="","",'[4]Tasa de Falla'!HE18)</f>
      </c>
      <c r="H19" s="706">
        <f>IF('[4]Tasa de Falla'!HF18="","",'[4]Tasa de Falla'!HF18)</f>
      </c>
      <c r="I19" s="706">
        <f>IF('[4]Tasa de Falla'!HG18="","",'[4]Tasa de Falla'!HG18)</f>
      </c>
      <c r="J19" s="706">
        <f>IF('[4]Tasa de Falla'!HH18="","",'[4]Tasa de Falla'!HH18)</f>
      </c>
      <c r="K19" s="706">
        <f>IF('[4]Tasa de Falla'!HI18="","",'[4]Tasa de Falla'!HI18)</f>
      </c>
      <c r="L19" s="706">
        <f>IF('[4]Tasa de Falla'!HJ18="","",'[4]Tasa de Falla'!HJ18)</f>
      </c>
      <c r="M19" s="706">
        <f>IF('[4]Tasa de Falla'!HK18="","",'[4]Tasa de Falla'!HK18)</f>
      </c>
      <c r="N19" s="706">
        <f>IF('[4]Tasa de Falla'!HL18="","",'[4]Tasa de Falla'!HL18)</f>
      </c>
      <c r="O19" s="706">
        <f>IF('[4]Tasa de Falla'!HM18="","",'[4]Tasa de Falla'!HM18)</f>
      </c>
      <c r="P19" s="706">
        <f>IF('[4]Tasa de Falla'!HN18="","",'[4]Tasa de Falla'!HN18)</f>
      </c>
      <c r="Q19" s="706">
        <f>IF('[4]Tasa de Falla'!HO18="","",'[4]Tasa de Falla'!HO18)</f>
      </c>
      <c r="R19" s="706">
        <f>IF('[4]Tasa de Falla'!HP18="","",'[4]Tasa de Falla'!HP18)</f>
        <v>1</v>
      </c>
      <c r="S19" s="672"/>
      <c r="T19" s="3"/>
    </row>
    <row r="20" spans="2:20" ht="18" customHeight="1">
      <c r="B20" s="2"/>
      <c r="C20" s="703">
        <f>IF('[4]Tasa de Falla'!C19="","",'[4]Tasa de Falla'!C19)</f>
        <v>3</v>
      </c>
      <c r="D20" s="703" t="str">
        <f>IF('[4]Tasa de Falla'!D19="","",'[4]Tasa de Falla'!D19)</f>
        <v>AMEGHINO - TRELEW</v>
      </c>
      <c r="E20" s="703">
        <f>IF('[4]Tasa de Falla'!E19="","",'[4]Tasa de Falla'!E19)</f>
        <v>132</v>
      </c>
      <c r="F20" s="703">
        <f>IF('[4]Tasa de Falla'!F19="","",'[4]Tasa de Falla'!F19)</f>
        <v>112</v>
      </c>
      <c r="G20" s="704">
        <f>IF('[4]Tasa de Falla'!HE19="","",'[4]Tasa de Falla'!HE19)</f>
      </c>
      <c r="H20" s="704">
        <f>IF('[4]Tasa de Falla'!HF19="","",'[4]Tasa de Falla'!HF19)</f>
      </c>
      <c r="I20" s="704">
        <f>IF('[4]Tasa de Falla'!HG19="","",'[4]Tasa de Falla'!HG19)</f>
      </c>
      <c r="J20" s="704">
        <f>IF('[4]Tasa de Falla'!HH19="","",'[4]Tasa de Falla'!HH19)</f>
      </c>
      <c r="K20" s="704">
        <f>IF('[4]Tasa de Falla'!HI19="","",'[4]Tasa de Falla'!HI19)</f>
      </c>
      <c r="L20" s="704">
        <f>IF('[4]Tasa de Falla'!HJ19="","",'[4]Tasa de Falla'!HJ19)</f>
      </c>
      <c r="M20" s="704">
        <f>IF('[4]Tasa de Falla'!HK19="","",'[4]Tasa de Falla'!HK19)</f>
      </c>
      <c r="N20" s="704">
        <f>IF('[4]Tasa de Falla'!HL19="","",'[4]Tasa de Falla'!HL19)</f>
      </c>
      <c r="O20" s="704">
        <f>IF('[4]Tasa de Falla'!HM19="","",'[4]Tasa de Falla'!HM19)</f>
      </c>
      <c r="P20" s="704">
        <f>IF('[4]Tasa de Falla'!HN19="","",'[4]Tasa de Falla'!HN19)</f>
      </c>
      <c r="Q20" s="704">
        <f>IF('[4]Tasa de Falla'!HO19="","",'[4]Tasa de Falla'!HO19)</f>
      </c>
      <c r="R20" s="704">
        <f>IF('[4]Tasa de Falla'!HP19="","",'[4]Tasa de Falla'!HP19)</f>
      </c>
      <c r="S20" s="672"/>
      <c r="T20" s="3"/>
    </row>
    <row r="21" spans="2:20" ht="15" customHeight="1">
      <c r="B21" s="2"/>
      <c r="C21" s="705">
        <f>IF('[4]Tasa de Falla'!C20="","",'[4]Tasa de Falla'!C20)</f>
        <v>4</v>
      </c>
      <c r="D21" s="705" t="str">
        <f>IF('[4]Tasa de Falla'!D20="","",'[4]Tasa de Falla'!D20)</f>
        <v>FUTALEUFU - ESQUEL</v>
      </c>
      <c r="E21" s="705">
        <f>IF('[4]Tasa de Falla'!E20="","",'[4]Tasa de Falla'!E20)</f>
        <v>132</v>
      </c>
      <c r="F21" s="705">
        <f>IF('[4]Tasa de Falla'!F20="","",'[4]Tasa de Falla'!F20)</f>
        <v>28.4</v>
      </c>
      <c r="G21" s="706">
        <f>IF('[4]Tasa de Falla'!HE20="","",'[4]Tasa de Falla'!HE20)</f>
      </c>
      <c r="H21" s="706">
        <f>IF('[4]Tasa de Falla'!HF20="","",'[4]Tasa de Falla'!HF20)</f>
      </c>
      <c r="I21" s="706">
        <f>IF('[4]Tasa de Falla'!HG20="","",'[4]Tasa de Falla'!HG20)</f>
      </c>
      <c r="J21" s="706">
        <f>IF('[4]Tasa de Falla'!HH20="","",'[4]Tasa de Falla'!HH20)</f>
      </c>
      <c r="K21" s="706">
        <f>IF('[4]Tasa de Falla'!HI20="","",'[4]Tasa de Falla'!HI20)</f>
      </c>
      <c r="L21" s="706">
        <f>IF('[4]Tasa de Falla'!HJ20="","",'[4]Tasa de Falla'!HJ20)</f>
      </c>
      <c r="M21" s="706">
        <f>IF('[4]Tasa de Falla'!HK20="","",'[4]Tasa de Falla'!HK20)</f>
      </c>
      <c r="N21" s="706">
        <f>IF('[4]Tasa de Falla'!HL20="","",'[4]Tasa de Falla'!HL20)</f>
      </c>
      <c r="O21" s="706">
        <f>IF('[4]Tasa de Falla'!HM20="","",'[4]Tasa de Falla'!HM20)</f>
      </c>
      <c r="P21" s="706">
        <f>IF('[4]Tasa de Falla'!HN20="","",'[4]Tasa de Falla'!HN20)</f>
      </c>
      <c r="Q21" s="706">
        <f>IF('[4]Tasa de Falla'!HO20="","",'[4]Tasa de Falla'!HO20)</f>
      </c>
      <c r="R21" s="706">
        <f>IF('[4]Tasa de Falla'!HP20="","",'[4]Tasa de Falla'!HP20)</f>
      </c>
      <c r="S21" s="672"/>
      <c r="T21" s="3"/>
    </row>
    <row r="22" spans="2:20" ht="18" customHeight="1">
      <c r="B22" s="2"/>
      <c r="C22" s="703">
        <f>IF('[4]Tasa de Falla'!C21="","",'[4]Tasa de Falla'!C21)</f>
        <v>5</v>
      </c>
      <c r="D22" s="703" t="str">
        <f>IF('[4]Tasa de Falla'!D21="","",'[4]Tasa de Falla'!D21)</f>
        <v>BARRIO SAN MARTIN - ESTACION PATAGONIA</v>
      </c>
      <c r="E22" s="703">
        <f>IF('[4]Tasa de Falla'!E21="","",'[4]Tasa de Falla'!E21)</f>
        <v>132</v>
      </c>
      <c r="F22" s="703">
        <f>IF('[4]Tasa de Falla'!F21="","",'[4]Tasa de Falla'!F21)</f>
        <v>9.4</v>
      </c>
      <c r="G22" s="704">
        <f>IF('[4]Tasa de Falla'!HE21="","",'[4]Tasa de Falla'!HE21)</f>
      </c>
      <c r="H22" s="704">
        <f>IF('[4]Tasa de Falla'!HF21="","",'[4]Tasa de Falla'!HF21)</f>
        <v>1</v>
      </c>
      <c r="I22" s="704">
        <f>IF('[4]Tasa de Falla'!HG21="","",'[4]Tasa de Falla'!HG21)</f>
      </c>
      <c r="J22" s="704">
        <f>IF('[4]Tasa de Falla'!HH21="","",'[4]Tasa de Falla'!HH21)</f>
      </c>
      <c r="K22" s="704">
        <f>IF('[4]Tasa de Falla'!HI21="","",'[4]Tasa de Falla'!HI21)</f>
      </c>
      <c r="L22" s="704">
        <f>IF('[4]Tasa de Falla'!HJ21="","",'[4]Tasa de Falla'!HJ21)</f>
      </c>
      <c r="M22" s="704">
        <f>IF('[4]Tasa de Falla'!HK21="","",'[4]Tasa de Falla'!HK21)</f>
      </c>
      <c r="N22" s="704">
        <f>IF('[4]Tasa de Falla'!HL21="","",'[4]Tasa de Falla'!HL21)</f>
      </c>
      <c r="O22" s="704">
        <f>IF('[4]Tasa de Falla'!HM21="","",'[4]Tasa de Falla'!HM21)</f>
      </c>
      <c r="P22" s="704">
        <f>IF('[4]Tasa de Falla'!HN21="","",'[4]Tasa de Falla'!HN21)</f>
      </c>
      <c r="Q22" s="704">
        <f>IF('[4]Tasa de Falla'!HO21="","",'[4]Tasa de Falla'!HO21)</f>
      </c>
      <c r="R22" s="704">
        <f>IF('[4]Tasa de Falla'!HP21="","",'[4]Tasa de Falla'!HP21)</f>
      </c>
      <c r="S22" s="672"/>
      <c r="T22" s="3"/>
    </row>
    <row r="23" spans="2:20" ht="15" customHeight="1">
      <c r="B23" s="2"/>
      <c r="C23" s="705">
        <f>IF('[4]Tasa de Falla'!C22="","",'[4]Tasa de Falla'!C22)</f>
        <v>6</v>
      </c>
      <c r="D23" s="705" t="str">
        <f>IF('[4]Tasa de Falla'!D22="","",'[4]Tasa de Falla'!D22)</f>
        <v>COMODORO RIVADAVIA - E.T. A1</v>
      </c>
      <c r="E23" s="705">
        <f>IF('[4]Tasa de Falla'!E22="","",'[4]Tasa de Falla'!E22)</f>
        <v>132</v>
      </c>
      <c r="F23" s="705">
        <f>IF('[4]Tasa de Falla'!F22="","",'[4]Tasa de Falla'!F22)</f>
        <v>0.5</v>
      </c>
      <c r="G23" s="706">
        <f>IF('[4]Tasa de Falla'!HE22="","",'[4]Tasa de Falla'!HE22)</f>
      </c>
      <c r="H23" s="706">
        <f>IF('[4]Tasa de Falla'!HF22="","",'[4]Tasa de Falla'!HF22)</f>
      </c>
      <c r="I23" s="706">
        <f>IF('[4]Tasa de Falla'!HG22="","",'[4]Tasa de Falla'!HG22)</f>
      </c>
      <c r="J23" s="706">
        <f>IF('[4]Tasa de Falla'!HH22="","",'[4]Tasa de Falla'!HH22)</f>
      </c>
      <c r="K23" s="706">
        <f>IF('[4]Tasa de Falla'!HI22="","",'[4]Tasa de Falla'!HI22)</f>
      </c>
      <c r="L23" s="706">
        <f>IF('[4]Tasa de Falla'!HJ22="","",'[4]Tasa de Falla'!HJ22)</f>
      </c>
      <c r="M23" s="706">
        <f>IF('[4]Tasa de Falla'!HK22="","",'[4]Tasa de Falla'!HK22)</f>
      </c>
      <c r="N23" s="706">
        <f>IF('[4]Tasa de Falla'!HL22="","",'[4]Tasa de Falla'!HL22)</f>
      </c>
      <c r="O23" s="706">
        <f>IF('[4]Tasa de Falla'!HM22="","",'[4]Tasa de Falla'!HM22)</f>
      </c>
      <c r="P23" s="706">
        <f>IF('[4]Tasa de Falla'!HN22="","",'[4]Tasa de Falla'!HN22)</f>
      </c>
      <c r="Q23" s="706">
        <f>IF('[4]Tasa de Falla'!HO22="","",'[4]Tasa de Falla'!HO22)</f>
      </c>
      <c r="R23" s="706">
        <f>IF('[4]Tasa de Falla'!HP22="","",'[4]Tasa de Falla'!HP22)</f>
      </c>
      <c r="S23" s="672"/>
      <c r="T23" s="3"/>
    </row>
    <row r="24" spans="2:20" ht="18" customHeight="1">
      <c r="B24" s="2"/>
      <c r="C24" s="703">
        <f>IF('[4]Tasa de Falla'!C23="","",'[4]Tasa de Falla'!C23)</f>
        <v>7</v>
      </c>
      <c r="D24" s="703" t="str">
        <f>IF('[4]Tasa de Falla'!D23="","",'[4]Tasa de Falla'!D23)</f>
        <v>COMODORO RIVADAVIA (A1) - ESTACION PATAGONIA</v>
      </c>
      <c r="E24" s="703">
        <f>IF('[4]Tasa de Falla'!E23="","",'[4]Tasa de Falla'!E23)</f>
        <v>132</v>
      </c>
      <c r="F24" s="703">
        <f>IF('[4]Tasa de Falla'!F23="","",'[4]Tasa de Falla'!F23)</f>
        <v>6.9</v>
      </c>
      <c r="G24" s="704">
        <f>IF('[4]Tasa de Falla'!HE23="","",'[4]Tasa de Falla'!HE23)</f>
      </c>
      <c r="H24" s="704">
        <f>IF('[4]Tasa de Falla'!HF23="","",'[4]Tasa de Falla'!HF23)</f>
      </c>
      <c r="I24" s="704">
        <f>IF('[4]Tasa de Falla'!HG23="","",'[4]Tasa de Falla'!HG23)</f>
      </c>
      <c r="J24" s="704">
        <f>IF('[4]Tasa de Falla'!HH23="","",'[4]Tasa de Falla'!HH23)</f>
      </c>
      <c r="K24" s="704">
        <f>IF('[4]Tasa de Falla'!HI23="","",'[4]Tasa de Falla'!HI23)</f>
      </c>
      <c r="L24" s="704">
        <f>IF('[4]Tasa de Falla'!HJ23="","",'[4]Tasa de Falla'!HJ23)</f>
      </c>
      <c r="M24" s="704">
        <f>IF('[4]Tasa de Falla'!HK23="","",'[4]Tasa de Falla'!HK23)</f>
      </c>
      <c r="N24" s="704">
        <f>IF('[4]Tasa de Falla'!HL23="","",'[4]Tasa de Falla'!HL23)</f>
      </c>
      <c r="O24" s="704">
        <f>IF('[4]Tasa de Falla'!HM23="","",'[4]Tasa de Falla'!HM23)</f>
      </c>
      <c r="P24" s="704">
        <f>IF('[4]Tasa de Falla'!HN23="","",'[4]Tasa de Falla'!HN23)</f>
      </c>
      <c r="Q24" s="704">
        <f>IF('[4]Tasa de Falla'!HO23="","",'[4]Tasa de Falla'!HO23)</f>
      </c>
      <c r="R24" s="704">
        <f>IF('[4]Tasa de Falla'!HP23="","",'[4]Tasa de Falla'!HP23)</f>
      </c>
      <c r="S24" s="672"/>
      <c r="T24" s="3"/>
    </row>
    <row r="25" spans="2:20" ht="15" customHeight="1">
      <c r="B25" s="2"/>
      <c r="C25" s="705">
        <f>IF('[4]Tasa de Falla'!C24="","",'[4]Tasa de Falla'!C24)</f>
        <v>8</v>
      </c>
      <c r="D25" s="705" t="str">
        <f>IF('[4]Tasa de Falla'!D24="","",'[4]Tasa de Falla'!D24)</f>
        <v>COMODORO RIVADAVIA - PICO TRUNCADO</v>
      </c>
      <c r="E25" s="705">
        <f>IF('[4]Tasa de Falla'!E24="","",'[4]Tasa de Falla'!E24)</f>
        <v>132</v>
      </c>
      <c r="F25" s="705">
        <f>IF('[4]Tasa de Falla'!F24="","",'[4]Tasa de Falla'!F24)</f>
        <v>138</v>
      </c>
      <c r="G25" s="706">
        <f>IF('[4]Tasa de Falla'!HE24="","",'[4]Tasa de Falla'!HE24)</f>
      </c>
      <c r="H25" s="706">
        <f>IF('[4]Tasa de Falla'!HF24="","",'[4]Tasa de Falla'!HF24)</f>
      </c>
      <c r="I25" s="706">
        <f>IF('[4]Tasa de Falla'!HG24="","",'[4]Tasa de Falla'!HG24)</f>
      </c>
      <c r="J25" s="706">
        <f>IF('[4]Tasa de Falla'!HH24="","",'[4]Tasa de Falla'!HH24)</f>
      </c>
      <c r="K25" s="706">
        <f>IF('[4]Tasa de Falla'!HI24="","",'[4]Tasa de Falla'!HI24)</f>
        <v>1</v>
      </c>
      <c r="L25" s="706">
        <f>IF('[4]Tasa de Falla'!HJ24="","",'[4]Tasa de Falla'!HJ24)</f>
      </c>
      <c r="M25" s="706">
        <f>IF('[4]Tasa de Falla'!HK24="","",'[4]Tasa de Falla'!HK24)</f>
      </c>
      <c r="N25" s="706">
        <f>IF('[4]Tasa de Falla'!HL24="","",'[4]Tasa de Falla'!HL24)</f>
      </c>
      <c r="O25" s="706">
        <f>IF('[4]Tasa de Falla'!HM24="","",'[4]Tasa de Falla'!HM24)</f>
      </c>
      <c r="P25" s="706">
        <f>IF('[4]Tasa de Falla'!HN24="","",'[4]Tasa de Falla'!HN24)</f>
      </c>
      <c r="Q25" s="706">
        <f>IF('[4]Tasa de Falla'!HO24="","",'[4]Tasa de Falla'!HO24)</f>
      </c>
      <c r="R25" s="706">
        <f>IF('[4]Tasa de Falla'!HP24="","",'[4]Tasa de Falla'!HP24)</f>
      </c>
      <c r="S25" s="672"/>
      <c r="T25" s="3"/>
    </row>
    <row r="26" spans="2:20" ht="18" customHeight="1">
      <c r="B26" s="2"/>
      <c r="C26" s="703">
        <f>IF('[4]Tasa de Falla'!C25="","",'[4]Tasa de Falla'!C25)</f>
        <v>9</v>
      </c>
      <c r="D26" s="703" t="str">
        <f>IF('[4]Tasa de Falla'!D25="","",'[4]Tasa de Falla'!D25)</f>
        <v>FUTALEUFÚ - PUERTO MADRYN 1</v>
      </c>
      <c r="E26" s="703">
        <f>IF('[4]Tasa de Falla'!E25="","",'[4]Tasa de Falla'!E25)</f>
        <v>330</v>
      </c>
      <c r="F26" s="703">
        <f>IF('[4]Tasa de Falla'!F25="","",'[4]Tasa de Falla'!F25)</f>
        <v>550</v>
      </c>
      <c r="G26" s="704">
        <f>IF('[4]Tasa de Falla'!HE25="","",'[4]Tasa de Falla'!HE25)</f>
      </c>
      <c r="H26" s="704">
        <f>IF('[4]Tasa de Falla'!HF25="","",'[4]Tasa de Falla'!HF25)</f>
      </c>
      <c r="I26" s="704">
        <f>IF('[4]Tasa de Falla'!HG25="","",'[4]Tasa de Falla'!HG25)</f>
      </c>
      <c r="J26" s="704">
        <f>IF('[4]Tasa de Falla'!HH25="","",'[4]Tasa de Falla'!HH25)</f>
      </c>
      <c r="K26" s="704">
        <f>IF('[4]Tasa de Falla'!HI25="","",'[4]Tasa de Falla'!HI25)</f>
      </c>
      <c r="L26" s="704">
        <f>IF('[4]Tasa de Falla'!HJ25="","",'[4]Tasa de Falla'!HJ25)</f>
      </c>
      <c r="M26" s="704">
        <f>IF('[4]Tasa de Falla'!HK25="","",'[4]Tasa de Falla'!HK25)</f>
      </c>
      <c r="N26" s="704">
        <f>IF('[4]Tasa de Falla'!HL25="","",'[4]Tasa de Falla'!HL25)</f>
      </c>
      <c r="O26" s="704">
        <f>IF('[4]Tasa de Falla'!HM25="","",'[4]Tasa de Falla'!HM25)</f>
      </c>
      <c r="P26" s="704">
        <f>IF('[4]Tasa de Falla'!HN25="","",'[4]Tasa de Falla'!HN25)</f>
      </c>
      <c r="Q26" s="704">
        <f>IF('[4]Tasa de Falla'!HO25="","",'[4]Tasa de Falla'!HO25)</f>
      </c>
      <c r="R26" s="704">
        <f>IF('[4]Tasa de Falla'!HP25="","",'[4]Tasa de Falla'!HP25)</f>
      </c>
      <c r="S26" s="672"/>
      <c r="T26" s="3"/>
    </row>
    <row r="27" spans="2:20" ht="15" customHeight="1">
      <c r="B27" s="2"/>
      <c r="C27" s="705">
        <f>IF('[4]Tasa de Falla'!C26="","",'[4]Tasa de Falla'!C26)</f>
        <v>10</v>
      </c>
      <c r="D27" s="705" t="str">
        <f>IF('[4]Tasa de Falla'!D26="","",'[4]Tasa de Falla'!D26)</f>
        <v>FUTALEUFÚ - PUERTO MADRYN 2</v>
      </c>
      <c r="E27" s="705">
        <f>IF('[4]Tasa de Falla'!E26="","",'[4]Tasa de Falla'!E26)</f>
        <v>330</v>
      </c>
      <c r="F27" s="705">
        <f>IF('[4]Tasa de Falla'!F26="","",'[4]Tasa de Falla'!F26)</f>
        <v>550</v>
      </c>
      <c r="G27" s="706">
        <f>IF('[4]Tasa de Falla'!HE26="","",'[4]Tasa de Falla'!HE26)</f>
      </c>
      <c r="H27" s="706">
        <f>IF('[4]Tasa de Falla'!HF26="","",'[4]Tasa de Falla'!HF26)</f>
      </c>
      <c r="I27" s="706">
        <f>IF('[4]Tasa de Falla'!HG26="","",'[4]Tasa de Falla'!HG26)</f>
      </c>
      <c r="J27" s="706">
        <f>IF('[4]Tasa de Falla'!HH26="","",'[4]Tasa de Falla'!HH26)</f>
      </c>
      <c r="K27" s="706">
        <f>IF('[4]Tasa de Falla'!HI26="","",'[4]Tasa de Falla'!HI26)</f>
      </c>
      <c r="L27" s="706">
        <f>IF('[4]Tasa de Falla'!HJ26="","",'[4]Tasa de Falla'!HJ26)</f>
      </c>
      <c r="M27" s="706">
        <f>IF('[4]Tasa de Falla'!HK26="","",'[4]Tasa de Falla'!HK26)</f>
      </c>
      <c r="N27" s="706">
        <f>IF('[4]Tasa de Falla'!HL26="","",'[4]Tasa de Falla'!HL26)</f>
      </c>
      <c r="O27" s="706">
        <f>IF('[4]Tasa de Falla'!HM26="","",'[4]Tasa de Falla'!HM26)</f>
      </c>
      <c r="P27" s="706">
        <f>IF('[4]Tasa de Falla'!HN26="","",'[4]Tasa de Falla'!HN26)</f>
      </c>
      <c r="Q27" s="706">
        <f>IF('[4]Tasa de Falla'!HO26="","",'[4]Tasa de Falla'!HO26)</f>
      </c>
      <c r="R27" s="706">
        <f>IF('[4]Tasa de Falla'!HP26="","",'[4]Tasa de Falla'!HP26)</f>
      </c>
      <c r="S27" s="672"/>
      <c r="T27" s="3"/>
    </row>
    <row r="28" spans="2:20" ht="18" customHeight="1">
      <c r="B28" s="2"/>
      <c r="C28" s="703">
        <f>IF('[4]Tasa de Falla'!C27="","",'[4]Tasa de Falla'!C27)</f>
        <v>11</v>
      </c>
      <c r="D28" s="703" t="str">
        <f>IF('[4]Tasa de Falla'!D27="","",'[4]Tasa de Falla'!D27)</f>
        <v>PLANTA ALUMINIO APPA - PUERTO MADRYN 1</v>
      </c>
      <c r="E28" s="703">
        <f>IF('[4]Tasa de Falla'!E27="","",'[4]Tasa de Falla'!E27)</f>
        <v>330</v>
      </c>
      <c r="F28" s="703">
        <f>IF('[4]Tasa de Falla'!F27="","",'[4]Tasa de Falla'!F27)</f>
        <v>5.5</v>
      </c>
      <c r="G28" s="704">
        <f>IF('[4]Tasa de Falla'!HE27="","",'[4]Tasa de Falla'!HE27)</f>
      </c>
      <c r="H28" s="704">
        <f>IF('[4]Tasa de Falla'!HF27="","",'[4]Tasa de Falla'!HF27)</f>
      </c>
      <c r="I28" s="704">
        <f>IF('[4]Tasa de Falla'!HG27="","",'[4]Tasa de Falla'!HG27)</f>
      </c>
      <c r="J28" s="704">
        <f>IF('[4]Tasa de Falla'!HH27="","",'[4]Tasa de Falla'!HH27)</f>
      </c>
      <c r="K28" s="704">
        <f>IF('[4]Tasa de Falla'!HI27="","",'[4]Tasa de Falla'!HI27)</f>
      </c>
      <c r="L28" s="704">
        <f>IF('[4]Tasa de Falla'!HJ27="","",'[4]Tasa de Falla'!HJ27)</f>
        <v>1</v>
      </c>
      <c r="M28" s="704">
        <f>IF('[4]Tasa de Falla'!HK27="","",'[4]Tasa de Falla'!HK27)</f>
      </c>
      <c r="N28" s="704">
        <f>IF('[4]Tasa de Falla'!HL27="","",'[4]Tasa de Falla'!HL27)</f>
      </c>
      <c r="O28" s="704">
        <f>IF('[4]Tasa de Falla'!HM27="","",'[4]Tasa de Falla'!HM27)</f>
      </c>
      <c r="P28" s="704">
        <f>IF('[4]Tasa de Falla'!HN27="","",'[4]Tasa de Falla'!HN27)</f>
      </c>
      <c r="Q28" s="704">
        <f>IF('[4]Tasa de Falla'!HO27="","",'[4]Tasa de Falla'!HO27)</f>
      </c>
      <c r="R28" s="704">
        <f>IF('[4]Tasa de Falla'!HP27="","",'[4]Tasa de Falla'!HP27)</f>
      </c>
      <c r="S28" s="672"/>
      <c r="T28" s="3"/>
    </row>
    <row r="29" spans="2:20" ht="15" customHeight="1">
      <c r="B29" s="2"/>
      <c r="C29" s="705">
        <f>IF('[4]Tasa de Falla'!C28="","",'[4]Tasa de Falla'!C28)</f>
        <v>12</v>
      </c>
      <c r="D29" s="705" t="str">
        <f>IF('[4]Tasa de Falla'!D28="","",'[4]Tasa de Falla'!D28)</f>
        <v>PLANTA ALUMINIO APPA - PUERTO MADRYN 2</v>
      </c>
      <c r="E29" s="705">
        <f>IF('[4]Tasa de Falla'!E28="","",'[4]Tasa de Falla'!E28)</f>
        <v>330</v>
      </c>
      <c r="F29" s="705">
        <f>IF('[4]Tasa de Falla'!F28="","",'[4]Tasa de Falla'!F28)</f>
        <v>5.5</v>
      </c>
      <c r="G29" s="706">
        <f>IF('[4]Tasa de Falla'!HE28="","",'[4]Tasa de Falla'!HE28)</f>
      </c>
      <c r="H29" s="706">
        <f>IF('[4]Tasa de Falla'!HF28="","",'[4]Tasa de Falla'!HF28)</f>
      </c>
      <c r="I29" s="706">
        <f>IF('[4]Tasa de Falla'!HG28="","",'[4]Tasa de Falla'!HG28)</f>
      </c>
      <c r="J29" s="706">
        <f>IF('[4]Tasa de Falla'!HH28="","",'[4]Tasa de Falla'!HH28)</f>
      </c>
      <c r="K29" s="706">
        <f>IF('[4]Tasa de Falla'!HI28="","",'[4]Tasa de Falla'!HI28)</f>
      </c>
      <c r="L29" s="706">
        <f>IF('[4]Tasa de Falla'!HJ28="","",'[4]Tasa de Falla'!HJ28)</f>
      </c>
      <c r="M29" s="706">
        <f>IF('[4]Tasa de Falla'!HK28="","",'[4]Tasa de Falla'!HK28)</f>
      </c>
      <c r="N29" s="706">
        <f>IF('[4]Tasa de Falla'!HL28="","",'[4]Tasa de Falla'!HL28)</f>
      </c>
      <c r="O29" s="706">
        <f>IF('[4]Tasa de Falla'!HM28="","",'[4]Tasa de Falla'!HM28)</f>
      </c>
      <c r="P29" s="706">
        <f>IF('[4]Tasa de Falla'!HN28="","",'[4]Tasa de Falla'!HN28)</f>
      </c>
      <c r="Q29" s="706">
        <f>IF('[4]Tasa de Falla'!HO28="","",'[4]Tasa de Falla'!HO28)</f>
      </c>
      <c r="R29" s="706">
        <f>IF('[4]Tasa de Falla'!HP28="","",'[4]Tasa de Falla'!HP28)</f>
      </c>
      <c r="S29" s="672"/>
      <c r="T29" s="3"/>
    </row>
    <row r="30" spans="2:20" ht="18" customHeight="1">
      <c r="B30" s="2"/>
      <c r="C30" s="703">
        <f>IF('[4]Tasa de Falla'!C29="","",'[4]Tasa de Falla'!C29)</f>
        <v>13</v>
      </c>
      <c r="D30" s="703" t="str">
        <f>IF('[4]Tasa de Falla'!D29="","",'[4]Tasa de Falla'!D29)</f>
        <v>PICO TRUNCADO I - PICO TRUNCADO II</v>
      </c>
      <c r="E30" s="703">
        <f>IF('[4]Tasa de Falla'!E29="","",'[4]Tasa de Falla'!E29)</f>
        <v>132</v>
      </c>
      <c r="F30" s="703">
        <f>IF('[4]Tasa de Falla'!F29="","",'[4]Tasa de Falla'!F29)</f>
        <v>13.4</v>
      </c>
      <c r="G30" s="704">
        <f>IF('[4]Tasa de Falla'!HE29="","",'[4]Tasa de Falla'!HE29)</f>
      </c>
      <c r="H30" s="704">
        <f>IF('[4]Tasa de Falla'!HF29="","",'[4]Tasa de Falla'!HF29)</f>
      </c>
      <c r="I30" s="704">
        <f>IF('[4]Tasa de Falla'!HG29="","",'[4]Tasa de Falla'!HG29)</f>
      </c>
      <c r="J30" s="704">
        <f>IF('[4]Tasa de Falla'!HH29="","",'[4]Tasa de Falla'!HH29)</f>
      </c>
      <c r="K30" s="704">
        <f>IF('[4]Tasa de Falla'!HI29="","",'[4]Tasa de Falla'!HI29)</f>
      </c>
      <c r="L30" s="704">
        <f>IF('[4]Tasa de Falla'!HJ29="","",'[4]Tasa de Falla'!HJ29)</f>
      </c>
      <c r="M30" s="704">
        <f>IF('[4]Tasa de Falla'!HK29="","",'[4]Tasa de Falla'!HK29)</f>
      </c>
      <c r="N30" s="704">
        <f>IF('[4]Tasa de Falla'!HL29="","",'[4]Tasa de Falla'!HL29)</f>
      </c>
      <c r="O30" s="704">
        <f>IF('[4]Tasa de Falla'!HM29="","",'[4]Tasa de Falla'!HM29)</f>
      </c>
      <c r="P30" s="704">
        <f>IF('[4]Tasa de Falla'!HN29="","",'[4]Tasa de Falla'!HN29)</f>
      </c>
      <c r="Q30" s="704">
        <f>IF('[4]Tasa de Falla'!HO29="","",'[4]Tasa de Falla'!HO29)</f>
      </c>
      <c r="R30" s="704">
        <f>IF('[4]Tasa de Falla'!HP29="","",'[4]Tasa de Falla'!HP29)</f>
      </c>
      <c r="S30" s="672"/>
      <c r="T30" s="3"/>
    </row>
    <row r="31" spans="2:20" ht="15" customHeight="1">
      <c r="B31" s="2"/>
      <c r="C31" s="705">
        <f>IF('[4]Tasa de Falla'!C30="","",'[4]Tasa de Falla'!C30)</f>
        <v>14</v>
      </c>
      <c r="D31" s="705" t="str">
        <f>IF('[4]Tasa de Falla'!D30="","",'[4]Tasa de Falla'!D30)</f>
        <v>PLANTA ALUMINIO DGPA - PTO MADRYN</v>
      </c>
      <c r="E31" s="705">
        <f>IF('[4]Tasa de Falla'!E30="","",'[4]Tasa de Falla'!E30)</f>
        <v>132</v>
      </c>
      <c r="F31" s="705">
        <f>IF('[4]Tasa de Falla'!F30="","",'[4]Tasa de Falla'!F30)</f>
        <v>5.7</v>
      </c>
      <c r="G31" s="706">
        <f>IF('[4]Tasa de Falla'!HE30="","",'[4]Tasa de Falla'!HE30)</f>
        <v>1</v>
      </c>
      <c r="H31" s="706">
        <f>IF('[4]Tasa de Falla'!HF30="","",'[4]Tasa de Falla'!HF30)</f>
      </c>
      <c r="I31" s="706">
        <f>IF('[4]Tasa de Falla'!HG30="","",'[4]Tasa de Falla'!HG30)</f>
      </c>
      <c r="J31" s="706">
        <f>IF('[4]Tasa de Falla'!HH30="","",'[4]Tasa de Falla'!HH30)</f>
      </c>
      <c r="K31" s="706">
        <f>IF('[4]Tasa de Falla'!HI30="","",'[4]Tasa de Falla'!HI30)</f>
      </c>
      <c r="L31" s="706">
        <f>IF('[4]Tasa de Falla'!HJ30="","",'[4]Tasa de Falla'!HJ30)</f>
      </c>
      <c r="M31" s="706">
        <f>IF('[4]Tasa de Falla'!HK30="","",'[4]Tasa de Falla'!HK30)</f>
      </c>
      <c r="N31" s="706">
        <f>IF('[4]Tasa de Falla'!HL30="","",'[4]Tasa de Falla'!HL30)</f>
      </c>
      <c r="O31" s="706">
        <f>IF('[4]Tasa de Falla'!HM30="","",'[4]Tasa de Falla'!HM30)</f>
      </c>
      <c r="P31" s="706">
        <f>IF('[4]Tasa de Falla'!HN30="","",'[4]Tasa de Falla'!HN30)</f>
      </c>
      <c r="Q31" s="706">
        <f>IF('[4]Tasa de Falla'!HO30="","",'[4]Tasa de Falla'!HO30)</f>
        <v>1</v>
      </c>
      <c r="R31" s="706">
        <f>IF('[4]Tasa de Falla'!HP30="","",'[4]Tasa de Falla'!HP30)</f>
      </c>
      <c r="S31" s="672"/>
      <c r="T31" s="3"/>
    </row>
    <row r="32" spans="2:20" ht="18" customHeight="1">
      <c r="B32" s="2"/>
      <c r="C32" s="703">
        <f>IF('[4]Tasa de Falla'!C31="","",'[4]Tasa de Falla'!C31)</f>
        <v>15</v>
      </c>
      <c r="D32" s="703" t="str">
        <f>IF('[4]Tasa de Falla'!D31="","",'[4]Tasa de Falla'!D31)</f>
        <v>PLANTA ALUMINIO DGPA - SS.AA. PTO MADRYN</v>
      </c>
      <c r="E32" s="703">
        <f>IF('[4]Tasa de Falla'!E31="","",'[4]Tasa de Falla'!E31)</f>
        <v>33</v>
      </c>
      <c r="F32" s="703">
        <f>IF('[4]Tasa de Falla'!F31="","",'[4]Tasa de Falla'!F31)</f>
        <v>6</v>
      </c>
      <c r="G32" s="704" t="str">
        <f>IF('[4]Tasa de Falla'!HE31="","",'[4]Tasa de Falla'!HE31)</f>
        <v>XXXX</v>
      </c>
      <c r="H32" s="704" t="str">
        <f>IF('[4]Tasa de Falla'!HF31="","",'[4]Tasa de Falla'!HF31)</f>
        <v>XXXX</v>
      </c>
      <c r="I32" s="704" t="str">
        <f>IF('[4]Tasa de Falla'!HG31="","",'[4]Tasa de Falla'!HG31)</f>
        <v>XXXX</v>
      </c>
      <c r="J32" s="704" t="str">
        <f>IF('[4]Tasa de Falla'!HH31="","",'[4]Tasa de Falla'!HH31)</f>
        <v>XXXX</v>
      </c>
      <c r="K32" s="704" t="str">
        <f>IF('[4]Tasa de Falla'!HI31="","",'[4]Tasa de Falla'!HI31)</f>
        <v>XXXX</v>
      </c>
      <c r="L32" s="704" t="str">
        <f>IF('[4]Tasa de Falla'!HJ31="","",'[4]Tasa de Falla'!HJ31)</f>
        <v>XXXX</v>
      </c>
      <c r="M32" s="704" t="str">
        <f>IF('[4]Tasa de Falla'!HK31="","",'[4]Tasa de Falla'!HK31)</f>
        <v>XXXX</v>
      </c>
      <c r="N32" s="704" t="str">
        <f>IF('[4]Tasa de Falla'!HL31="","",'[4]Tasa de Falla'!HL31)</f>
        <v>XXXX</v>
      </c>
      <c r="O32" s="704" t="str">
        <f>IF('[4]Tasa de Falla'!HM31="","",'[4]Tasa de Falla'!HM31)</f>
        <v>XXXX</v>
      </c>
      <c r="P32" s="704" t="str">
        <f>IF('[4]Tasa de Falla'!HN31="","",'[4]Tasa de Falla'!HN31)</f>
        <v>XXXX</v>
      </c>
      <c r="Q32" s="704" t="str">
        <f>IF('[4]Tasa de Falla'!HO31="","",'[4]Tasa de Falla'!HO31)</f>
        <v>XXXX</v>
      </c>
      <c r="R32" s="704" t="str">
        <f>IF('[4]Tasa de Falla'!HP31="","",'[4]Tasa de Falla'!HP31)</f>
        <v>XXXX</v>
      </c>
      <c r="S32" s="672"/>
      <c r="T32" s="3"/>
    </row>
    <row r="33" spans="2:20" ht="15" customHeight="1">
      <c r="B33" s="2"/>
      <c r="C33" s="705">
        <f>IF('[4]Tasa de Falla'!C32="","",'[4]Tasa de Falla'!C32)</f>
        <v>16</v>
      </c>
      <c r="D33" s="705" t="str">
        <f>IF('[4]Tasa de Falla'!D32="","",'[4]Tasa de Falla'!D32)</f>
        <v>PLANTA ALUMINIO DGPA - TRELEW</v>
      </c>
      <c r="E33" s="705">
        <f>IF('[4]Tasa de Falla'!E32="","",'[4]Tasa de Falla'!E32)</f>
        <v>132</v>
      </c>
      <c r="F33" s="705">
        <f>IF('[4]Tasa de Falla'!F32="","",'[4]Tasa de Falla'!F32)</f>
        <v>62</v>
      </c>
      <c r="G33" s="706">
        <f>IF('[4]Tasa de Falla'!HE32="","",'[4]Tasa de Falla'!HE32)</f>
        <v>1</v>
      </c>
      <c r="H33" s="706">
        <f>IF('[4]Tasa de Falla'!HF32="","",'[4]Tasa de Falla'!HF32)</f>
      </c>
      <c r="I33" s="706">
        <f>IF('[4]Tasa de Falla'!HG32="","",'[4]Tasa de Falla'!HG32)</f>
      </c>
      <c r="J33" s="706">
        <f>IF('[4]Tasa de Falla'!HH32="","",'[4]Tasa de Falla'!HH32)</f>
      </c>
      <c r="K33" s="706">
        <f>IF('[4]Tasa de Falla'!HI32="","",'[4]Tasa de Falla'!HI32)</f>
      </c>
      <c r="L33" s="706">
        <f>IF('[4]Tasa de Falla'!HJ32="","",'[4]Tasa de Falla'!HJ32)</f>
      </c>
      <c r="M33" s="706">
        <f>IF('[4]Tasa de Falla'!HK32="","",'[4]Tasa de Falla'!HK32)</f>
      </c>
      <c r="N33" s="706">
        <f>IF('[4]Tasa de Falla'!HL32="","",'[4]Tasa de Falla'!HL32)</f>
      </c>
      <c r="O33" s="706">
        <f>IF('[4]Tasa de Falla'!HM32="","",'[4]Tasa de Falla'!HM32)</f>
      </c>
      <c r="P33" s="706">
        <f>IF('[4]Tasa de Falla'!HN32="","",'[4]Tasa de Falla'!HN32)</f>
      </c>
      <c r="Q33" s="706">
        <f>IF('[4]Tasa de Falla'!HO32="","",'[4]Tasa de Falla'!HO32)</f>
      </c>
      <c r="R33" s="706">
        <f>IF('[4]Tasa de Falla'!HP32="","",'[4]Tasa de Falla'!HP32)</f>
      </c>
      <c r="S33" s="672"/>
      <c r="T33" s="3"/>
    </row>
    <row r="34" spans="2:20" ht="18" customHeight="1">
      <c r="B34" s="2"/>
      <c r="C34" s="703">
        <f>IF('[4]Tasa de Falla'!C33="","",'[4]Tasa de Falla'!C33)</f>
        <v>17</v>
      </c>
      <c r="D34" s="703" t="str">
        <f>IF('[4]Tasa de Falla'!D33="","",'[4]Tasa de Falla'!D33)</f>
        <v>PUERTO MADRYN - SIERRA GRANDE</v>
      </c>
      <c r="E34" s="703">
        <f>IF('[4]Tasa de Falla'!E33="","",'[4]Tasa de Falla'!E33)</f>
        <v>132</v>
      </c>
      <c r="F34" s="703">
        <f>IF('[4]Tasa de Falla'!F33="","",'[4]Tasa de Falla'!F33)</f>
        <v>121.5</v>
      </c>
      <c r="G34" s="704">
        <f>IF('[4]Tasa de Falla'!HE33="","",'[4]Tasa de Falla'!HE33)</f>
        <v>1</v>
      </c>
      <c r="H34" s="704">
        <f>IF('[4]Tasa de Falla'!HF33="","",'[4]Tasa de Falla'!HF33)</f>
      </c>
      <c r="I34" s="704">
        <f>IF('[4]Tasa de Falla'!HG33="","",'[4]Tasa de Falla'!HG33)</f>
      </c>
      <c r="J34" s="704">
        <f>IF('[4]Tasa de Falla'!HH33="","",'[4]Tasa de Falla'!HH33)</f>
      </c>
      <c r="K34" s="704">
        <f>IF('[4]Tasa de Falla'!HI33="","",'[4]Tasa de Falla'!HI33)</f>
      </c>
      <c r="L34" s="704">
        <f>IF('[4]Tasa de Falla'!HJ33="","",'[4]Tasa de Falla'!HJ33)</f>
      </c>
      <c r="M34" s="704">
        <f>IF('[4]Tasa de Falla'!HK33="","",'[4]Tasa de Falla'!HK33)</f>
        <v>1</v>
      </c>
      <c r="N34" s="704">
        <f>IF('[4]Tasa de Falla'!HL33="","",'[4]Tasa de Falla'!HL33)</f>
      </c>
      <c r="O34" s="704">
        <f>IF('[4]Tasa de Falla'!HM33="","",'[4]Tasa de Falla'!HM33)</f>
      </c>
      <c r="P34" s="704">
        <f>IF('[4]Tasa de Falla'!HN33="","",'[4]Tasa de Falla'!HN33)</f>
      </c>
      <c r="Q34" s="704">
        <f>IF('[4]Tasa de Falla'!HO33="","",'[4]Tasa de Falla'!HO33)</f>
        <v>1</v>
      </c>
      <c r="R34" s="704">
        <f>IF('[4]Tasa de Falla'!HP33="","",'[4]Tasa de Falla'!HP33)</f>
      </c>
      <c r="S34" s="672"/>
      <c r="T34" s="3"/>
    </row>
    <row r="35" spans="2:20" ht="15" customHeight="1">
      <c r="B35" s="2"/>
      <c r="C35" s="705">
        <f>IF('[4]Tasa de Falla'!C34="","",'[4]Tasa de Falla'!C34)</f>
        <v>18</v>
      </c>
      <c r="D35" s="705" t="str">
        <f>IF('[4]Tasa de Falla'!D34="","",'[4]Tasa de Falla'!D34)</f>
        <v>BARRIO SAN MARTIN - A CONEXION "T"</v>
      </c>
      <c r="E35" s="705">
        <f>IF('[4]Tasa de Falla'!E34="","",'[4]Tasa de Falla'!E34)</f>
        <v>132</v>
      </c>
      <c r="F35" s="705">
        <f>IF('[4]Tasa de Falla'!F34="","",'[4]Tasa de Falla'!F34)</f>
        <v>7.5</v>
      </c>
      <c r="G35" s="706" t="str">
        <f>IF('[4]Tasa de Falla'!HE34="","",'[4]Tasa de Falla'!HE34)</f>
        <v>XXXX</v>
      </c>
      <c r="H35" s="706" t="str">
        <f>IF('[4]Tasa de Falla'!HF34="","",'[4]Tasa de Falla'!HF34)</f>
        <v>XXXX</v>
      </c>
      <c r="I35" s="706" t="str">
        <f>IF('[4]Tasa de Falla'!HG34="","",'[4]Tasa de Falla'!HG34)</f>
        <v>XXXX</v>
      </c>
      <c r="J35" s="706" t="str">
        <f>IF('[4]Tasa de Falla'!HH34="","",'[4]Tasa de Falla'!HH34)</f>
        <v>XXXX</v>
      </c>
      <c r="K35" s="706" t="str">
        <f>IF('[4]Tasa de Falla'!HI34="","",'[4]Tasa de Falla'!HI34)</f>
        <v>XXXX</v>
      </c>
      <c r="L35" s="706" t="str">
        <f>IF('[4]Tasa de Falla'!HJ34="","",'[4]Tasa de Falla'!HJ34)</f>
        <v>XXXX</v>
      </c>
      <c r="M35" s="706" t="str">
        <f>IF('[4]Tasa de Falla'!HK34="","",'[4]Tasa de Falla'!HK34)</f>
        <v>XXXX</v>
      </c>
      <c r="N35" s="706" t="str">
        <f>IF('[4]Tasa de Falla'!HL34="","",'[4]Tasa de Falla'!HL34)</f>
        <v>XXXX</v>
      </c>
      <c r="O35" s="706" t="str">
        <f>IF('[4]Tasa de Falla'!HM34="","",'[4]Tasa de Falla'!HM34)</f>
        <v>XXXX</v>
      </c>
      <c r="P35" s="706" t="str">
        <f>IF('[4]Tasa de Falla'!HN34="","",'[4]Tasa de Falla'!HN34)</f>
        <v>XXXX</v>
      </c>
      <c r="Q35" s="706" t="str">
        <f>IF('[4]Tasa de Falla'!HO34="","",'[4]Tasa de Falla'!HO34)</f>
        <v>XXXX</v>
      </c>
      <c r="R35" s="706" t="str">
        <f>IF('[4]Tasa de Falla'!HP34="","",'[4]Tasa de Falla'!HP34)</f>
        <v>XXXX</v>
      </c>
      <c r="S35" s="672"/>
      <c r="T35" s="3"/>
    </row>
    <row r="36" spans="2:20" ht="18" customHeight="1">
      <c r="B36" s="2"/>
      <c r="C36" s="703">
        <f>IF('[4]Tasa de Falla'!C35="","",'[4]Tasa de Falla'!C35)</f>
        <v>19</v>
      </c>
      <c r="D36" s="703" t="str">
        <f>IF('[4]Tasa de Falla'!D35="","",'[4]Tasa de Falla'!D35)</f>
        <v>PICO TRUNCADO I - LAS HERAS</v>
      </c>
      <c r="E36" s="703">
        <f>IF('[4]Tasa de Falla'!E35="","",'[4]Tasa de Falla'!E35)</f>
        <v>132</v>
      </c>
      <c r="F36" s="703">
        <f>IF('[4]Tasa de Falla'!F35="","",'[4]Tasa de Falla'!F35)</f>
        <v>82.5</v>
      </c>
      <c r="G36" s="704" t="str">
        <f>IF('[4]Tasa de Falla'!HE35="","",'[4]Tasa de Falla'!HE35)</f>
        <v>XXXX</v>
      </c>
      <c r="H36" s="704" t="str">
        <f>IF('[4]Tasa de Falla'!HF35="","",'[4]Tasa de Falla'!HF35)</f>
        <v>XXXX</v>
      </c>
      <c r="I36" s="704" t="str">
        <f>IF('[4]Tasa de Falla'!HG35="","",'[4]Tasa de Falla'!HG35)</f>
        <v>XXXX</v>
      </c>
      <c r="J36" s="704" t="str">
        <f>IF('[4]Tasa de Falla'!HH35="","",'[4]Tasa de Falla'!HH35)</f>
        <v>XXXX</v>
      </c>
      <c r="K36" s="704" t="str">
        <f>IF('[4]Tasa de Falla'!HI35="","",'[4]Tasa de Falla'!HI35)</f>
        <v>XXXX</v>
      </c>
      <c r="L36" s="704" t="str">
        <f>IF('[4]Tasa de Falla'!HJ35="","",'[4]Tasa de Falla'!HJ35)</f>
        <v>XXXX</v>
      </c>
      <c r="M36" s="704" t="str">
        <f>IF('[4]Tasa de Falla'!HK35="","",'[4]Tasa de Falla'!HK35)</f>
        <v>XXXX</v>
      </c>
      <c r="N36" s="704" t="str">
        <f>IF('[4]Tasa de Falla'!HL35="","",'[4]Tasa de Falla'!HL35)</f>
        <v>XXXX</v>
      </c>
      <c r="O36" s="704" t="str">
        <f>IF('[4]Tasa de Falla'!HM35="","",'[4]Tasa de Falla'!HM35)</f>
        <v>XXXX</v>
      </c>
      <c r="P36" s="704" t="str">
        <f>IF('[4]Tasa de Falla'!HN35="","",'[4]Tasa de Falla'!HN35)</f>
        <v>XXXX</v>
      </c>
      <c r="Q36" s="704" t="str">
        <f>IF('[4]Tasa de Falla'!HO35="","",'[4]Tasa de Falla'!HO35)</f>
        <v>XXXX</v>
      </c>
      <c r="R36" s="704" t="str">
        <f>IF('[4]Tasa de Falla'!HP35="","",'[4]Tasa de Falla'!HP35)</f>
        <v>XXXX</v>
      </c>
      <c r="S36" s="672"/>
      <c r="T36" s="3"/>
    </row>
    <row r="37" spans="2:20" ht="15" customHeight="1">
      <c r="B37" s="2"/>
      <c r="C37" s="705">
        <f>IF('[4]Tasa de Falla'!C36="","",'[4]Tasa de Falla'!C36)</f>
        <v>20</v>
      </c>
      <c r="D37" s="705" t="str">
        <f>IF('[4]Tasa de Falla'!D36="","",'[4]Tasa de Falla'!D36)</f>
        <v>LAS HERAS - LOS PERALES</v>
      </c>
      <c r="E37" s="705">
        <f>IF('[4]Tasa de Falla'!E36="","",'[4]Tasa de Falla'!E36)</f>
        <v>132</v>
      </c>
      <c r="F37" s="705">
        <f>IF('[4]Tasa de Falla'!F36="","",'[4]Tasa de Falla'!F36)</f>
        <v>47</v>
      </c>
      <c r="G37" s="706">
        <f>IF('[4]Tasa de Falla'!HE36="","",'[4]Tasa de Falla'!HE36)</f>
      </c>
      <c r="H37" s="706">
        <f>IF('[4]Tasa de Falla'!HF36="","",'[4]Tasa de Falla'!HF36)</f>
      </c>
      <c r="I37" s="706">
        <f>IF('[4]Tasa de Falla'!HG36="","",'[4]Tasa de Falla'!HG36)</f>
      </c>
      <c r="J37" s="706">
        <f>IF('[4]Tasa de Falla'!HH36="","",'[4]Tasa de Falla'!HH36)</f>
      </c>
      <c r="K37" s="706">
        <f>IF('[4]Tasa de Falla'!HI36="","",'[4]Tasa de Falla'!HI36)</f>
      </c>
      <c r="L37" s="706">
        <f>IF('[4]Tasa de Falla'!HJ36="","",'[4]Tasa de Falla'!HJ36)</f>
      </c>
      <c r="M37" s="706">
        <f>IF('[4]Tasa de Falla'!HK36="","",'[4]Tasa de Falla'!HK36)</f>
      </c>
      <c r="N37" s="706">
        <f>IF('[4]Tasa de Falla'!HL36="","",'[4]Tasa de Falla'!HL36)</f>
      </c>
      <c r="O37" s="706">
        <f>IF('[4]Tasa de Falla'!HM36="","",'[4]Tasa de Falla'!HM36)</f>
      </c>
      <c r="P37" s="706">
        <f>IF('[4]Tasa de Falla'!HN36="","",'[4]Tasa de Falla'!HN36)</f>
      </c>
      <c r="Q37" s="706">
        <f>IF('[4]Tasa de Falla'!HO36="","",'[4]Tasa de Falla'!HO36)</f>
      </c>
      <c r="R37" s="706">
        <f>IF('[4]Tasa de Falla'!HP36="","",'[4]Tasa de Falla'!HP36)</f>
      </c>
      <c r="S37" s="672"/>
      <c r="T37" s="3"/>
    </row>
    <row r="38" spans="2:20" ht="18" customHeight="1">
      <c r="B38" s="2"/>
      <c r="C38" s="703">
        <f>IF('[4]Tasa de Falla'!C37="","",'[4]Tasa de Falla'!C37)</f>
        <v>21</v>
      </c>
      <c r="D38" s="703" t="str">
        <f>IF('[4]Tasa de Falla'!D37="","",'[4]Tasa de Falla'!D37)</f>
        <v>N. P. MADRYN - P. MADRYN 330 kV</v>
      </c>
      <c r="E38" s="703">
        <f>IF('[4]Tasa de Falla'!E37="","",'[4]Tasa de Falla'!E37)</f>
        <v>330</v>
      </c>
      <c r="F38" s="703">
        <f>IF('[4]Tasa de Falla'!F37="","",'[4]Tasa de Falla'!F37)</f>
        <v>0.47</v>
      </c>
      <c r="G38" s="704">
        <f>IF('[4]Tasa de Falla'!HE37="","",'[4]Tasa de Falla'!HE37)</f>
      </c>
      <c r="H38" s="704">
        <f>IF('[4]Tasa de Falla'!HF37="","",'[4]Tasa de Falla'!HF37)</f>
      </c>
      <c r="I38" s="704">
        <f>IF('[4]Tasa de Falla'!HG37="","",'[4]Tasa de Falla'!HG37)</f>
      </c>
      <c r="J38" s="704">
        <f>IF('[4]Tasa de Falla'!HH37="","",'[4]Tasa de Falla'!HH37)</f>
      </c>
      <c r="K38" s="704">
        <f>IF('[4]Tasa de Falla'!HI37="","",'[4]Tasa de Falla'!HI37)</f>
      </c>
      <c r="L38" s="704">
        <f>IF('[4]Tasa de Falla'!HJ37="","",'[4]Tasa de Falla'!HJ37)</f>
      </c>
      <c r="M38" s="704">
        <f>IF('[4]Tasa de Falla'!HK37="","",'[4]Tasa de Falla'!HK37)</f>
      </c>
      <c r="N38" s="704">
        <f>IF('[4]Tasa de Falla'!HL37="","",'[4]Tasa de Falla'!HL37)</f>
      </c>
      <c r="O38" s="704">
        <f>IF('[4]Tasa de Falla'!HM37="","",'[4]Tasa de Falla'!HM37)</f>
      </c>
      <c r="P38" s="704">
        <f>IF('[4]Tasa de Falla'!HN37="","",'[4]Tasa de Falla'!HN37)</f>
      </c>
      <c r="Q38" s="704">
        <f>IF('[4]Tasa de Falla'!HO37="","",'[4]Tasa de Falla'!HO37)</f>
      </c>
      <c r="R38" s="704">
        <f>IF('[4]Tasa de Falla'!HP37="","",'[4]Tasa de Falla'!HP37)</f>
      </c>
      <c r="S38" s="672"/>
      <c r="T38" s="3"/>
    </row>
    <row r="39" spans="2:20" ht="15" customHeight="1">
      <c r="B39" s="2"/>
      <c r="C39" s="705">
        <f>IF('[4]Tasa de Falla'!C38="","",'[4]Tasa de Falla'!C38)</f>
        <v>31</v>
      </c>
      <c r="D39" s="705" t="str">
        <f>IF('[4]Tasa de Falla'!D38="","",'[4]Tasa de Falla'!D38)</f>
        <v>LAS HERAS - MINA SAN JOSE</v>
      </c>
      <c r="E39" s="705">
        <f>IF('[4]Tasa de Falla'!E38="","",'[4]Tasa de Falla'!E38)</f>
        <v>132</v>
      </c>
      <c r="F39" s="705">
        <f>IF('[4]Tasa de Falla'!F38="","",'[4]Tasa de Falla'!F38)</f>
        <v>128</v>
      </c>
      <c r="G39" s="706">
        <f>IF('[4]Tasa de Falla'!HE38="","",'[4]Tasa de Falla'!HE38)</f>
      </c>
      <c r="H39" s="706">
        <f>IF('[4]Tasa de Falla'!HF38="","",'[4]Tasa de Falla'!HF38)</f>
      </c>
      <c r="I39" s="706">
        <f>IF('[4]Tasa de Falla'!HG38="","",'[4]Tasa de Falla'!HG38)</f>
      </c>
      <c r="J39" s="706">
        <f>IF('[4]Tasa de Falla'!HH38="","",'[4]Tasa de Falla'!HH38)</f>
      </c>
      <c r="K39" s="706">
        <f>IF('[4]Tasa de Falla'!HI38="","",'[4]Tasa de Falla'!HI38)</f>
      </c>
      <c r="L39" s="706">
        <f>IF('[4]Tasa de Falla'!HJ38="","",'[4]Tasa de Falla'!HJ38)</f>
      </c>
      <c r="M39" s="706">
        <f>IF('[4]Tasa de Falla'!HK38="","",'[4]Tasa de Falla'!HK38)</f>
      </c>
      <c r="N39" s="706">
        <f>IF('[4]Tasa de Falla'!HL38="","",'[4]Tasa de Falla'!HL38)</f>
      </c>
      <c r="O39" s="706">
        <f>IF('[4]Tasa de Falla'!HM38="","",'[4]Tasa de Falla'!HM38)</f>
      </c>
      <c r="P39" s="706">
        <f>IF('[4]Tasa de Falla'!HN38="","",'[4]Tasa de Falla'!HN38)</f>
      </c>
      <c r="Q39" s="706">
        <f>IF('[4]Tasa de Falla'!HO38="","",'[4]Tasa de Falla'!HO38)</f>
      </c>
      <c r="R39" s="706">
        <f>IF('[4]Tasa de Falla'!HP38="","",'[4]Tasa de Falla'!HP38)</f>
      </c>
      <c r="S39" s="672"/>
      <c r="T39" s="3"/>
    </row>
    <row r="40" spans="2:20" ht="18" customHeight="1">
      <c r="B40" s="2"/>
      <c r="C40" s="703">
        <f>IF('[4]Tasa de Falla'!C39="","",'[4]Tasa de Falla'!C39)</f>
        <v>27</v>
      </c>
      <c r="D40" s="703" t="str">
        <f>IF('[4]Tasa de Falla'!D39="","",'[4]Tasa de Falla'!D39)</f>
        <v>PAMPA DEL CASTILLO - EL TORDILLO</v>
      </c>
      <c r="E40" s="703">
        <f>IF('[4]Tasa de Falla'!E39="","",'[4]Tasa de Falla'!E39)</f>
        <v>132</v>
      </c>
      <c r="F40" s="703">
        <f>IF('[4]Tasa de Falla'!F39="","",'[4]Tasa de Falla'!F39)</f>
        <v>8.9</v>
      </c>
      <c r="G40" s="704">
        <f>IF('[4]Tasa de Falla'!HE39="","",'[4]Tasa de Falla'!HE39)</f>
      </c>
      <c r="H40" s="704">
        <f>IF('[4]Tasa de Falla'!HF39="","",'[4]Tasa de Falla'!HF39)</f>
      </c>
      <c r="I40" s="704">
        <f>IF('[4]Tasa de Falla'!HG39="","",'[4]Tasa de Falla'!HG39)</f>
      </c>
      <c r="J40" s="704">
        <f>IF('[4]Tasa de Falla'!HH39="","",'[4]Tasa de Falla'!HH39)</f>
      </c>
      <c r="K40" s="704">
        <f>IF('[4]Tasa de Falla'!HI39="","",'[4]Tasa de Falla'!HI39)</f>
      </c>
      <c r="L40" s="704">
        <f>IF('[4]Tasa de Falla'!HJ39="","",'[4]Tasa de Falla'!HJ39)</f>
      </c>
      <c r="M40" s="704">
        <f>IF('[4]Tasa de Falla'!HK39="","",'[4]Tasa de Falla'!HK39)</f>
      </c>
      <c r="N40" s="704">
        <f>IF('[4]Tasa de Falla'!HL39="","",'[4]Tasa de Falla'!HL39)</f>
      </c>
      <c r="O40" s="704">
        <f>IF('[4]Tasa de Falla'!HM39="","",'[4]Tasa de Falla'!HM39)</f>
      </c>
      <c r="P40" s="704">
        <f>IF('[4]Tasa de Falla'!HN39="","",'[4]Tasa de Falla'!HN39)</f>
      </c>
      <c r="Q40" s="704">
        <f>IF('[4]Tasa de Falla'!HO39="","",'[4]Tasa de Falla'!HO39)</f>
      </c>
      <c r="R40" s="704">
        <f>IF('[4]Tasa de Falla'!HP39="","",'[4]Tasa de Falla'!HP39)</f>
      </c>
      <c r="S40" s="672"/>
      <c r="T40" s="3"/>
    </row>
    <row r="41" spans="2:20" ht="15" customHeight="1">
      <c r="B41" s="2"/>
      <c r="C41" s="705">
        <f>IF('[4]Tasa de Falla'!C40="","",'[4]Tasa de Falla'!C40)</f>
        <v>28</v>
      </c>
      <c r="D41" s="705" t="str">
        <f>IF('[4]Tasa de Falla'!D40="","",'[4]Tasa de Falla'!D40)</f>
        <v>PLANTA ALUMINIO APPA - PUERTO MADRYN 3</v>
      </c>
      <c r="E41" s="705">
        <f>IF('[4]Tasa de Falla'!E40="","",'[4]Tasa de Falla'!E40)</f>
        <v>330</v>
      </c>
      <c r="F41" s="705">
        <f>IF('[4]Tasa de Falla'!F40="","",'[4]Tasa de Falla'!F40)</f>
        <v>4.9</v>
      </c>
      <c r="G41" s="706">
        <f>IF('[4]Tasa de Falla'!HE40="","",'[4]Tasa de Falla'!HE40)</f>
      </c>
      <c r="H41" s="706">
        <f>IF('[4]Tasa de Falla'!HF40="","",'[4]Tasa de Falla'!HF40)</f>
      </c>
      <c r="I41" s="706">
        <f>IF('[4]Tasa de Falla'!HG40="","",'[4]Tasa de Falla'!HG40)</f>
      </c>
      <c r="J41" s="706">
        <f>IF('[4]Tasa de Falla'!HH40="","",'[4]Tasa de Falla'!HH40)</f>
      </c>
      <c r="K41" s="706">
        <f>IF('[4]Tasa de Falla'!HI40="","",'[4]Tasa de Falla'!HI40)</f>
      </c>
      <c r="L41" s="706">
        <f>IF('[4]Tasa de Falla'!HJ40="","",'[4]Tasa de Falla'!HJ40)</f>
      </c>
      <c r="M41" s="706">
        <f>IF('[4]Tasa de Falla'!HK40="","",'[4]Tasa de Falla'!HK40)</f>
      </c>
      <c r="N41" s="706">
        <f>IF('[4]Tasa de Falla'!HL40="","",'[4]Tasa de Falla'!HL40)</f>
      </c>
      <c r="O41" s="706">
        <f>IF('[4]Tasa de Falla'!HM40="","",'[4]Tasa de Falla'!HM40)</f>
      </c>
      <c r="P41" s="706">
        <f>IF('[4]Tasa de Falla'!HN40="","",'[4]Tasa de Falla'!HN40)</f>
      </c>
      <c r="Q41" s="706">
        <f>IF('[4]Tasa de Falla'!HO40="","",'[4]Tasa de Falla'!HO40)</f>
      </c>
      <c r="R41" s="706">
        <f>IF('[4]Tasa de Falla'!HP40="","",'[4]Tasa de Falla'!HP40)</f>
      </c>
      <c r="S41" s="672"/>
      <c r="T41" s="3"/>
    </row>
    <row r="42" spans="2:20" ht="18" customHeight="1">
      <c r="B42" s="2"/>
      <c r="C42" s="703">
        <f>IF('[4]Tasa de Falla'!C41="","",'[4]Tasa de Falla'!C41)</f>
        <v>30</v>
      </c>
      <c r="D42" s="703" t="str">
        <f>IF('[4]Tasa de Falla'!D41="","",'[4]Tasa de Falla'!D41)</f>
        <v>TRELEW - RAWSON</v>
      </c>
      <c r="E42" s="703">
        <f>IF('[4]Tasa de Falla'!E41="","",'[4]Tasa de Falla'!E41)</f>
        <v>132</v>
      </c>
      <c r="F42" s="703">
        <f>IF('[4]Tasa de Falla'!F41="","",'[4]Tasa de Falla'!F41)</f>
        <v>21.8</v>
      </c>
      <c r="G42" s="704">
        <f>IF('[4]Tasa de Falla'!HE41="","",'[4]Tasa de Falla'!HE41)</f>
      </c>
      <c r="H42" s="704">
        <f>IF('[4]Tasa de Falla'!HF41="","",'[4]Tasa de Falla'!HF41)</f>
      </c>
      <c r="I42" s="704">
        <f>IF('[4]Tasa de Falla'!HG41="","",'[4]Tasa de Falla'!HG41)</f>
        <v>1</v>
      </c>
      <c r="J42" s="704">
        <f>IF('[4]Tasa de Falla'!HH41="","",'[4]Tasa de Falla'!HH41)</f>
      </c>
      <c r="K42" s="704">
        <f>IF('[4]Tasa de Falla'!HI41="","",'[4]Tasa de Falla'!HI41)</f>
      </c>
      <c r="L42" s="704">
        <f>IF('[4]Tasa de Falla'!HJ41="","",'[4]Tasa de Falla'!HJ41)</f>
      </c>
      <c r="M42" s="704">
        <f>IF('[4]Tasa de Falla'!HK41="","",'[4]Tasa de Falla'!HK41)</f>
      </c>
      <c r="N42" s="704">
        <f>IF('[4]Tasa de Falla'!HL41="","",'[4]Tasa de Falla'!HL41)</f>
      </c>
      <c r="O42" s="704">
        <f>IF('[4]Tasa de Falla'!HM41="","",'[4]Tasa de Falla'!HM41)</f>
      </c>
      <c r="P42" s="704">
        <f>IF('[4]Tasa de Falla'!HN41="","",'[4]Tasa de Falla'!HN41)</f>
      </c>
      <c r="Q42" s="704">
        <f>IF('[4]Tasa de Falla'!HO41="","",'[4]Tasa de Falla'!HO41)</f>
      </c>
      <c r="R42" s="704">
        <f>IF('[4]Tasa de Falla'!HP41="","",'[4]Tasa de Falla'!HP41)</f>
      </c>
      <c r="S42" s="672"/>
      <c r="T42" s="3"/>
    </row>
    <row r="43" spans="2:20" ht="15" customHeight="1">
      <c r="B43" s="2"/>
      <c r="C43" s="705">
        <f>IF('[4]Tasa de Falla'!C42="","",'[4]Tasa de Falla'!C42)</f>
        <v>37</v>
      </c>
      <c r="D43" s="705" t="str">
        <f>IF('[4]Tasa de Falla'!D42="","",'[4]Tasa de Falla'!D42)</f>
        <v>PICO TRUNCADO 1 - SANTA CRUZ NORTE     1</v>
      </c>
      <c r="E43" s="705">
        <f>IF('[4]Tasa de Falla'!E42="","",'[4]Tasa de Falla'!E42)</f>
        <v>132</v>
      </c>
      <c r="F43" s="705">
        <f>IF('[4]Tasa de Falla'!F42="","",'[4]Tasa de Falla'!F42)</f>
        <v>2.5</v>
      </c>
      <c r="G43" s="706">
        <f>IF('[4]Tasa de Falla'!HE42="","",'[4]Tasa de Falla'!HE42)</f>
      </c>
      <c r="H43" s="706">
        <f>IF('[4]Tasa de Falla'!HF42="","",'[4]Tasa de Falla'!HF42)</f>
      </c>
      <c r="I43" s="706">
        <f>IF('[4]Tasa de Falla'!HG42="","",'[4]Tasa de Falla'!HG42)</f>
      </c>
      <c r="J43" s="706">
        <f>IF('[4]Tasa de Falla'!HH42="","",'[4]Tasa de Falla'!HH42)</f>
      </c>
      <c r="K43" s="706">
        <f>IF('[4]Tasa de Falla'!HI42="","",'[4]Tasa de Falla'!HI42)</f>
      </c>
      <c r="L43" s="706">
        <f>IF('[4]Tasa de Falla'!HJ42="","",'[4]Tasa de Falla'!HJ42)</f>
      </c>
      <c r="M43" s="706">
        <f>IF('[4]Tasa de Falla'!HK42="","",'[4]Tasa de Falla'!HK42)</f>
      </c>
      <c r="N43" s="706">
        <f>IF('[4]Tasa de Falla'!HL42="","",'[4]Tasa de Falla'!HL42)</f>
      </c>
      <c r="O43" s="706">
        <f>IF('[4]Tasa de Falla'!HM42="","",'[4]Tasa de Falla'!HM42)</f>
      </c>
      <c r="P43" s="706">
        <f>IF('[4]Tasa de Falla'!HN42="","",'[4]Tasa de Falla'!HN42)</f>
      </c>
      <c r="Q43" s="706">
        <f>IF('[4]Tasa de Falla'!HO42="","",'[4]Tasa de Falla'!HO42)</f>
      </c>
      <c r="R43" s="706">
        <f>IF('[4]Tasa de Falla'!HP42="","",'[4]Tasa de Falla'!HP42)</f>
        <v>1</v>
      </c>
      <c r="S43" s="672"/>
      <c r="T43" s="3"/>
    </row>
    <row r="44" spans="2:20" ht="18" customHeight="1">
      <c r="B44" s="2"/>
      <c r="C44" s="703">
        <f>IF('[4]Tasa de Falla'!C43="","",'[4]Tasa de Falla'!C43)</f>
        <v>38</v>
      </c>
      <c r="D44" s="703" t="str">
        <f>IF('[4]Tasa de Falla'!D43="","",'[4]Tasa de Falla'!D43)</f>
        <v>PICO TRUNCADO 1 - SANTA CRUZ NORTE     2</v>
      </c>
      <c r="E44" s="703">
        <f>IF('[4]Tasa de Falla'!E43="","",'[4]Tasa de Falla'!E43)</f>
        <v>132</v>
      </c>
      <c r="F44" s="703">
        <f>IF('[4]Tasa de Falla'!F43="","",'[4]Tasa de Falla'!F43)</f>
        <v>2.5</v>
      </c>
      <c r="G44" s="704">
        <f>IF('[4]Tasa de Falla'!HE43="","",'[4]Tasa de Falla'!HE43)</f>
      </c>
      <c r="H44" s="704">
        <f>IF('[4]Tasa de Falla'!HF43="","",'[4]Tasa de Falla'!HF43)</f>
      </c>
      <c r="I44" s="704">
        <f>IF('[4]Tasa de Falla'!HG43="","",'[4]Tasa de Falla'!HG43)</f>
      </c>
      <c r="J44" s="704">
        <f>IF('[4]Tasa de Falla'!HH43="","",'[4]Tasa de Falla'!HH43)</f>
      </c>
      <c r="K44" s="704">
        <f>IF('[4]Tasa de Falla'!HI43="","",'[4]Tasa de Falla'!HI43)</f>
      </c>
      <c r="L44" s="704">
        <f>IF('[4]Tasa de Falla'!HJ43="","",'[4]Tasa de Falla'!HJ43)</f>
      </c>
      <c r="M44" s="704">
        <f>IF('[4]Tasa de Falla'!HK43="","",'[4]Tasa de Falla'!HK43)</f>
      </c>
      <c r="N44" s="704">
        <f>IF('[4]Tasa de Falla'!HL43="","",'[4]Tasa de Falla'!HL43)</f>
      </c>
      <c r="O44" s="704">
        <f>IF('[4]Tasa de Falla'!HM43="","",'[4]Tasa de Falla'!HM43)</f>
      </c>
      <c r="P44" s="704">
        <f>IF('[4]Tasa de Falla'!HN43="","",'[4]Tasa de Falla'!HN43)</f>
      </c>
      <c r="Q44" s="704">
        <f>IF('[4]Tasa de Falla'!HO43="","",'[4]Tasa de Falla'!HO43)</f>
      </c>
      <c r="R44" s="704">
        <f>IF('[4]Tasa de Falla'!HP43="","",'[4]Tasa de Falla'!HP43)</f>
      </c>
      <c r="S44" s="672"/>
      <c r="T44" s="3"/>
    </row>
    <row r="45" spans="2:20" ht="15" customHeight="1">
      <c r="B45" s="2"/>
      <c r="C45" s="705">
        <f>IF('[4]Tasa de Falla'!C44="","",'[4]Tasa de Falla'!C44)</f>
        <v>39</v>
      </c>
      <c r="D45" s="705" t="str">
        <f>IF('[4]Tasa de Falla'!D44="","",'[4]Tasa de Falla'!D44)</f>
        <v>LAS HERAS - SANTA CRUZ NORTE</v>
      </c>
      <c r="E45" s="705">
        <f>IF('[4]Tasa de Falla'!E44="","",'[4]Tasa de Falla'!E44)</f>
        <v>132</v>
      </c>
      <c r="F45" s="705">
        <f>IF('[4]Tasa de Falla'!F44="","",'[4]Tasa de Falla'!F44)</f>
        <v>80</v>
      </c>
      <c r="G45" s="706">
        <f>IF('[4]Tasa de Falla'!HE44="","",'[4]Tasa de Falla'!HE44)</f>
      </c>
      <c r="H45" s="706">
        <f>IF('[4]Tasa de Falla'!HF44="","",'[4]Tasa de Falla'!HF44)</f>
      </c>
      <c r="I45" s="706">
        <f>IF('[4]Tasa de Falla'!HG44="","",'[4]Tasa de Falla'!HG44)</f>
      </c>
      <c r="J45" s="706">
        <f>IF('[4]Tasa de Falla'!HH44="","",'[4]Tasa de Falla'!HH44)</f>
      </c>
      <c r="K45" s="706">
        <f>IF('[4]Tasa de Falla'!HI44="","",'[4]Tasa de Falla'!HI44)</f>
      </c>
      <c r="L45" s="706">
        <f>IF('[4]Tasa de Falla'!HJ44="","",'[4]Tasa de Falla'!HJ44)</f>
      </c>
      <c r="M45" s="706">
        <f>IF('[4]Tasa de Falla'!HK44="","",'[4]Tasa de Falla'!HK44)</f>
      </c>
      <c r="N45" s="706">
        <f>IF('[4]Tasa de Falla'!HL44="","",'[4]Tasa de Falla'!HL44)</f>
      </c>
      <c r="O45" s="706">
        <f>IF('[4]Tasa de Falla'!HM44="","",'[4]Tasa de Falla'!HM44)</f>
      </c>
      <c r="P45" s="706">
        <f>IF('[4]Tasa de Falla'!HN44="","",'[4]Tasa de Falla'!HN44)</f>
      </c>
      <c r="Q45" s="706">
        <f>IF('[4]Tasa de Falla'!HO44="","",'[4]Tasa de Falla'!HO44)</f>
      </c>
      <c r="R45" s="706">
        <f>IF('[4]Tasa de Falla'!HP44="","",'[4]Tasa de Falla'!HP44)</f>
      </c>
      <c r="S45" s="672"/>
      <c r="T45" s="3"/>
    </row>
    <row r="46" spans="2:20" ht="15" customHeight="1">
      <c r="B46" s="2"/>
      <c r="C46" s="703">
        <f>IF('[4]Tasa de Falla'!C45="","",'[4]Tasa de Falla'!C45)</f>
        <v>40</v>
      </c>
      <c r="D46" s="703" t="str">
        <f>IF('[4]Tasa de Falla'!D45="","",'[4]Tasa de Falla'!D45)</f>
        <v>RAWSON-RAWSONG1 </v>
      </c>
      <c r="E46" s="703">
        <f>IF('[4]Tasa de Falla'!E45="","",'[4]Tasa de Falla'!E45)</f>
        <v>132</v>
      </c>
      <c r="F46" s="703">
        <f>IF('[4]Tasa de Falla'!F45="","",'[4]Tasa de Falla'!F45)</f>
        <v>7.2</v>
      </c>
      <c r="G46" s="704">
        <f>IF('[4]Tasa de Falla'!HE45="","",'[4]Tasa de Falla'!HE45)</f>
      </c>
      <c r="H46" s="704">
        <f>IF('[4]Tasa de Falla'!HF45="","",'[4]Tasa de Falla'!HF45)</f>
      </c>
      <c r="I46" s="704">
        <f>IF('[4]Tasa de Falla'!HG45="","",'[4]Tasa de Falla'!HG45)</f>
      </c>
      <c r="J46" s="704">
        <f>IF('[4]Tasa de Falla'!HH45="","",'[4]Tasa de Falla'!HH45)</f>
      </c>
      <c r="K46" s="704">
        <f>IF('[4]Tasa de Falla'!HI45="","",'[4]Tasa de Falla'!HI45)</f>
      </c>
      <c r="L46" s="704">
        <f>IF('[4]Tasa de Falla'!HJ45="","",'[4]Tasa de Falla'!HJ45)</f>
      </c>
      <c r="M46" s="704">
        <f>IF('[4]Tasa de Falla'!HK45="","",'[4]Tasa de Falla'!HK45)</f>
      </c>
      <c r="N46" s="704">
        <f>IF('[4]Tasa de Falla'!HL45="","",'[4]Tasa de Falla'!HL45)</f>
      </c>
      <c r="O46" s="704">
        <f>IF('[4]Tasa de Falla'!HM45="","",'[4]Tasa de Falla'!HM45)</f>
      </c>
      <c r="P46" s="704">
        <f>IF('[4]Tasa de Falla'!HN45="","",'[4]Tasa de Falla'!HN45)</f>
      </c>
      <c r="Q46" s="704">
        <f>IF('[4]Tasa de Falla'!HO45="","",'[4]Tasa de Falla'!HO45)</f>
      </c>
      <c r="R46" s="704">
        <f>IF('[4]Tasa de Falla'!HP45="","",'[4]Tasa de Falla'!HP45)</f>
      </c>
      <c r="S46" s="672"/>
      <c r="T46" s="3"/>
    </row>
    <row r="47" spans="2:20" ht="15" customHeight="1">
      <c r="B47" s="2"/>
      <c r="C47" s="703">
        <f>IF('[4]Tasa de Falla'!C46="","",'[4]Tasa de Falla'!C46)</f>
      </c>
      <c r="D47" s="703">
        <f>IF('[4]Tasa de Falla'!D46="","",'[4]Tasa de Falla'!D46)</f>
      </c>
      <c r="E47" s="703">
        <f>IF('[4]Tasa de Falla'!E46="","",'[4]Tasa de Falla'!E46)</f>
      </c>
      <c r="F47" s="703">
        <f>IF('[4]Tasa de Falla'!F46="","",'[4]Tasa de Falla'!F46)</f>
      </c>
      <c r="G47" s="704">
        <f>IF('[4]Tasa de Falla'!HE46="","",'[4]Tasa de Falla'!HE46)</f>
      </c>
      <c r="H47" s="704">
        <f>IF('[4]Tasa de Falla'!HF46="","",'[4]Tasa de Falla'!HF46)</f>
      </c>
      <c r="I47" s="704">
        <f>IF('[4]Tasa de Falla'!HG46="","",'[4]Tasa de Falla'!HG46)</f>
      </c>
      <c r="J47" s="704">
        <f>IF('[4]Tasa de Falla'!HH46="","",'[4]Tasa de Falla'!HH46)</f>
      </c>
      <c r="K47" s="704">
        <f>IF('[4]Tasa de Falla'!HI46="","",'[4]Tasa de Falla'!HI46)</f>
      </c>
      <c r="L47" s="704">
        <f>IF('[4]Tasa de Falla'!HJ46="","",'[4]Tasa de Falla'!HJ46)</f>
      </c>
      <c r="M47" s="704">
        <f>IF('[4]Tasa de Falla'!HK46="","",'[4]Tasa de Falla'!HK46)</f>
      </c>
      <c r="N47" s="704">
        <f>IF('[4]Tasa de Falla'!HL46="","",'[4]Tasa de Falla'!HL46)</f>
      </c>
      <c r="O47" s="704">
        <f>IF('[4]Tasa de Falla'!HM46="","",'[4]Tasa de Falla'!HM46)</f>
      </c>
      <c r="P47" s="704">
        <f>IF('[4]Tasa de Falla'!HN46="","",'[4]Tasa de Falla'!HN46)</f>
      </c>
      <c r="Q47" s="704">
        <f>IF('[4]Tasa de Falla'!HO46="","",'[4]Tasa de Falla'!HO46)</f>
      </c>
      <c r="R47" s="704">
        <f>IF('[4]Tasa de Falla'!HP46="","",'[4]Tasa de Falla'!HP46)</f>
      </c>
      <c r="S47" s="672"/>
      <c r="T47" s="3"/>
    </row>
    <row r="48" spans="2:20" ht="15" customHeight="1">
      <c r="B48" s="2"/>
      <c r="C48" s="705">
        <f>IF('[4]Tasa de Falla'!C47="","",'[4]Tasa de Falla'!C47)</f>
        <v>19</v>
      </c>
      <c r="D48" s="705" t="str">
        <f>IF('[4]Tasa de Falla'!D47="","",'[4]Tasa de Falla'!D47)</f>
        <v>PUNTA COLORADA - SIERRA GRANDE</v>
      </c>
      <c r="E48" s="705">
        <f>IF('[4]Tasa de Falla'!E47="","",'[4]Tasa de Falla'!E47)</f>
        <v>132</v>
      </c>
      <c r="F48" s="705">
        <f>IF('[4]Tasa de Falla'!F47="","",'[4]Tasa de Falla'!F47)</f>
        <v>31</v>
      </c>
      <c r="G48" s="706">
        <f>IF('[4]Tasa de Falla'!HE47="","",'[4]Tasa de Falla'!HE47)</f>
      </c>
      <c r="H48" s="706">
        <f>IF('[4]Tasa de Falla'!HF47="","",'[4]Tasa de Falla'!HF47)</f>
      </c>
      <c r="I48" s="706">
        <f>IF('[4]Tasa de Falla'!HG47="","",'[4]Tasa de Falla'!HG47)</f>
      </c>
      <c r="J48" s="706">
        <f>IF('[4]Tasa de Falla'!HH47="","",'[4]Tasa de Falla'!HH47)</f>
      </c>
      <c r="K48" s="706">
        <f>IF('[4]Tasa de Falla'!HI47="","",'[4]Tasa de Falla'!HI47)</f>
      </c>
      <c r="L48" s="706">
        <f>IF('[4]Tasa de Falla'!HJ47="","",'[4]Tasa de Falla'!HJ47)</f>
      </c>
      <c r="M48" s="706">
        <f>IF('[4]Tasa de Falla'!HK47="","",'[4]Tasa de Falla'!HK47)</f>
      </c>
      <c r="N48" s="706">
        <f>IF('[4]Tasa de Falla'!HL47="","",'[4]Tasa de Falla'!HL47)</f>
        <v>1</v>
      </c>
      <c r="O48" s="706">
        <f>IF('[4]Tasa de Falla'!HM47="","",'[4]Tasa de Falla'!HM47)</f>
      </c>
      <c r="P48" s="706">
        <f>IF('[4]Tasa de Falla'!HN47="","",'[4]Tasa de Falla'!HN47)</f>
      </c>
      <c r="Q48" s="706">
        <f>IF('[4]Tasa de Falla'!HO47="","",'[4]Tasa de Falla'!HO47)</f>
      </c>
      <c r="R48" s="706">
        <f>IF('[4]Tasa de Falla'!HP47="","",'[4]Tasa de Falla'!HP47)</f>
      </c>
      <c r="S48" s="672"/>
      <c r="T48" s="3"/>
    </row>
    <row r="49" spans="2:20" ht="18" customHeight="1">
      <c r="B49" s="2"/>
      <c r="C49" s="703">
        <f>IF('[4]Tasa de Falla'!C48="","",'[4]Tasa de Falla'!C48)</f>
        <v>20</v>
      </c>
      <c r="D49" s="703" t="str">
        <f>IF('[4]Tasa de Falla'!D48="","",'[4]Tasa de Falla'!D48)</f>
        <v>CARMEN DE PATAGONES - VIEDMA</v>
      </c>
      <c r="E49" s="703">
        <f>IF('[4]Tasa de Falla'!E48="","",'[4]Tasa de Falla'!E48)</f>
        <v>132</v>
      </c>
      <c r="F49" s="703">
        <f>IF('[4]Tasa de Falla'!F48="","",'[4]Tasa de Falla'!F48)</f>
        <v>7</v>
      </c>
      <c r="G49" s="704" t="str">
        <f>IF('[4]Tasa de Falla'!HE48="","",'[4]Tasa de Falla'!HE48)</f>
        <v>XXXX</v>
      </c>
      <c r="H49" s="704" t="str">
        <f>IF('[4]Tasa de Falla'!HF48="","",'[4]Tasa de Falla'!HF48)</f>
        <v>XXXX</v>
      </c>
      <c r="I49" s="704" t="str">
        <f>IF('[4]Tasa de Falla'!HG48="","",'[4]Tasa de Falla'!HG48)</f>
        <v>XXXX</v>
      </c>
      <c r="J49" s="704" t="str">
        <f>IF('[4]Tasa de Falla'!HH48="","",'[4]Tasa de Falla'!HH48)</f>
        <v>XXXX</v>
      </c>
      <c r="K49" s="704" t="str">
        <f>IF('[4]Tasa de Falla'!HI48="","",'[4]Tasa de Falla'!HI48)</f>
        <v>XXXX</v>
      </c>
      <c r="L49" s="704" t="str">
        <f>IF('[4]Tasa de Falla'!HJ48="","",'[4]Tasa de Falla'!HJ48)</f>
        <v>XXXX</v>
      </c>
      <c r="M49" s="704" t="str">
        <f>IF('[4]Tasa de Falla'!HK48="","",'[4]Tasa de Falla'!HK48)</f>
        <v>XXXX</v>
      </c>
      <c r="N49" s="704" t="str">
        <f>IF('[4]Tasa de Falla'!HL48="","",'[4]Tasa de Falla'!HL48)</f>
        <v>XXXX</v>
      </c>
      <c r="O49" s="704" t="str">
        <f>IF('[4]Tasa de Falla'!HM48="","",'[4]Tasa de Falla'!HM48)</f>
        <v>XXXX</v>
      </c>
      <c r="P49" s="704" t="str">
        <f>IF('[4]Tasa de Falla'!HN48="","",'[4]Tasa de Falla'!HN48)</f>
        <v>XXXX</v>
      </c>
      <c r="Q49" s="704" t="str">
        <f>IF('[4]Tasa de Falla'!HO48="","",'[4]Tasa de Falla'!HO48)</f>
        <v>XXXX</v>
      </c>
      <c r="R49" s="704" t="str">
        <f>IF('[4]Tasa de Falla'!HP48="","",'[4]Tasa de Falla'!HP48)</f>
        <v>XXXX</v>
      </c>
      <c r="S49" s="672"/>
      <c r="T49" s="3"/>
    </row>
    <row r="50" spans="2:20" ht="15" customHeight="1">
      <c r="B50" s="2"/>
      <c r="C50" s="705">
        <f>IF('[4]Tasa de Falla'!C49="","",'[4]Tasa de Falla'!C49)</f>
      </c>
      <c r="D50" s="705" t="str">
        <f>IF('[4]Tasa de Falla'!D49="","",'[4]Tasa de Falla'!D49)</f>
        <v>CARMEN DE PATAGONES - VIEDMA</v>
      </c>
      <c r="E50" s="705">
        <f>IF('[4]Tasa de Falla'!E49="","",'[4]Tasa de Falla'!E49)</f>
        <v>132</v>
      </c>
      <c r="F50" s="705">
        <f>IF('[4]Tasa de Falla'!F49="","",'[4]Tasa de Falla'!F49)</f>
        <v>4.4</v>
      </c>
      <c r="G50" s="706">
        <f>IF('[4]Tasa de Falla'!HE49="","",'[4]Tasa de Falla'!HE49)</f>
        <v>1</v>
      </c>
      <c r="H50" s="706">
        <f>IF('[4]Tasa de Falla'!HF49="","",'[4]Tasa de Falla'!HF49)</f>
      </c>
      <c r="I50" s="706">
        <f>IF('[4]Tasa de Falla'!HG49="","",'[4]Tasa de Falla'!HG49)</f>
      </c>
      <c r="J50" s="706">
        <f>IF('[4]Tasa de Falla'!HH49="","",'[4]Tasa de Falla'!HH49)</f>
      </c>
      <c r="K50" s="706">
        <f>IF('[4]Tasa de Falla'!HI49="","",'[4]Tasa de Falla'!HI49)</f>
      </c>
      <c r="L50" s="706">
        <f>IF('[4]Tasa de Falla'!HJ49="","",'[4]Tasa de Falla'!HJ49)</f>
      </c>
      <c r="M50" s="706">
        <f>IF('[4]Tasa de Falla'!HK49="","",'[4]Tasa de Falla'!HK49)</f>
      </c>
      <c r="N50" s="706">
        <f>IF('[4]Tasa de Falla'!HL49="","",'[4]Tasa de Falla'!HL49)</f>
      </c>
      <c r="O50" s="706">
        <f>IF('[4]Tasa de Falla'!HM49="","",'[4]Tasa de Falla'!HM49)</f>
      </c>
      <c r="P50" s="706">
        <f>IF('[4]Tasa de Falla'!HN49="","",'[4]Tasa de Falla'!HN49)</f>
      </c>
      <c r="Q50" s="706">
        <f>IF('[4]Tasa de Falla'!HO49="","",'[4]Tasa de Falla'!HO49)</f>
      </c>
      <c r="R50" s="706">
        <f>IF('[4]Tasa de Falla'!HP49="","",'[4]Tasa de Falla'!HP49)</f>
      </c>
      <c r="S50" s="672"/>
      <c r="T50" s="3"/>
    </row>
    <row r="51" spans="2:20" ht="18" customHeight="1">
      <c r="B51" s="2"/>
      <c r="C51" s="703">
        <f>IF('[4]Tasa de Falla'!C50="","",'[4]Tasa de Falla'!C50)</f>
        <v>21</v>
      </c>
      <c r="D51" s="703" t="str">
        <f>IF('[4]Tasa de Falla'!D50="","",'[4]Tasa de Falla'!D50)</f>
        <v>SAN ANTONIO OESTE - SIERRA GRANDE</v>
      </c>
      <c r="E51" s="703">
        <f>IF('[4]Tasa de Falla'!E50="","",'[4]Tasa de Falla'!E50)</f>
        <v>132</v>
      </c>
      <c r="F51" s="703">
        <f>IF('[4]Tasa de Falla'!F50="","",'[4]Tasa de Falla'!F50)</f>
        <v>110.3</v>
      </c>
      <c r="G51" s="704">
        <f>IF('[4]Tasa de Falla'!HE50="","",'[4]Tasa de Falla'!HE50)</f>
      </c>
      <c r="H51" s="704">
        <f>IF('[4]Tasa de Falla'!HF50="","",'[4]Tasa de Falla'!HF50)</f>
      </c>
      <c r="I51" s="704">
        <f>IF('[4]Tasa de Falla'!HG50="","",'[4]Tasa de Falla'!HG50)</f>
      </c>
      <c r="J51" s="704">
        <f>IF('[4]Tasa de Falla'!HH50="","",'[4]Tasa de Falla'!HH50)</f>
      </c>
      <c r="K51" s="704">
        <f>IF('[4]Tasa de Falla'!HI50="","",'[4]Tasa de Falla'!HI50)</f>
      </c>
      <c r="L51" s="704">
        <f>IF('[4]Tasa de Falla'!HJ50="","",'[4]Tasa de Falla'!HJ50)</f>
      </c>
      <c r="M51" s="704">
        <f>IF('[4]Tasa de Falla'!HK50="","",'[4]Tasa de Falla'!HK50)</f>
      </c>
      <c r="N51" s="704">
        <f>IF('[4]Tasa de Falla'!HL50="","",'[4]Tasa de Falla'!HL50)</f>
      </c>
      <c r="O51" s="704">
        <f>IF('[4]Tasa de Falla'!HM50="","",'[4]Tasa de Falla'!HM50)</f>
      </c>
      <c r="P51" s="704">
        <f>IF('[4]Tasa de Falla'!HN50="","",'[4]Tasa de Falla'!HN50)</f>
      </c>
      <c r="Q51" s="704">
        <f>IF('[4]Tasa de Falla'!HO50="","",'[4]Tasa de Falla'!HO50)</f>
      </c>
      <c r="R51" s="704">
        <f>IF('[4]Tasa de Falla'!HP50="","",'[4]Tasa de Falla'!HP50)</f>
      </c>
      <c r="S51" s="672"/>
      <c r="T51" s="3"/>
    </row>
    <row r="52" spans="2:20" ht="15" customHeight="1">
      <c r="B52" s="2"/>
      <c r="C52" s="705">
        <f>IF('[4]Tasa de Falla'!C51="","",'[4]Tasa de Falla'!C51)</f>
        <v>22</v>
      </c>
      <c r="D52" s="705" t="str">
        <f>IF('[4]Tasa de Falla'!D51="","",'[4]Tasa de Falla'!D51)</f>
        <v>SAN ANTONIO OESTE -VIEDMA-SAN ANTONIO ESTE</v>
      </c>
      <c r="E52" s="705">
        <f>IF('[4]Tasa de Falla'!E51="","",'[4]Tasa de Falla'!E51)</f>
        <v>132</v>
      </c>
      <c r="F52" s="705">
        <f>IF('[4]Tasa de Falla'!F51="","",'[4]Tasa de Falla'!F51)</f>
        <v>185.6</v>
      </c>
      <c r="G52" s="706">
        <f>IF('[4]Tasa de Falla'!HE51="","",'[4]Tasa de Falla'!HE51)</f>
        <v>1</v>
      </c>
      <c r="H52" s="706">
        <f>IF('[4]Tasa de Falla'!HF51="","",'[4]Tasa de Falla'!HF51)</f>
        <v>3</v>
      </c>
      <c r="I52" s="706">
        <f>IF('[4]Tasa de Falla'!HG51="","",'[4]Tasa de Falla'!HG51)</f>
        <v>1</v>
      </c>
      <c r="J52" s="706">
        <f>IF('[4]Tasa de Falla'!HH51="","",'[4]Tasa de Falla'!HH51)</f>
      </c>
      <c r="K52" s="706">
        <f>IF('[4]Tasa de Falla'!HI51="","",'[4]Tasa de Falla'!HI51)</f>
      </c>
      <c r="L52" s="706">
        <f>IF('[4]Tasa de Falla'!HJ51="","",'[4]Tasa de Falla'!HJ51)</f>
      </c>
      <c r="M52" s="706">
        <f>IF('[4]Tasa de Falla'!HK51="","",'[4]Tasa de Falla'!HK51)</f>
      </c>
      <c r="N52" s="706">
        <f>IF('[4]Tasa de Falla'!HL51="","",'[4]Tasa de Falla'!HL51)</f>
        <v>2</v>
      </c>
      <c r="O52" s="706">
        <f>IF('[4]Tasa de Falla'!HM51="","",'[4]Tasa de Falla'!HM51)</f>
      </c>
      <c r="P52" s="706">
        <f>IF('[4]Tasa de Falla'!HN51="","",'[4]Tasa de Falla'!HN51)</f>
        <v>2</v>
      </c>
      <c r="Q52" s="706">
        <f>IF('[4]Tasa de Falla'!HO51="","",'[4]Tasa de Falla'!HO51)</f>
      </c>
      <c r="R52" s="706">
        <f>IF('[4]Tasa de Falla'!HP51="","",'[4]Tasa de Falla'!HP51)</f>
      </c>
      <c r="S52" s="672"/>
      <c r="T52" s="3"/>
    </row>
    <row r="53" spans="2:20" ht="18" customHeight="1">
      <c r="B53" s="2"/>
      <c r="C53" s="703">
        <f>IF('[4]Tasa de Falla'!C52="","",'[4]Tasa de Falla'!C52)</f>
        <v>32</v>
      </c>
      <c r="D53" s="703" t="str">
        <f>IF('[4]Tasa de Falla'!D52="","",'[4]Tasa de Falla'!D52)</f>
        <v>SAN ANTONIO ESTE - VIEDMA</v>
      </c>
      <c r="E53" s="703">
        <f>IF('[4]Tasa de Falla'!E52="","",'[4]Tasa de Falla'!E52)</f>
        <v>132</v>
      </c>
      <c r="F53" s="703">
        <f>IF('[4]Tasa de Falla'!F52="","",'[4]Tasa de Falla'!F52)</f>
        <v>162.6</v>
      </c>
      <c r="G53" s="704" t="str">
        <f>IF('[4]Tasa de Falla'!HE52="","",'[4]Tasa de Falla'!HE52)</f>
        <v>XXXX</v>
      </c>
      <c r="H53" s="704" t="str">
        <f>IF('[4]Tasa de Falla'!HF52="","",'[4]Tasa de Falla'!HF52)</f>
        <v>XXXX</v>
      </c>
      <c r="I53" s="704" t="str">
        <f>IF('[4]Tasa de Falla'!HG52="","",'[4]Tasa de Falla'!HG52)</f>
        <v>XXXX</v>
      </c>
      <c r="J53" s="704" t="str">
        <f>IF('[4]Tasa de Falla'!HH52="","",'[4]Tasa de Falla'!HH52)</f>
        <v>XXXX</v>
      </c>
      <c r="K53" s="704" t="str">
        <f>IF('[4]Tasa de Falla'!HI52="","",'[4]Tasa de Falla'!HI52)</f>
        <v>XXXX</v>
      </c>
      <c r="L53" s="704" t="str">
        <f>IF('[4]Tasa de Falla'!HJ52="","",'[4]Tasa de Falla'!HJ52)</f>
        <v>XXXX</v>
      </c>
      <c r="M53" s="704" t="str">
        <f>IF('[4]Tasa de Falla'!HK52="","",'[4]Tasa de Falla'!HK52)</f>
        <v>XXXX</v>
      </c>
      <c r="N53" s="704" t="str">
        <f>IF('[4]Tasa de Falla'!HL52="","",'[4]Tasa de Falla'!HL52)</f>
        <v>XXXX</v>
      </c>
      <c r="O53" s="704" t="str">
        <f>IF('[4]Tasa de Falla'!HM52="","",'[4]Tasa de Falla'!HM52)</f>
        <v>XXXX</v>
      </c>
      <c r="P53" s="704" t="str">
        <f>IF('[4]Tasa de Falla'!HN52="","",'[4]Tasa de Falla'!HN52)</f>
        <v>XXXX</v>
      </c>
      <c r="Q53" s="704" t="str">
        <f>IF('[4]Tasa de Falla'!HO52="","",'[4]Tasa de Falla'!HO52)</f>
        <v>XXXX</v>
      </c>
      <c r="R53" s="704" t="str">
        <f>IF('[4]Tasa de Falla'!HP52="","",'[4]Tasa de Falla'!HP52)</f>
        <v>XXXX</v>
      </c>
      <c r="S53" s="672"/>
      <c r="T53" s="3"/>
    </row>
    <row r="54" spans="2:20" ht="15" customHeight="1">
      <c r="B54" s="2"/>
      <c r="C54" s="705">
        <f>IF('[4]Tasa de Falla'!C53="","",'[4]Tasa de Falla'!C53)</f>
      </c>
      <c r="D54" s="705">
        <f>IF('[4]Tasa de Falla'!D53="","",'[4]Tasa de Falla'!D53)</f>
      </c>
      <c r="E54" s="705">
        <f>IF('[4]Tasa de Falla'!E53="","",'[4]Tasa de Falla'!E53)</f>
      </c>
      <c r="F54" s="705">
        <f>IF('[4]Tasa de Falla'!F53="","",'[4]Tasa de Falla'!F53)</f>
      </c>
      <c r="G54" s="706">
        <f>IF('[4]Tasa de Falla'!HE53="","",'[4]Tasa de Falla'!HE53)</f>
      </c>
      <c r="H54" s="706">
        <f>IF('[4]Tasa de Falla'!HF53="","",'[4]Tasa de Falla'!HF53)</f>
      </c>
      <c r="I54" s="706">
        <f>IF('[4]Tasa de Falla'!HG53="","",'[4]Tasa de Falla'!HG53)</f>
      </c>
      <c r="J54" s="706">
        <f>IF('[4]Tasa de Falla'!HH53="","",'[4]Tasa de Falla'!HH53)</f>
      </c>
      <c r="K54" s="706">
        <f>IF('[4]Tasa de Falla'!HI53="","",'[4]Tasa de Falla'!HI53)</f>
      </c>
      <c r="L54" s="706">
        <f>IF('[4]Tasa de Falla'!HJ53="","",'[4]Tasa de Falla'!HJ53)</f>
      </c>
      <c r="M54" s="706">
        <f>IF('[4]Tasa de Falla'!HK53="","",'[4]Tasa de Falla'!HK53)</f>
      </c>
      <c r="N54" s="706">
        <f>IF('[4]Tasa de Falla'!HL53="","",'[4]Tasa de Falla'!HL53)</f>
      </c>
      <c r="O54" s="706">
        <f>IF('[4]Tasa de Falla'!HM53="","",'[4]Tasa de Falla'!HM53)</f>
      </c>
      <c r="P54" s="706">
        <f>IF('[4]Tasa de Falla'!HN53="","",'[4]Tasa de Falla'!HN53)</f>
      </c>
      <c r="Q54" s="706">
        <f>IF('[4]Tasa de Falla'!HO53="","",'[4]Tasa de Falla'!HO53)</f>
      </c>
      <c r="R54" s="706">
        <f>IF('[4]Tasa de Falla'!HP53="","",'[4]Tasa de Falla'!HP53)</f>
      </c>
      <c r="S54" s="672"/>
      <c r="T54" s="3"/>
    </row>
    <row r="55" spans="2:20" ht="18" customHeight="1">
      <c r="B55" s="2"/>
      <c r="C55" s="703">
        <f>IF('[4]Tasa de Falla'!C54="","",'[4]Tasa de Falla'!C54)</f>
        <v>23</v>
      </c>
      <c r="D55" s="703" t="str">
        <f>IF('[4]Tasa de Falla'!D54="","",'[4]Tasa de Falla'!D54)</f>
        <v>PICO TRUNCADO I - PUERTO DESEADO</v>
      </c>
      <c r="E55" s="703">
        <f>IF('[4]Tasa de Falla'!E54="","",'[4]Tasa de Falla'!E54)</f>
        <v>132</v>
      </c>
      <c r="F55" s="703">
        <f>IF('[4]Tasa de Falla'!F54="","",'[4]Tasa de Falla'!F54)</f>
        <v>209</v>
      </c>
      <c r="G55" s="704" t="str">
        <f>IF('[4]Tasa de Falla'!HE54="","",'[4]Tasa de Falla'!HE54)</f>
        <v>XXXX</v>
      </c>
      <c r="H55" s="704" t="str">
        <f>IF('[4]Tasa de Falla'!HF54="","",'[4]Tasa de Falla'!HF54)</f>
        <v>XXXX</v>
      </c>
      <c r="I55" s="704" t="str">
        <f>IF('[4]Tasa de Falla'!HG54="","",'[4]Tasa de Falla'!HG54)</f>
        <v>XXXX</v>
      </c>
      <c r="J55" s="704" t="str">
        <f>IF('[4]Tasa de Falla'!HH54="","",'[4]Tasa de Falla'!HH54)</f>
        <v>XXXX</v>
      </c>
      <c r="K55" s="704" t="str">
        <f>IF('[4]Tasa de Falla'!HI54="","",'[4]Tasa de Falla'!HI54)</f>
        <v>XXXX</v>
      </c>
      <c r="L55" s="704" t="str">
        <f>IF('[4]Tasa de Falla'!HJ54="","",'[4]Tasa de Falla'!HJ54)</f>
        <v>XXXX</v>
      </c>
      <c r="M55" s="704" t="str">
        <f>IF('[4]Tasa de Falla'!HK54="","",'[4]Tasa de Falla'!HK54)</f>
        <v>XXXX</v>
      </c>
      <c r="N55" s="704" t="str">
        <f>IF('[4]Tasa de Falla'!HL54="","",'[4]Tasa de Falla'!HL54)</f>
        <v>XXXX</v>
      </c>
      <c r="O55" s="704" t="str">
        <f>IF('[4]Tasa de Falla'!HM54="","",'[4]Tasa de Falla'!HM54)</f>
        <v>XXXX</v>
      </c>
      <c r="P55" s="704" t="str">
        <f>IF('[4]Tasa de Falla'!HN54="","",'[4]Tasa de Falla'!HN54)</f>
        <v>XXXX</v>
      </c>
      <c r="Q55" s="704" t="str">
        <f>IF('[4]Tasa de Falla'!HO54="","",'[4]Tasa de Falla'!HO54)</f>
        <v>XXXX</v>
      </c>
      <c r="R55" s="704" t="str">
        <f>IF('[4]Tasa de Falla'!HP54="","",'[4]Tasa de Falla'!HP54)</f>
        <v>XXXX</v>
      </c>
      <c r="S55" s="672"/>
      <c r="T55" s="3"/>
    </row>
    <row r="56" spans="2:20" ht="15" customHeight="1">
      <c r="B56" s="2"/>
      <c r="C56" s="705">
        <f>IF('[4]Tasa de Falla'!C55="","",'[4]Tasa de Falla'!C55)</f>
        <v>35</v>
      </c>
      <c r="D56" s="705" t="str">
        <f>IF('[4]Tasa de Falla'!D55="","",'[4]Tasa de Falla'!D55)</f>
        <v>PICO TRUNCADO I - PTQ C.RIVADAVIA</v>
      </c>
      <c r="E56" s="705">
        <f>IF('[4]Tasa de Falla'!E55="","",'[4]Tasa de Falla'!E55)</f>
        <v>132</v>
      </c>
      <c r="F56" s="705">
        <f>IF('[4]Tasa de Falla'!F55="","",'[4]Tasa de Falla'!F55)</f>
        <v>1.5</v>
      </c>
      <c r="G56" s="706">
        <f>IF('[4]Tasa de Falla'!HE55="","",'[4]Tasa de Falla'!HE55)</f>
      </c>
      <c r="H56" s="706">
        <f>IF('[4]Tasa de Falla'!HF55="","",'[4]Tasa de Falla'!HF55)</f>
      </c>
      <c r="I56" s="706">
        <f>IF('[4]Tasa de Falla'!HG55="","",'[4]Tasa de Falla'!HG55)</f>
      </c>
      <c r="J56" s="706">
        <f>IF('[4]Tasa de Falla'!HH55="","",'[4]Tasa de Falla'!HH55)</f>
      </c>
      <c r="K56" s="706">
        <f>IF('[4]Tasa de Falla'!HI55="","",'[4]Tasa de Falla'!HI55)</f>
      </c>
      <c r="L56" s="706">
        <f>IF('[4]Tasa de Falla'!HJ55="","",'[4]Tasa de Falla'!HJ55)</f>
      </c>
      <c r="M56" s="706">
        <f>IF('[4]Tasa de Falla'!HK55="","",'[4]Tasa de Falla'!HK55)</f>
      </c>
      <c r="N56" s="706">
        <f>IF('[4]Tasa de Falla'!HL55="","",'[4]Tasa de Falla'!HL55)</f>
      </c>
      <c r="O56" s="706">
        <f>IF('[4]Tasa de Falla'!HM55="","",'[4]Tasa de Falla'!HM55)</f>
      </c>
      <c r="P56" s="706">
        <f>IF('[4]Tasa de Falla'!HN55="","",'[4]Tasa de Falla'!HN55)</f>
      </c>
      <c r="Q56" s="706">
        <f>IF('[4]Tasa de Falla'!HO55="","",'[4]Tasa de Falla'!HO55)</f>
      </c>
      <c r="R56" s="706">
        <f>IF('[4]Tasa de Falla'!HP55="","",'[4]Tasa de Falla'!HP55)</f>
      </c>
      <c r="S56" s="672"/>
      <c r="T56" s="3"/>
    </row>
    <row r="57" spans="2:20" ht="18" customHeight="1">
      <c r="B57" s="2"/>
      <c r="C57" s="703">
        <f>IF('[4]Tasa de Falla'!C56="","",'[4]Tasa de Falla'!C56)</f>
        <v>36</v>
      </c>
      <c r="D57" s="703" t="str">
        <f>IF('[4]Tasa de Falla'!D56="","",'[4]Tasa de Falla'!D56)</f>
        <v>PTQ C.RIVADAVIA - P.DESEADO</v>
      </c>
      <c r="E57" s="703">
        <f>IF('[4]Tasa de Falla'!E56="","",'[4]Tasa de Falla'!E56)</f>
        <v>132</v>
      </c>
      <c r="F57" s="703">
        <f>IF('[4]Tasa de Falla'!F56="","",'[4]Tasa de Falla'!F56)</f>
        <v>207.5</v>
      </c>
      <c r="G57" s="704">
        <f>IF('[4]Tasa de Falla'!HE56="","",'[4]Tasa de Falla'!HE56)</f>
      </c>
      <c r="H57" s="704">
        <f>IF('[4]Tasa de Falla'!HF56="","",'[4]Tasa de Falla'!HF56)</f>
      </c>
      <c r="I57" s="704">
        <f>IF('[4]Tasa de Falla'!HG56="","",'[4]Tasa de Falla'!HG56)</f>
      </c>
      <c r="J57" s="704">
        <f>IF('[4]Tasa de Falla'!HH56="","",'[4]Tasa de Falla'!HH56)</f>
      </c>
      <c r="K57" s="704">
        <f>IF('[4]Tasa de Falla'!HI56="","",'[4]Tasa de Falla'!HI56)</f>
      </c>
      <c r="L57" s="704">
        <f>IF('[4]Tasa de Falla'!HJ56="","",'[4]Tasa de Falla'!HJ56)</f>
      </c>
      <c r="M57" s="704">
        <f>IF('[4]Tasa de Falla'!HK56="","",'[4]Tasa de Falla'!HK56)</f>
      </c>
      <c r="N57" s="704">
        <f>IF('[4]Tasa de Falla'!HL56="","",'[4]Tasa de Falla'!HL56)</f>
      </c>
      <c r="O57" s="704">
        <f>IF('[4]Tasa de Falla'!HM56="","",'[4]Tasa de Falla'!HM56)</f>
      </c>
      <c r="P57" s="704">
        <f>IF('[4]Tasa de Falla'!HN56="","",'[4]Tasa de Falla'!HN56)</f>
      </c>
      <c r="Q57" s="704">
        <f>IF('[4]Tasa de Falla'!HO56="","",'[4]Tasa de Falla'!HO56)</f>
      </c>
      <c r="R57" s="704">
        <f>IF('[4]Tasa de Falla'!HP56="","",'[4]Tasa de Falla'!HP56)</f>
      </c>
      <c r="S57" s="672"/>
      <c r="T57" s="3"/>
    </row>
    <row r="58" spans="2:20" ht="15" customHeight="1">
      <c r="B58" s="2"/>
      <c r="C58" s="705">
        <f>IF('[4]Tasa de Falla'!C57="","",'[4]Tasa de Falla'!C57)</f>
      </c>
      <c r="D58" s="705">
        <f>IF('[4]Tasa de Falla'!D57="","",'[4]Tasa de Falla'!D57)</f>
      </c>
      <c r="E58" s="705">
        <f>IF('[4]Tasa de Falla'!E57="","",'[4]Tasa de Falla'!E57)</f>
      </c>
      <c r="F58" s="705">
        <f>IF('[4]Tasa de Falla'!F57="","",'[4]Tasa de Falla'!F57)</f>
      </c>
      <c r="G58" s="706">
        <f>IF('[4]Tasa de Falla'!HE57="","",'[4]Tasa de Falla'!HE57)</f>
      </c>
      <c r="H58" s="706">
        <f>IF('[4]Tasa de Falla'!HF57="","",'[4]Tasa de Falla'!HF57)</f>
      </c>
      <c r="I58" s="706">
        <f>IF('[4]Tasa de Falla'!HG57="","",'[4]Tasa de Falla'!HG57)</f>
      </c>
      <c r="J58" s="706">
        <f>IF('[4]Tasa de Falla'!HH57="","",'[4]Tasa de Falla'!HH57)</f>
      </c>
      <c r="K58" s="706">
        <f>IF('[4]Tasa de Falla'!HI57="","",'[4]Tasa de Falla'!HI57)</f>
      </c>
      <c r="L58" s="706">
        <f>IF('[4]Tasa de Falla'!HJ57="","",'[4]Tasa de Falla'!HJ57)</f>
      </c>
      <c r="M58" s="706">
        <f>IF('[4]Tasa de Falla'!HK57="","",'[4]Tasa de Falla'!HK57)</f>
      </c>
      <c r="N58" s="706">
        <f>IF('[4]Tasa de Falla'!HL57="","",'[4]Tasa de Falla'!HL57)</f>
      </c>
      <c r="O58" s="706">
        <f>IF('[4]Tasa de Falla'!HM57="","",'[4]Tasa de Falla'!HM57)</f>
      </c>
      <c r="P58" s="706">
        <f>IF('[4]Tasa de Falla'!HN57="","",'[4]Tasa de Falla'!HN57)</f>
      </c>
      <c r="Q58" s="706">
        <f>IF('[4]Tasa de Falla'!HO57="","",'[4]Tasa de Falla'!HO57)</f>
      </c>
      <c r="R58" s="706">
        <f>IF('[4]Tasa de Falla'!HP57="","",'[4]Tasa de Falla'!HP57)</f>
      </c>
      <c r="S58" s="672"/>
      <c r="T58" s="3"/>
    </row>
    <row r="59" spans="2:20" ht="18" customHeight="1">
      <c r="B59" s="2"/>
      <c r="C59" s="703">
        <f>IF('[4]Tasa de Falla'!C58="","",'[4]Tasa de Falla'!C58)</f>
        <v>24</v>
      </c>
      <c r="D59" s="703" t="str">
        <f>IF('[4]Tasa de Falla'!D58="","",'[4]Tasa de Falla'!D58)</f>
        <v>E.T. PATAGONIA - PAMPA DEL CASTILLO</v>
      </c>
      <c r="E59" s="703">
        <f>IF('[4]Tasa de Falla'!E58="","",'[4]Tasa de Falla'!E58)</f>
        <v>132</v>
      </c>
      <c r="F59" s="703">
        <f>IF('[4]Tasa de Falla'!F58="","",'[4]Tasa de Falla'!F58)</f>
        <v>42.6</v>
      </c>
      <c r="G59" s="704" t="str">
        <f>IF('[4]Tasa de Falla'!HE58="","",'[4]Tasa de Falla'!HE58)</f>
        <v>XXXX</v>
      </c>
      <c r="H59" s="704" t="str">
        <f>IF('[4]Tasa de Falla'!HF58="","",'[4]Tasa de Falla'!HF58)</f>
        <v>XXXX</v>
      </c>
      <c r="I59" s="704" t="str">
        <f>IF('[4]Tasa de Falla'!HG58="","",'[4]Tasa de Falla'!HG58)</f>
        <v>XXXX</v>
      </c>
      <c r="J59" s="704" t="str">
        <f>IF('[4]Tasa de Falla'!HH58="","",'[4]Tasa de Falla'!HH58)</f>
        <v>XXXX</v>
      </c>
      <c r="K59" s="704" t="str">
        <f>IF('[4]Tasa de Falla'!HI58="","",'[4]Tasa de Falla'!HI58)</f>
        <v>XXXX</v>
      </c>
      <c r="L59" s="704" t="str">
        <f>IF('[4]Tasa de Falla'!HJ58="","",'[4]Tasa de Falla'!HJ58)</f>
        <v>XXXX</v>
      </c>
      <c r="M59" s="704" t="str">
        <f>IF('[4]Tasa de Falla'!HK58="","",'[4]Tasa de Falla'!HK58)</f>
        <v>XXXX</v>
      </c>
      <c r="N59" s="704" t="str">
        <f>IF('[4]Tasa de Falla'!HL58="","",'[4]Tasa de Falla'!HL58)</f>
        <v>XXXX</v>
      </c>
      <c r="O59" s="704" t="str">
        <f>IF('[4]Tasa de Falla'!HM58="","",'[4]Tasa de Falla'!HM58)</f>
        <v>XXXX</v>
      </c>
      <c r="P59" s="704" t="str">
        <f>IF('[4]Tasa de Falla'!HN58="","",'[4]Tasa de Falla'!HN58)</f>
        <v>XXXX</v>
      </c>
      <c r="Q59" s="704" t="str">
        <f>IF('[4]Tasa de Falla'!HO58="","",'[4]Tasa de Falla'!HO58)</f>
        <v>XXXX</v>
      </c>
      <c r="R59" s="704" t="str">
        <f>IF('[4]Tasa de Falla'!HP58="","",'[4]Tasa de Falla'!HP58)</f>
        <v>XXXX</v>
      </c>
      <c r="S59" s="672"/>
      <c r="T59" s="3"/>
    </row>
    <row r="60" spans="2:20" ht="15" customHeight="1">
      <c r="B60" s="2"/>
      <c r="C60" s="705">
        <f>IF('[4]Tasa de Falla'!C59="","",'[4]Tasa de Falla'!C59)</f>
        <v>25</v>
      </c>
      <c r="D60" s="705" t="str">
        <f>IF('[4]Tasa de Falla'!D59="","",'[4]Tasa de Falla'!D59)</f>
        <v>PAMPA DEL CASTILLO - VALLE HERMOSO</v>
      </c>
      <c r="E60" s="705">
        <f>IF('[4]Tasa de Falla'!E59="","",'[4]Tasa de Falla'!E59)</f>
        <v>132</v>
      </c>
      <c r="F60" s="705">
        <f>IF('[4]Tasa de Falla'!F59="","",'[4]Tasa de Falla'!F59)</f>
        <v>33.6</v>
      </c>
      <c r="G60" s="706">
        <f>IF('[4]Tasa de Falla'!HE59="","",'[4]Tasa de Falla'!HE59)</f>
      </c>
      <c r="H60" s="706">
        <f>IF('[4]Tasa de Falla'!HF59="","",'[4]Tasa de Falla'!HF59)</f>
      </c>
      <c r="I60" s="706">
        <f>IF('[4]Tasa de Falla'!HG59="","",'[4]Tasa de Falla'!HG59)</f>
      </c>
      <c r="J60" s="706">
        <f>IF('[4]Tasa de Falla'!HH59="","",'[4]Tasa de Falla'!HH59)</f>
      </c>
      <c r="K60" s="706">
        <f>IF('[4]Tasa de Falla'!HI59="","",'[4]Tasa de Falla'!HI59)</f>
      </c>
      <c r="L60" s="706">
        <f>IF('[4]Tasa de Falla'!HJ59="","",'[4]Tasa de Falla'!HJ59)</f>
      </c>
      <c r="M60" s="706">
        <f>IF('[4]Tasa de Falla'!HK59="","",'[4]Tasa de Falla'!HK59)</f>
      </c>
      <c r="N60" s="706">
        <f>IF('[4]Tasa de Falla'!HL59="","",'[4]Tasa de Falla'!HL59)</f>
      </c>
      <c r="O60" s="706">
        <f>IF('[4]Tasa de Falla'!HM59="","",'[4]Tasa de Falla'!HM59)</f>
      </c>
      <c r="P60" s="706">
        <f>IF('[4]Tasa de Falla'!HN59="","",'[4]Tasa de Falla'!HN59)</f>
      </c>
      <c r="Q60" s="706">
        <f>IF('[4]Tasa de Falla'!HO59="","",'[4]Tasa de Falla'!HO59)</f>
      </c>
      <c r="R60" s="706">
        <f>IF('[4]Tasa de Falla'!HP59="","",'[4]Tasa de Falla'!HP59)</f>
      </c>
      <c r="S60" s="672"/>
      <c r="T60" s="3"/>
    </row>
    <row r="61" spans="2:20" ht="18" customHeight="1">
      <c r="B61" s="2"/>
      <c r="C61" s="703">
        <f>IF('[4]Tasa de Falla'!C60="","",'[4]Tasa de Falla'!C60)</f>
        <v>26</v>
      </c>
      <c r="D61" s="703" t="str">
        <f>IF('[4]Tasa de Falla'!D60="","",'[4]Tasa de Falla'!D60)</f>
        <v>VALLE HERMOSO - CERRO NEGRO</v>
      </c>
      <c r="E61" s="703">
        <f>IF('[4]Tasa de Falla'!E60="","",'[4]Tasa de Falla'!E60)</f>
        <v>132</v>
      </c>
      <c r="F61" s="703">
        <f>IF('[4]Tasa de Falla'!F60="","",'[4]Tasa de Falla'!F60)</f>
        <v>41</v>
      </c>
      <c r="G61" s="704">
        <f>IF('[4]Tasa de Falla'!HE60="","",'[4]Tasa de Falla'!HE60)</f>
      </c>
      <c r="H61" s="704">
        <f>IF('[4]Tasa de Falla'!HF60="","",'[4]Tasa de Falla'!HF60)</f>
      </c>
      <c r="I61" s="704">
        <f>IF('[4]Tasa de Falla'!HG60="","",'[4]Tasa de Falla'!HG60)</f>
      </c>
      <c r="J61" s="704">
        <f>IF('[4]Tasa de Falla'!HH60="","",'[4]Tasa de Falla'!HH60)</f>
      </c>
      <c r="K61" s="704">
        <f>IF('[4]Tasa de Falla'!HI60="","",'[4]Tasa de Falla'!HI60)</f>
      </c>
      <c r="L61" s="704">
        <f>IF('[4]Tasa de Falla'!HJ60="","",'[4]Tasa de Falla'!HJ60)</f>
        <v>1</v>
      </c>
      <c r="M61" s="704">
        <f>IF('[4]Tasa de Falla'!HK60="","",'[4]Tasa de Falla'!HK60)</f>
      </c>
      <c r="N61" s="704">
        <f>IF('[4]Tasa de Falla'!HL60="","",'[4]Tasa de Falla'!HL60)</f>
      </c>
      <c r="O61" s="704">
        <f>IF('[4]Tasa de Falla'!HM60="","",'[4]Tasa de Falla'!HM60)</f>
      </c>
      <c r="P61" s="704">
        <f>IF('[4]Tasa de Falla'!HN60="","",'[4]Tasa de Falla'!HN60)</f>
      </c>
      <c r="Q61" s="704">
        <f>IF('[4]Tasa de Falla'!HO60="","",'[4]Tasa de Falla'!HO60)</f>
      </c>
      <c r="R61" s="704">
        <f>IF('[4]Tasa de Falla'!HP60="","",'[4]Tasa de Falla'!HP60)</f>
      </c>
      <c r="S61" s="672"/>
      <c r="T61" s="3"/>
    </row>
    <row r="62" spans="2:20" ht="15" customHeight="1">
      <c r="B62" s="2"/>
      <c r="C62" s="705">
        <f>IF('[4]Tasa de Falla'!C61="","",'[4]Tasa de Falla'!C61)</f>
        <v>33</v>
      </c>
      <c r="D62" s="705" t="str">
        <f>IF('[4]Tasa de Falla'!D61="","",'[4]Tasa de Falla'!D61)</f>
        <v>E.T. PATAGONIA - DIADEMA</v>
      </c>
      <c r="E62" s="705">
        <f>IF('[4]Tasa de Falla'!E61="","",'[4]Tasa de Falla'!E61)</f>
        <v>132</v>
      </c>
      <c r="F62" s="705">
        <f>IF('[4]Tasa de Falla'!F61="","",'[4]Tasa de Falla'!F61)</f>
        <v>15</v>
      </c>
      <c r="G62" s="706">
        <f>IF('[4]Tasa de Falla'!HE61="","",'[4]Tasa de Falla'!HE61)</f>
      </c>
      <c r="H62" s="706">
        <f>IF('[4]Tasa de Falla'!HF61="","",'[4]Tasa de Falla'!HF61)</f>
      </c>
      <c r="I62" s="706">
        <f>IF('[4]Tasa de Falla'!HG61="","",'[4]Tasa de Falla'!HG61)</f>
      </c>
      <c r="J62" s="706">
        <f>IF('[4]Tasa de Falla'!HH61="","",'[4]Tasa de Falla'!HH61)</f>
      </c>
      <c r="K62" s="706">
        <f>IF('[4]Tasa de Falla'!HI61="","",'[4]Tasa de Falla'!HI61)</f>
      </c>
      <c r="L62" s="706">
        <f>IF('[4]Tasa de Falla'!HJ61="","",'[4]Tasa de Falla'!HJ61)</f>
      </c>
      <c r="M62" s="706">
        <f>IF('[4]Tasa de Falla'!HK61="","",'[4]Tasa de Falla'!HK61)</f>
      </c>
      <c r="N62" s="706">
        <f>IF('[4]Tasa de Falla'!HL61="","",'[4]Tasa de Falla'!HL61)</f>
      </c>
      <c r="O62" s="706">
        <f>IF('[4]Tasa de Falla'!HM61="","",'[4]Tasa de Falla'!HM61)</f>
      </c>
      <c r="P62" s="706">
        <f>IF('[4]Tasa de Falla'!HN61="","",'[4]Tasa de Falla'!HN61)</f>
      </c>
      <c r="Q62" s="706">
        <f>IF('[4]Tasa de Falla'!HO61="","",'[4]Tasa de Falla'!HO61)</f>
      </c>
      <c r="R62" s="706">
        <f>IF('[4]Tasa de Falla'!HP61="","",'[4]Tasa de Falla'!HP61)</f>
      </c>
      <c r="S62" s="672"/>
      <c r="T62" s="3"/>
    </row>
    <row r="63" spans="2:20" ht="18" customHeight="1">
      <c r="B63" s="2"/>
      <c r="C63" s="703">
        <f>IF('[4]Tasa de Falla'!C62="","",'[4]Tasa de Falla'!C62)</f>
        <v>34</v>
      </c>
      <c r="D63" s="703" t="str">
        <f>IF('[4]Tasa de Falla'!D62="","",'[4]Tasa de Falla'!D62)</f>
        <v>DIADEMA - PAMAPA DEL CASTILLO</v>
      </c>
      <c r="E63" s="703">
        <f>IF('[4]Tasa de Falla'!E62="","",'[4]Tasa de Falla'!E62)</f>
        <v>132</v>
      </c>
      <c r="F63" s="703">
        <f>IF('[4]Tasa de Falla'!F62="","",'[4]Tasa de Falla'!F62)</f>
        <v>27.6</v>
      </c>
      <c r="G63" s="704">
        <f>IF('[4]Tasa de Falla'!HE62="","",'[4]Tasa de Falla'!HE62)</f>
      </c>
      <c r="H63" s="704">
        <f>IF('[4]Tasa de Falla'!HF62="","",'[4]Tasa de Falla'!HF62)</f>
      </c>
      <c r="I63" s="704">
        <f>IF('[4]Tasa de Falla'!HG62="","",'[4]Tasa de Falla'!HG62)</f>
      </c>
      <c r="J63" s="704">
        <f>IF('[4]Tasa de Falla'!HH62="","",'[4]Tasa de Falla'!HH62)</f>
      </c>
      <c r="K63" s="704">
        <f>IF('[4]Tasa de Falla'!HI62="","",'[4]Tasa de Falla'!HI62)</f>
      </c>
      <c r="L63" s="704">
        <f>IF('[4]Tasa de Falla'!HJ62="","",'[4]Tasa de Falla'!HJ62)</f>
      </c>
      <c r="M63" s="704">
        <f>IF('[4]Tasa de Falla'!HK62="","",'[4]Tasa de Falla'!HK62)</f>
      </c>
      <c r="N63" s="704">
        <f>IF('[4]Tasa de Falla'!HL62="","",'[4]Tasa de Falla'!HL62)</f>
      </c>
      <c r="O63" s="704">
        <f>IF('[4]Tasa de Falla'!HM62="","",'[4]Tasa de Falla'!HM62)</f>
      </c>
      <c r="P63" s="704">
        <f>IF('[4]Tasa de Falla'!HN62="","",'[4]Tasa de Falla'!HN62)</f>
        <v>1</v>
      </c>
      <c r="Q63" s="704">
        <f>IF('[4]Tasa de Falla'!HO62="","",'[4]Tasa de Falla'!HO62)</f>
      </c>
      <c r="R63" s="704">
        <f>IF('[4]Tasa de Falla'!HP62="","",'[4]Tasa de Falla'!HP62)</f>
      </c>
      <c r="S63" s="672"/>
      <c r="T63" s="3"/>
    </row>
    <row r="64" spans="2:20" ht="15" customHeight="1">
      <c r="B64" s="2"/>
      <c r="C64" s="705">
        <f>IF('[4]Tasa de Falla'!C63="","",'[4]Tasa de Falla'!C63)</f>
        <v>29</v>
      </c>
      <c r="D64" s="705" t="str">
        <f>IF('[4]Tasa de Falla'!D63="","",'[4]Tasa de Falla'!D63)</f>
        <v>ESQUEL-EL COHIUE</v>
      </c>
      <c r="E64" s="705">
        <f>IF('[4]Tasa de Falla'!E63="","",'[4]Tasa de Falla'!E63)</f>
        <v>132</v>
      </c>
      <c r="F64" s="705">
        <f>IF('[4]Tasa de Falla'!F63="","",'[4]Tasa de Falla'!F63)</f>
        <v>127.98</v>
      </c>
      <c r="G64" s="706">
        <f>IF('[4]Tasa de Falla'!HE63="","",'[4]Tasa de Falla'!HE63)</f>
      </c>
      <c r="H64" s="706">
        <f>IF('[4]Tasa de Falla'!HF63="","",'[4]Tasa de Falla'!HF63)</f>
      </c>
      <c r="I64" s="706">
        <f>IF('[4]Tasa de Falla'!HG63="","",'[4]Tasa de Falla'!HG63)</f>
      </c>
      <c r="J64" s="706">
        <f>IF('[4]Tasa de Falla'!HH63="","",'[4]Tasa de Falla'!HH63)</f>
      </c>
      <c r="K64" s="706">
        <f>IF('[4]Tasa de Falla'!HI63="","",'[4]Tasa de Falla'!HI63)</f>
        <v>1</v>
      </c>
      <c r="L64" s="706">
        <f>IF('[4]Tasa de Falla'!HJ63="","",'[4]Tasa de Falla'!HJ63)</f>
      </c>
      <c r="M64" s="706">
        <f>IF('[4]Tasa de Falla'!HK63="","",'[4]Tasa de Falla'!HK63)</f>
      </c>
      <c r="N64" s="706">
        <f>IF('[4]Tasa de Falla'!HL63="","",'[4]Tasa de Falla'!HL63)</f>
      </c>
      <c r="O64" s="706">
        <f>IF('[4]Tasa de Falla'!HM63="","",'[4]Tasa de Falla'!HM63)</f>
      </c>
      <c r="P64" s="706">
        <f>IF('[4]Tasa de Falla'!HN63="","",'[4]Tasa de Falla'!HN63)</f>
      </c>
      <c r="Q64" s="706">
        <f>IF('[4]Tasa de Falla'!HO63="","",'[4]Tasa de Falla'!HO63)</f>
      </c>
      <c r="R64" s="706">
        <f>IF('[4]Tasa de Falla'!HP63="","",'[4]Tasa de Falla'!HP63)</f>
      </c>
      <c r="S64" s="672"/>
      <c r="T64" s="3"/>
    </row>
    <row r="65" spans="2:20" ht="18" customHeight="1">
      <c r="B65" s="2"/>
      <c r="C65" s="703">
        <f>IF('[2]Tasa de Falla'!C63=0,"",'[2]Tasa de Falla'!C63)</f>
      </c>
      <c r="D65" s="703">
        <f>IF('[2]Tasa de Falla'!D63=0,"",'[2]Tasa de Falla'!D63)</f>
      </c>
      <c r="E65" s="703">
        <f>IF('[2]Tasa de Falla'!E63=0,"",'[2]Tasa de Falla'!E63)</f>
      </c>
      <c r="F65" s="703">
        <f>IF('[2]Tasa de Falla'!F63=0,"",'[2]Tasa de Falla'!F63)</f>
      </c>
      <c r="G65" s="704">
        <f>IF('[4]Tasa de Falla'!HE64="","",'[4]Tasa de Falla'!HE64)</f>
      </c>
      <c r="H65" s="704">
        <f>IF('[4]Tasa de Falla'!HF64="","",'[4]Tasa de Falla'!HF64)</f>
      </c>
      <c r="I65" s="704">
        <f>IF('[4]Tasa de Falla'!HG64="","",'[4]Tasa de Falla'!HG64)</f>
      </c>
      <c r="J65" s="704">
        <f>IF('[4]Tasa de Falla'!HH64="","",'[4]Tasa de Falla'!HH64)</f>
      </c>
      <c r="K65" s="704">
        <f>IF('[4]Tasa de Falla'!HI64="","",'[4]Tasa de Falla'!HI64)</f>
      </c>
      <c r="L65" s="704">
        <f>IF('[4]Tasa de Falla'!HJ64="","",'[4]Tasa de Falla'!HJ64)</f>
      </c>
      <c r="M65" s="704">
        <f>IF('[4]Tasa de Falla'!HK64="","",'[4]Tasa de Falla'!HK64)</f>
      </c>
      <c r="N65" s="704">
        <f>IF('[4]Tasa de Falla'!HL64="","",'[4]Tasa de Falla'!HL64)</f>
      </c>
      <c r="O65" s="704">
        <f>IF('[4]Tasa de Falla'!HM64="","",'[4]Tasa de Falla'!HM64)</f>
      </c>
      <c r="P65" s="704">
        <f>IF('[4]Tasa de Falla'!HN64="","",'[4]Tasa de Falla'!HN64)</f>
      </c>
      <c r="Q65" s="704">
        <f>IF('[4]Tasa de Falla'!HO64="","",'[4]Tasa de Falla'!HO64)</f>
      </c>
      <c r="R65" s="704">
        <f>IF('[4]Tasa de Falla'!HP64="","",'[4]Tasa de Falla'!HP64)</f>
      </c>
      <c r="S65" s="672"/>
      <c r="T65" s="3"/>
    </row>
    <row r="66" spans="2:20" ht="15" customHeight="1">
      <c r="B66" s="2"/>
      <c r="C66" s="705"/>
      <c r="D66" s="705">
        <f>IF('[2]Tasa de Falla'!D64=0,"",'[2]Tasa de Falla'!D64)</f>
      </c>
      <c r="E66" s="705">
        <f>IF('[2]Tasa de Falla'!E64=0,"",'[2]Tasa de Falla'!E64)</f>
      </c>
      <c r="F66" s="705">
        <f>IF('[2]Tasa de Falla'!F64=0,"",'[2]Tasa de Falla'!F64)</f>
      </c>
      <c r="G66" s="706">
        <f>IF('[4]Tasa de Falla'!HE65="","",'[4]Tasa de Falla'!HE65)</f>
      </c>
      <c r="H66" s="706">
        <f>IF('[4]Tasa de Falla'!HF65="","",'[4]Tasa de Falla'!HF65)</f>
      </c>
      <c r="I66" s="706">
        <f>IF('[4]Tasa de Falla'!HG65="","",'[4]Tasa de Falla'!HG65)</f>
      </c>
      <c r="J66" s="706">
        <f>IF('[4]Tasa de Falla'!HH65="","",'[4]Tasa de Falla'!HH65)</f>
      </c>
      <c r="K66" s="706">
        <f>IF('[4]Tasa de Falla'!HI65="","",'[4]Tasa de Falla'!HI65)</f>
      </c>
      <c r="L66" s="706">
        <f>IF('[4]Tasa de Falla'!HJ65="","",'[4]Tasa de Falla'!HJ65)</f>
      </c>
      <c r="M66" s="706">
        <f>IF('[4]Tasa de Falla'!HK65="","",'[4]Tasa de Falla'!HK65)</f>
      </c>
      <c r="N66" s="706">
        <f>IF('[4]Tasa de Falla'!HL65="","",'[4]Tasa de Falla'!HL65)</f>
      </c>
      <c r="O66" s="706">
        <f>IF('[4]Tasa de Falla'!HM65="","",'[4]Tasa de Falla'!HM65)</f>
      </c>
      <c r="P66" s="706">
        <f>IF('[4]Tasa de Falla'!HN65="","",'[4]Tasa de Falla'!HN65)</f>
      </c>
      <c r="Q66" s="706">
        <f>IF('[4]Tasa de Falla'!HO65="","",'[4]Tasa de Falla'!HO65)</f>
      </c>
      <c r="R66" s="706">
        <f>IF('[4]Tasa de Falla'!HP65="","",'[4]Tasa de Falla'!HP65)</f>
      </c>
      <c r="S66" s="672"/>
      <c r="T66" s="3"/>
    </row>
    <row r="67" spans="2:20" ht="15" customHeight="1" thickBot="1">
      <c r="B67" s="2"/>
      <c r="C67" s="673"/>
      <c r="D67" s="674"/>
      <c r="E67" s="675"/>
      <c r="F67" s="676"/>
      <c r="G67" s="676"/>
      <c r="H67" s="676"/>
      <c r="I67" s="676"/>
      <c r="J67" s="676"/>
      <c r="K67" s="676"/>
      <c r="L67" s="676"/>
      <c r="M67" s="676"/>
      <c r="N67" s="676"/>
      <c r="O67" s="676"/>
      <c r="P67" s="676"/>
      <c r="Q67" s="676"/>
      <c r="R67" s="676"/>
      <c r="S67" s="672"/>
      <c r="T67" s="3"/>
    </row>
    <row r="68" spans="2:20" ht="15" customHeight="1" thickBot="1" thickTop="1">
      <c r="B68" s="2"/>
      <c r="C68" s="677"/>
      <c r="D68" s="166"/>
      <c r="E68" s="678" t="s">
        <v>164</v>
      </c>
      <c r="F68" s="679">
        <f>SUM($F$17:$F$67)-SUMIF(R$17:R$67,"XXXX",$F$17:$F$67)</f>
        <v>2997.1499999999996</v>
      </c>
      <c r="G68" s="680"/>
      <c r="H68" s="680"/>
      <c r="I68" s="680"/>
      <c r="J68" s="680"/>
      <c r="K68" s="680"/>
      <c r="L68" s="680"/>
      <c r="M68" s="680"/>
      <c r="N68" s="680"/>
      <c r="O68" s="680"/>
      <c r="P68" s="680"/>
      <c r="Q68" s="680"/>
      <c r="R68" s="680"/>
      <c r="S68" s="672"/>
      <c r="T68" s="3"/>
    </row>
    <row r="69" spans="2:20" ht="15" customHeight="1" thickBot="1" thickTop="1">
      <c r="B69" s="2"/>
      <c r="C69" s="26"/>
      <c r="D69" s="32"/>
      <c r="E69" s="681"/>
      <c r="F69" s="682" t="s">
        <v>165</v>
      </c>
      <c r="G69" s="683">
        <f aca="true" t="shared" si="0" ref="G69:R69">SUM(G17:G66)</f>
        <v>5</v>
      </c>
      <c r="H69" s="683">
        <f t="shared" si="0"/>
        <v>4</v>
      </c>
      <c r="I69" s="683">
        <f t="shared" si="0"/>
        <v>2</v>
      </c>
      <c r="J69" s="683">
        <f t="shared" si="0"/>
        <v>0</v>
      </c>
      <c r="K69" s="683">
        <f t="shared" si="0"/>
        <v>2</v>
      </c>
      <c r="L69" s="683">
        <f t="shared" si="0"/>
        <v>2</v>
      </c>
      <c r="M69" s="683">
        <f t="shared" si="0"/>
        <v>1</v>
      </c>
      <c r="N69" s="683">
        <f t="shared" si="0"/>
        <v>3</v>
      </c>
      <c r="O69" s="683">
        <f t="shared" si="0"/>
        <v>0</v>
      </c>
      <c r="P69" s="683">
        <f t="shared" si="0"/>
        <v>3</v>
      </c>
      <c r="Q69" s="683">
        <f t="shared" si="0"/>
        <v>2</v>
      </c>
      <c r="R69" s="683">
        <f t="shared" si="0"/>
        <v>2</v>
      </c>
      <c r="S69" s="684"/>
      <c r="T69" s="3"/>
    </row>
    <row r="70" spans="2:20" ht="17.25" thickBot="1" thickTop="1">
      <c r="B70" s="2"/>
      <c r="C70" s="681"/>
      <c r="D70" s="681"/>
      <c r="E70" s="26"/>
      <c r="F70" s="685" t="s">
        <v>166</v>
      </c>
      <c r="G70" s="707">
        <f>+'[3]Tasa de Falla'!HE72</f>
        <v>1.14</v>
      </c>
      <c r="H70" s="707">
        <f>+'[3]Tasa de Falla'!HF72</f>
        <v>0</v>
      </c>
      <c r="I70" s="707">
        <f>+'[3]Tasa de Falla'!HG72</f>
        <v>1.14</v>
      </c>
      <c r="J70" s="707">
        <f>+'[3]Tasa de Falla'!HH72</f>
        <v>1.17</v>
      </c>
      <c r="K70" s="707">
        <f>+'[3]Tasa de Falla'!HI72</f>
        <v>1.1</v>
      </c>
      <c r="L70" s="707">
        <f>+'[3]Tasa de Falla'!HJ72</f>
        <v>1.1</v>
      </c>
      <c r="M70" s="707">
        <f>+'[3]Tasa de Falla'!HK72</f>
        <v>1.1</v>
      </c>
      <c r="N70" s="707">
        <f>+'[3]Tasa de Falla'!HL72</f>
        <v>1.07</v>
      </c>
      <c r="O70" s="707">
        <f>+'[3]Tasa de Falla'!HM72</f>
        <v>1.17</v>
      </c>
      <c r="P70" s="707">
        <f>+'[3]Tasa de Falla'!HN72</f>
        <v>1.14</v>
      </c>
      <c r="Q70" s="707">
        <f>+'[3]Tasa de Falla'!HO72</f>
        <v>1.07</v>
      </c>
      <c r="R70" s="707">
        <f>+'[3]Tasa de Falla'!HP72</f>
        <v>1</v>
      </c>
      <c r="S70" s="707">
        <f>SUM(G69:R69)/F68*100</f>
        <v>0.8674907829104317</v>
      </c>
      <c r="T70" s="3"/>
    </row>
    <row r="71" spans="2:20" ht="18.75" customHeight="1" thickBot="1" thickTop="1">
      <c r="B71" s="2"/>
      <c r="C71" s="686" t="s">
        <v>167</v>
      </c>
      <c r="D71" s="26" t="s">
        <v>168</v>
      </c>
      <c r="E71" s="687"/>
      <c r="F71" s="688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56"/>
    </row>
    <row r="72" spans="2:20" ht="17.25" thickBot="1" thickTop="1">
      <c r="B72" s="690"/>
      <c r="C72" s="691"/>
      <c r="D72" s="691"/>
      <c r="H72" s="708" t="s">
        <v>169</v>
      </c>
      <c r="I72" s="709"/>
      <c r="J72" s="692">
        <f>S70</f>
        <v>0.8674907829104317</v>
      </c>
      <c r="K72" s="710" t="s">
        <v>170</v>
      </c>
      <c r="L72" s="710"/>
      <c r="M72" s="711"/>
      <c r="N72" s="691"/>
      <c r="O72" s="691"/>
      <c r="P72" s="691"/>
      <c r="Q72" s="691"/>
      <c r="R72" s="691"/>
      <c r="S72" s="691"/>
      <c r="T72" s="3"/>
    </row>
    <row r="73" spans="2:20" ht="18.75" customHeight="1" thickBot="1" thickTop="1">
      <c r="B73" s="693"/>
      <c r="C73" s="694"/>
      <c r="D73" s="44"/>
      <c r="E73" s="44"/>
      <c r="F73" s="695"/>
      <c r="G73" s="696"/>
      <c r="H73" s="696"/>
      <c r="I73" s="696"/>
      <c r="J73" s="696"/>
      <c r="K73" s="696"/>
      <c r="L73" s="696"/>
      <c r="M73" s="696"/>
      <c r="N73" s="696"/>
      <c r="O73" s="696"/>
      <c r="P73" s="696"/>
      <c r="Q73" s="696"/>
      <c r="R73" s="696"/>
      <c r="S73" s="696"/>
      <c r="T73" s="697"/>
    </row>
    <row r="74" ht="13.5" thickTop="1"/>
  </sheetData>
  <mergeCells count="2">
    <mergeCell ref="H72:I72"/>
    <mergeCell ref="K72:M72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40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2014-06-30T19:04:14Z</cp:lastPrinted>
  <dcterms:created xsi:type="dcterms:W3CDTF">2000-10-04T20:14:32Z</dcterms:created>
  <dcterms:modified xsi:type="dcterms:W3CDTF">2014-07-01T20:32:06Z</dcterms:modified>
  <cp:category/>
  <cp:version/>
  <cp:contentType/>
  <cp:contentStatus/>
</cp:coreProperties>
</file>