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812" sheetId="1" r:id="rId1"/>
    <sheet name="LI-EDERSA-08 (1)" sheetId="2" r:id="rId2"/>
    <sheet name="TR-EDERSA-08 (1)" sheetId="3" r:id="rId3"/>
    <sheet name="SA-EDERSA-08 (1)" sheetId="4" r:id="rId4"/>
    <sheet name="LI-TRANSACUE-08 (1)" sheetId="5" r:id="rId5"/>
    <sheet name="SA-TRANSACUE-08 (1)" sheetId="6" r:id="rId6"/>
    <sheet name="SUP-EDERSA" sheetId="7" r:id="rId7"/>
    <sheet name="SUP-TRANSACUE" sheetId="8" r:id="rId8"/>
    <sheet name="TASA FALLA" sheetId="9" r:id="rId9"/>
    <sheet name="DATO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8">'TASA FALLA'!$A$1:$T$72</definedName>
    <definedName name="DD" localSheetId="8">'TASA FALLA'!DD</definedName>
    <definedName name="DD">[0]!DD</definedName>
    <definedName name="DDD" localSheetId="8">'TASA FALLA'!DDD</definedName>
    <definedName name="DDD">[0]!DDD</definedName>
    <definedName name="DISTROCUYO" localSheetId="8">'TASA FALLA'!DISTROCUYO</definedName>
    <definedName name="DISTROCUYO">[0]!DISTROCUYO</definedName>
    <definedName name="INICIO" localSheetId="8">'TASA FALLA'!INICIO</definedName>
    <definedName name="INICIO">[0]!INICIO</definedName>
    <definedName name="INICIOTI" localSheetId="8">'TASA FALLA'!INICIOTI</definedName>
    <definedName name="INICIOTI">[0]!INICIOTI</definedName>
    <definedName name="LINEAS" localSheetId="8">'TASA FALLA'!LINEAS</definedName>
    <definedName name="LINEAS">[0]!LINEAS</definedName>
    <definedName name="NAME_L" localSheetId="8">'TASA FALLA'!NAME_L</definedName>
    <definedName name="NAME_L">[0]!NAME_L</definedName>
    <definedName name="NAME_L_TI" localSheetId="8">'TASA FALLA'!NAME_L_TI</definedName>
    <definedName name="NAME_L_TI">[0]!NAME_L_TI</definedName>
    <definedName name="TRAN" localSheetId="8">'TASA FALLA'!TRAN</definedName>
    <definedName name="TRAN">[0]!TRAN</definedName>
    <definedName name="TRANSNOA" localSheetId="8">'TASA FALLA'!TRANSNOA</definedName>
    <definedName name="TRANSNOA">[0]!TRANSNOA</definedName>
    <definedName name="x" localSheetId="8">'TASA FALLA'!x</definedName>
    <definedName name="x">[0]!x</definedName>
    <definedName name="XX" localSheetId="8">'TASA FALLA'!XX</definedName>
    <definedName name="XX">[0]!XX</definedName>
  </definedNames>
  <calcPr fullCalcOnLoad="1"/>
</workbook>
</file>

<file path=xl/comments7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comments8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<sst xmlns="http://schemas.openxmlformats.org/spreadsheetml/2006/main" count="494" uniqueCount="273">
  <si>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</si>
  <si>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</si>
  <si>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</si>
  <si>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</si>
  <si>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</si>
  <si>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</si>
  <si>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</si>
  <si>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</si>
  <si>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</si>
  <si>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</si>
  <si>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</si>
  <si>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</si>
  <si>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</si>
  <si>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</si>
  <si>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</si>
  <si>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</si>
  <si>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</si>
  <si>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</si>
  <si>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</si>
  <si>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</si>
  <si>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1.2.-</t>
  </si>
  <si>
    <t>Transportista Independiente E.D.E.R.S.A.</t>
  </si>
  <si>
    <t>2.-</t>
  </si>
  <si>
    <t>CONEXIÓN</t>
  </si>
  <si>
    <t>2.1.-</t>
  </si>
  <si>
    <t>Transformación</t>
  </si>
  <si>
    <t>2.2.-</t>
  </si>
  <si>
    <t>Salidas</t>
  </si>
  <si>
    <t>2.2.2.-</t>
  </si>
  <si>
    <t>SUPERVISIÓN</t>
  </si>
  <si>
    <t xml:space="preserve">TOTAL </t>
  </si>
  <si>
    <t>SISTEMA DE TRANSPORTE DE ENERGÍA ELÉCTRICA POR DISTRIBUCIÓN TRONCAL - TRANSPA S.A.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</si>
  <si>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</si>
  <si>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</si>
  <si>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</si>
  <si>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</si>
  <si>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</si>
  <si>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</si>
  <si>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</si>
  <si>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</si>
  <si>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</si>
  <si>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</si>
  <si>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</si>
  <si>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</si>
  <si>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</si>
  <si>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</si>
  <si>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</si>
  <si>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</si>
  <si>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</si>
  <si>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</si>
  <si>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</si>
  <si>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</si>
  <si>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</si>
  <si>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</si>
  <si>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</si>
  <si>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</si>
  <si>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</si>
  <si>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</si>
  <si>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</si>
  <si>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</si>
  <si>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</si>
  <si>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</si>
  <si>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</si>
  <si>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</si>
  <si>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</si>
  <si>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</si>
  <si>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</si>
  <si>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</si>
  <si>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</si>
  <si>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</si>
  <si>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</si>
  <si>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</si>
  <si>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</si>
  <si>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</si>
  <si>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</si>
  <si>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</si>
  <si>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</si>
  <si>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</si>
  <si>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</si>
  <si>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</si>
  <si>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</si>
  <si>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</si>
  <si>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</si>
  <si>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</si>
  <si>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</si>
  <si>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</si>
  <si>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</si>
  <si>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</si>
  <si>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</si>
  <si>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</si>
  <si>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</si>
  <si>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</si>
  <si>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</si>
  <si>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</si>
  <si>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</si>
  <si>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</si>
  <si>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</si>
  <si>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</si>
  <si>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</si>
  <si>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</si>
  <si>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</si>
  <si>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</si>
  <si>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</si>
  <si>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</si>
  <si>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</si>
  <si>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</si>
  <si>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</si>
  <si>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</si>
  <si>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</si>
  <si>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</si>
  <si>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</si>
  <si>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</si>
  <si>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</si>
  <si>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</si>
  <si>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</si>
  <si>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</si>
  <si>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</si>
  <si>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</si>
  <si>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</si>
  <si>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</si>
  <si>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</si>
  <si>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</si>
  <si>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</si>
  <si>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</si>
  <si>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</si>
  <si>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</si>
  <si>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</si>
  <si>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</si>
  <si>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</si>
  <si>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</si>
  <si>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</si>
  <si>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</si>
  <si>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</si>
  <si>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</si>
  <si>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</si>
  <si>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Transportista Indep.TRANSACUE S.A.</t>
  </si>
  <si>
    <t>SEGÚN 1.4.</t>
  </si>
  <si>
    <t>SEGÚN 2.2.4.</t>
  </si>
  <si>
    <t>SALIDA ALIM Coop. C. RIVADAVIA</t>
  </si>
  <si>
    <t>SALIDA LIN PAMPA CASTILLO - EL TORDILLO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</si>
  <si>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</si>
  <si>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</si>
  <si>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</si>
  <si>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</si>
  <si>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</si>
  <si>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</si>
  <si>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</si>
  <si>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</si>
  <si>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</si>
  <si>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</si>
  <si>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</si>
  <si>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</si>
  <si>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</si>
  <si>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</si>
  <si>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</si>
  <si>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</si>
  <si>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</si>
  <si>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</si>
  <si>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</si>
  <si>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</si>
  <si>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</si>
  <si>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</si>
  <si>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</si>
  <si>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</si>
  <si>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</si>
  <si>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</si>
  <si>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</si>
  <si>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</si>
  <si>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</si>
  <si>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</si>
  <si>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</si>
  <si>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</si>
  <si>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</si>
  <si>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</si>
  <si>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</si>
  <si>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</si>
  <si>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</si>
  <si>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</si>
  <si>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</si>
  <si>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</si>
  <si>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</si>
  <si>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</si>
  <si>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</si>
  <si>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</si>
  <si>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</si>
  <si>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</si>
  <si>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</si>
  <si>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</si>
  <si>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R</t>
  </si>
  <si>
    <t>MODELO VST</t>
  </si>
  <si>
    <t>DAG</t>
  </si>
  <si>
    <t>MODELO L EDERSA</t>
  </si>
  <si>
    <t>MODELO L SPSE</t>
  </si>
  <si>
    <t>MODELO L TRANSACUE</t>
  </si>
  <si>
    <t>MODELO T EDERSA</t>
  </si>
  <si>
    <t>MODELO T SPSE</t>
  </si>
  <si>
    <t>MODELO S EDERSA</t>
  </si>
  <si>
    <t>MODELO S SPSE</t>
  </si>
  <si>
    <t>MODELO S TRANSACUE</t>
  </si>
  <si>
    <t>TRANSPA_CAUSAS_VST.XLS</t>
  </si>
  <si>
    <t>ID EQUIPO</t>
  </si>
  <si>
    <t>INDISP</t>
  </si>
  <si>
    <t xml:space="preserve">        DE LA ELECTRICIDAD</t>
  </si>
  <si>
    <t xml:space="preserve">           ENTE NACIONAL REGULADOR </t>
  </si>
  <si>
    <t>(DTE 0609)</t>
  </si>
  <si>
    <t>Col09</t>
  </si>
  <si>
    <t>-</t>
  </si>
  <si>
    <t>TRANSPA_INDISPONIBILIDADES_LINEAS_TRANSPA.XLS</t>
  </si>
  <si>
    <t>TRANSPA_INDISPONIBILIDADES_LINEAS_EDERSA.XLS</t>
  </si>
  <si>
    <t>TRANSPA_INDISPONIBILIDADES_LINEAS_SPSE.XLS</t>
  </si>
  <si>
    <t>TRANSPA_INDISPONIBILIDADES_LINEAS_TRANSACUE.XLS</t>
  </si>
  <si>
    <t>TRANSPA_INDISPONIBILIDADES_TRAFOS_TRANSPA.XLS</t>
  </si>
  <si>
    <t>TRANSPA_INDISPONIBILIDADES_TRAFOS_EDERSA.XLS</t>
  </si>
  <si>
    <t>TRANSPA_INDISPONIBILIDADES_TRAFOS_SPSE.XLS</t>
  </si>
  <si>
    <t>TRANSPA_INDISPONIBILIDADES_SALIDAS_TRANSPA.XLS</t>
  </si>
  <si>
    <t>TRANSPA_INDISPONIBILIDADES_SALIDAS_EDERSA.XLS</t>
  </si>
  <si>
    <t>TRANSPA_INDISPONIBILIDADES_SALIDAS_SPSE.XLS</t>
  </si>
  <si>
    <t>TRANSPA_INDISPONIBILIDADES_SALIDAS_TRANSACUE.XLS</t>
  </si>
  <si>
    <t>TRANSPA_INDISPONIBILIDADES_REACTIVOS_TRANSPA.XLS</t>
  </si>
  <si>
    <t>TRANSPA_INDISPONIBILIDADES_DAG.XLS</t>
  </si>
  <si>
    <t>Desde el 01 al 31 de agosto de 2012</t>
  </si>
  <si>
    <t>S.A. OESTE - S.A. ESTE</t>
  </si>
  <si>
    <t>F</t>
  </si>
  <si>
    <t>SI</t>
  </si>
  <si>
    <t>0,000</t>
  </si>
  <si>
    <t>S.A. ESTE - VIEDMA</t>
  </si>
  <si>
    <t>P</t>
  </si>
  <si>
    <t>SAM ANTONIO ESTE</t>
  </si>
  <si>
    <t>132/33/13,2</t>
  </si>
  <si>
    <t>TRAFO 4</t>
  </si>
  <si>
    <t>TRAFO 5</t>
  </si>
  <si>
    <t>132/33/6,6</t>
  </si>
  <si>
    <t>S.A. ESTE</t>
  </si>
  <si>
    <t>SALIDA LINEA CONESA</t>
  </si>
  <si>
    <t>SALIDA ALIM. 6 A VIEDMA  1</t>
  </si>
  <si>
    <t>SALIDA ALIM. 5 A VIEDMA  2</t>
  </si>
  <si>
    <t>SALIDA ALIM 3 A VIEDMA  3</t>
  </si>
  <si>
    <t xml:space="preserve">P.COLORADA </t>
  </si>
  <si>
    <t>SALIDA ALIM. EL SALADO</t>
  </si>
  <si>
    <t>SALIDA TRAFO 2</t>
  </si>
  <si>
    <t>3.-</t>
  </si>
  <si>
    <t>3.1.-</t>
  </si>
  <si>
    <t>3.2.-</t>
  </si>
  <si>
    <t>3.1.- SUPERVISIÓN - Transportista Independiente E.D.E.R.S.A.</t>
  </si>
  <si>
    <t>3.2.- SUPERVISIÓN - Transportista Independiente TRANSACUE S.A.</t>
  </si>
  <si>
    <t xml:space="preserve"> -</t>
  </si>
  <si>
    <t>P - PROGRAMADA  ; 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</si>
  <si>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</si>
  <si>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P - PROGRAMADA  </t>
  </si>
  <si>
    <t xml:space="preserve">                  DE LA ELECTRICIDAD</t>
  </si>
  <si>
    <t xml:space="preserve">                   DE LA ELECTRICIDAD</t>
  </si>
  <si>
    <t>1.1.-</t>
  </si>
  <si>
    <t>2.1.1.-</t>
  </si>
  <si>
    <t>2.2.1.-</t>
  </si>
  <si>
    <t>1.1.- Transportista Independiente E.D.E.R.S.A.</t>
  </si>
  <si>
    <t xml:space="preserve"> 2.1.1.- Transportista Independiente E.D.E.R.S.A.</t>
  </si>
  <si>
    <t>2.2.1.- Transportista Independiente E.D.E.R.S.A.</t>
  </si>
  <si>
    <t>1.2.- Transportista Independiente TRANSACUE S.A.</t>
  </si>
  <si>
    <t>2.2.2.- Transportista Independiente TRANSACUE S.A.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</si>
  <si>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</si>
  <si>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</si>
  <si>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</si>
  <si>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</si>
  <si>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</si>
  <si>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</si>
  <si>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</si>
  <si>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</si>
  <si>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</si>
  <si>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ANEXO II al Memorándum  D.T.E.E.  N°             / 2013</t>
  </si>
  <si>
    <t>TOTAL DE PENALIZACIONES A APLICAR</t>
  </si>
  <si>
    <t>Valores remuneratorios según Res. ENRE N° 331/08 y Res. ENRE N° 645/08</t>
  </si>
  <si>
    <t>Acuerdo Instrumental del Acta Acuerdo UNIREN - TRANSPA S.A. (Decreto PEN N° 1779/07)</t>
  </si>
  <si>
    <t>Tasa de falla correspondiente al mes de agosto de 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</si>
</sst>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#,##0.000000_ ;\-#,##0.000000\ "/>
  </numFmts>
  <fonts count="1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i/>
      <sz val="11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1" applyNumberFormat="0" applyAlignment="0" applyProtection="0"/>
    <xf numFmtId="0" fontId="103" fillId="22" borderId="2" applyNumberFormat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0" applyNumberFormat="0" applyFill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7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0" fillId="21" borderId="6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7" applyNumberFormat="0" applyFill="0" applyAlignment="0" applyProtection="0"/>
    <xf numFmtId="0" fontId="106" fillId="0" borderId="8" applyNumberFormat="0" applyFill="0" applyAlignment="0" applyProtection="0"/>
    <xf numFmtId="0" fontId="115" fillId="0" borderId="9" applyNumberFormat="0" applyFill="0" applyAlignment="0" applyProtection="0"/>
  </cellStyleXfs>
  <cellXfs count="6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8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7" fontId="8" fillId="0" borderId="31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0" xfId="0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 quotePrefix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 applyProtection="1" quotePrefix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0" xfId="0" applyFont="1" applyBorder="1" applyAlignment="1" applyProtection="1">
      <alignment horizontal="left"/>
      <protection/>
    </xf>
    <xf numFmtId="171" fontId="0" fillId="0" borderId="3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171" fontId="25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0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1" xfId="0" applyFont="1" applyBorder="1" applyAlignment="1" applyProtection="1">
      <alignment horizontal="centerContinuous"/>
      <protection/>
    </xf>
    <xf numFmtId="167" fontId="0" fillId="0" borderId="31" xfId="0" applyNumberFormat="1" applyFont="1" applyBorder="1" applyAlignment="1">
      <alignment horizontal="centerContinuous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8" xfId="0" applyNumberFormat="1" applyFont="1" applyFill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/>
    </xf>
    <xf numFmtId="0" fontId="45" fillId="33" borderId="28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8" fontId="47" fillId="33" borderId="12" xfId="0" applyNumberFormat="1" applyFont="1" applyFill="1" applyBorder="1" applyAlignment="1" applyProtection="1">
      <alignment horizontal="center"/>
      <protection/>
    </xf>
    <xf numFmtId="168" fontId="47" fillId="33" borderId="13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171" fontId="47" fillId="33" borderId="12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2" fillId="34" borderId="28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52" fillId="35" borderId="28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/>
    </xf>
    <xf numFmtId="0" fontId="53" fillId="35" borderId="12" xfId="0" applyFont="1" applyFill="1" applyBorder="1" applyAlignment="1">
      <alignment/>
    </xf>
    <xf numFmtId="0" fontId="27" fillId="36" borderId="28" xfId="0" applyFont="1" applyFill="1" applyBorder="1" applyAlignment="1" applyProtection="1">
      <alignment horizontal="centerContinuous" vertical="center" wrapText="1"/>
      <protection/>
    </xf>
    <xf numFmtId="0" fontId="25" fillId="36" borderId="29" xfId="0" applyFont="1" applyFill="1" applyBorder="1" applyAlignment="1">
      <alignment horizontal="centerContinuous"/>
    </xf>
    <xf numFmtId="0" fontId="27" fillId="36" borderId="31" xfId="0" applyFont="1" applyFill="1" applyBorder="1" applyAlignment="1">
      <alignment horizontal="centerContinuous" vertical="center"/>
    </xf>
    <xf numFmtId="0" fontId="55" fillId="36" borderId="34" xfId="0" applyFont="1" applyFill="1" applyBorder="1" applyAlignment="1">
      <alignment horizontal="center"/>
    </xf>
    <xf numFmtId="0" fontId="55" fillId="36" borderId="35" xfId="0" applyFont="1" applyFill="1" applyBorder="1" applyAlignment="1">
      <alignment/>
    </xf>
    <xf numFmtId="0" fontId="55" fillId="36" borderId="36" xfId="0" applyFont="1" applyFill="1" applyBorder="1" applyAlignment="1">
      <alignment/>
    </xf>
    <xf numFmtId="0" fontId="55" fillId="36" borderId="37" xfId="0" applyFont="1" applyFill="1" applyBorder="1" applyAlignment="1">
      <alignment horizontal="center"/>
    </xf>
    <xf numFmtId="0" fontId="55" fillId="36" borderId="38" xfId="0" applyFont="1" applyFill="1" applyBorder="1" applyAlignment="1">
      <alignment/>
    </xf>
    <xf numFmtId="0" fontId="55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37" borderId="28" xfId="0" applyFont="1" applyFill="1" applyBorder="1" applyAlignment="1" applyProtection="1">
      <alignment horizontal="centerContinuous" vertical="center" wrapText="1"/>
      <protection/>
    </xf>
    <xf numFmtId="0" fontId="25" fillId="37" borderId="29" xfId="0" applyFont="1" applyFill="1" applyBorder="1" applyAlignment="1">
      <alignment horizontal="centerContinuous"/>
    </xf>
    <xf numFmtId="0" fontId="27" fillId="37" borderId="31" xfId="0" applyFont="1" applyFill="1" applyBorder="1" applyAlignment="1">
      <alignment horizontal="centerContinuous" vertical="center"/>
    </xf>
    <xf numFmtId="0" fontId="55" fillId="37" borderId="34" xfId="0" applyFont="1" applyFill="1" applyBorder="1" applyAlignment="1">
      <alignment horizontal="center"/>
    </xf>
    <xf numFmtId="0" fontId="55" fillId="37" borderId="35" xfId="0" applyFont="1" applyFill="1" applyBorder="1" applyAlignment="1">
      <alignment/>
    </xf>
    <xf numFmtId="0" fontId="55" fillId="37" borderId="36" xfId="0" applyFont="1" applyFill="1" applyBorder="1" applyAlignment="1">
      <alignment/>
    </xf>
    <xf numFmtId="0" fontId="55" fillId="37" borderId="37" xfId="0" applyFont="1" applyFill="1" applyBorder="1" applyAlignment="1">
      <alignment horizontal="center"/>
    </xf>
    <xf numFmtId="0" fontId="55" fillId="37" borderId="38" xfId="0" applyFont="1" applyFill="1" applyBorder="1" applyAlignment="1">
      <alignment/>
    </xf>
    <xf numFmtId="0" fontId="55" fillId="37" borderId="16" xfId="0" applyFont="1" applyFill="1" applyBorder="1" applyAlignment="1">
      <alignment/>
    </xf>
    <xf numFmtId="0" fontId="27" fillId="36" borderId="28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0" fontId="55" fillId="38" borderId="15" xfId="0" applyFont="1" applyFill="1" applyBorder="1" applyAlignment="1">
      <alignment/>
    </xf>
    <xf numFmtId="0" fontId="55" fillId="38" borderId="12" xfId="0" applyFont="1" applyFill="1" applyBorder="1" applyAlignment="1">
      <alignment/>
    </xf>
    <xf numFmtId="0" fontId="52" fillId="39" borderId="28" xfId="0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/>
    </xf>
    <xf numFmtId="0" fontId="53" fillId="39" borderId="12" xfId="0" applyFont="1" applyFill="1" applyBorder="1" applyAlignment="1">
      <alignment/>
    </xf>
    <xf numFmtId="2" fontId="51" fillId="34" borderId="28" xfId="0" applyNumberFormat="1" applyFont="1" applyFill="1" applyBorder="1" applyAlignment="1">
      <alignment horizontal="center"/>
    </xf>
    <xf numFmtId="2" fontId="51" fillId="35" borderId="28" xfId="0" applyNumberFormat="1" applyFont="1" applyFill="1" applyBorder="1" applyAlignment="1">
      <alignment horizontal="center"/>
    </xf>
    <xf numFmtId="168" fontId="56" fillId="36" borderId="28" xfId="0" applyNumberFormat="1" applyFont="1" applyFill="1" applyBorder="1" applyAlignment="1" applyProtection="1" quotePrefix="1">
      <alignment horizontal="center"/>
      <protection/>
    </xf>
    <xf numFmtId="4" fontId="56" fillId="36" borderId="28" xfId="0" applyNumberFormat="1" applyFont="1" applyFill="1" applyBorder="1" applyAlignment="1">
      <alignment horizontal="center"/>
    </xf>
    <xf numFmtId="168" fontId="56" fillId="37" borderId="28" xfId="0" applyNumberFormat="1" applyFont="1" applyFill="1" applyBorder="1" applyAlignment="1" applyProtection="1" quotePrefix="1">
      <alignment horizontal="center"/>
      <protection/>
    </xf>
    <xf numFmtId="4" fontId="56" fillId="37" borderId="28" xfId="0" applyNumberFormat="1" applyFont="1" applyFill="1" applyBorder="1" applyAlignment="1">
      <alignment horizontal="center"/>
    </xf>
    <xf numFmtId="168" fontId="56" fillId="38" borderId="28" xfId="0" applyNumberFormat="1" applyFont="1" applyFill="1" applyBorder="1" applyAlignment="1" applyProtection="1" quotePrefix="1">
      <alignment horizontal="center"/>
      <protection/>
    </xf>
    <xf numFmtId="4" fontId="51" fillId="39" borderId="28" xfId="0" applyNumberFormat="1" applyFont="1" applyFill="1" applyBorder="1" applyAlignment="1">
      <alignment horizontal="center"/>
    </xf>
    <xf numFmtId="0" fontId="52" fillId="39" borderId="28" xfId="0" applyFont="1" applyFill="1" applyBorder="1" applyAlignment="1" applyProtection="1">
      <alignment horizontal="center" vertical="center"/>
      <protection/>
    </xf>
    <xf numFmtId="0" fontId="51" fillId="39" borderId="15" xfId="0" applyFont="1" applyFill="1" applyBorder="1" applyAlignment="1">
      <alignment/>
    </xf>
    <xf numFmtId="0" fontId="51" fillId="39" borderId="12" xfId="0" applyFont="1" applyFill="1" applyBorder="1" applyAlignment="1">
      <alignment/>
    </xf>
    <xf numFmtId="4" fontId="51" fillId="39" borderId="12" xfId="0" applyNumberFormat="1" applyFont="1" applyFill="1" applyBorder="1" applyAlignment="1" applyProtection="1">
      <alignment horizontal="center"/>
      <protection/>
    </xf>
    <xf numFmtId="0" fontId="51" fillId="39" borderId="13" xfId="0" applyFont="1" applyFill="1" applyBorder="1" applyAlignment="1">
      <alignment/>
    </xf>
    <xf numFmtId="0" fontId="56" fillId="38" borderId="15" xfId="0" applyFont="1" applyFill="1" applyBorder="1" applyAlignment="1">
      <alignment/>
    </xf>
    <xf numFmtId="0" fontId="56" fillId="38" borderId="12" xfId="0" applyFont="1" applyFill="1" applyBorder="1" applyAlignment="1">
      <alignment/>
    </xf>
    <xf numFmtId="2" fontId="56" fillId="38" borderId="12" xfId="0" applyNumberFormat="1" applyFont="1" applyFill="1" applyBorder="1" applyAlignment="1">
      <alignment horizontal="center"/>
    </xf>
    <xf numFmtId="0" fontId="56" fillId="38" borderId="13" xfId="0" applyFont="1" applyFill="1" applyBorder="1" applyAlignment="1">
      <alignment/>
    </xf>
    <xf numFmtId="7" fontId="56" fillId="38" borderId="28" xfId="0" applyNumberFormat="1" applyFont="1" applyFill="1" applyBorder="1" applyAlignment="1">
      <alignment horizontal="center"/>
    </xf>
    <xf numFmtId="0" fontId="27" fillId="40" borderId="28" xfId="0" applyFont="1" applyFill="1" applyBorder="1" applyAlignment="1">
      <alignment horizontal="center" vertical="center" wrapText="1"/>
    </xf>
    <xf numFmtId="0" fontId="56" fillId="40" borderId="15" xfId="0" applyFont="1" applyFill="1" applyBorder="1" applyAlignment="1">
      <alignment/>
    </xf>
    <xf numFmtId="0" fontId="56" fillId="40" borderId="12" xfId="0" applyFont="1" applyFill="1" applyBorder="1" applyAlignment="1">
      <alignment/>
    </xf>
    <xf numFmtId="2" fontId="56" fillId="40" borderId="12" xfId="0" applyNumberFormat="1" applyFont="1" applyFill="1" applyBorder="1" applyAlignment="1">
      <alignment horizontal="center"/>
    </xf>
    <xf numFmtId="0" fontId="56" fillId="40" borderId="13" xfId="0" applyFont="1" applyFill="1" applyBorder="1" applyAlignment="1">
      <alignment/>
    </xf>
    <xf numFmtId="7" fontId="56" fillId="40" borderId="28" xfId="0" applyNumberFormat="1" applyFont="1" applyFill="1" applyBorder="1" applyAlignment="1">
      <alignment horizontal="center"/>
    </xf>
    <xf numFmtId="0" fontId="52" fillId="41" borderId="30" xfId="0" applyFont="1" applyFill="1" applyBorder="1" applyAlignment="1" applyProtection="1">
      <alignment horizontal="centerContinuous" vertical="center" wrapText="1"/>
      <protection/>
    </xf>
    <xf numFmtId="0" fontId="52" fillId="41" borderId="31" xfId="0" applyFont="1" applyFill="1" applyBorder="1" applyAlignment="1">
      <alignment horizontal="centerContinuous" vertical="center"/>
    </xf>
    <xf numFmtId="0" fontId="51" fillId="41" borderId="34" xfId="0" applyFont="1" applyFill="1" applyBorder="1" applyAlignment="1">
      <alignment horizontal="center"/>
    </xf>
    <xf numFmtId="0" fontId="51" fillId="41" borderId="36" xfId="0" applyFont="1" applyFill="1" applyBorder="1" applyAlignment="1">
      <alignment/>
    </xf>
    <xf numFmtId="0" fontId="51" fillId="41" borderId="37" xfId="0" applyFont="1" applyFill="1" applyBorder="1" applyAlignment="1">
      <alignment horizontal="center"/>
    </xf>
    <xf numFmtId="0" fontId="51" fillId="41" borderId="16" xfId="0" applyFont="1" applyFill="1" applyBorder="1" applyAlignment="1">
      <alignment/>
    </xf>
    <xf numFmtId="168" fontId="51" fillId="41" borderId="37" xfId="0" applyNumberFormat="1" applyFont="1" applyFill="1" applyBorder="1" applyAlignment="1" applyProtection="1" quotePrefix="1">
      <alignment horizontal="center"/>
      <protection/>
    </xf>
    <xf numFmtId="168" fontId="51" fillId="41" borderId="19" xfId="0" applyNumberFormat="1" applyFont="1" applyFill="1" applyBorder="1" applyAlignment="1" applyProtection="1" quotePrefix="1">
      <alignment horizontal="center"/>
      <protection/>
    </xf>
    <xf numFmtId="7" fontId="51" fillId="41" borderId="28" xfId="0" applyNumberFormat="1" applyFont="1" applyFill="1" applyBorder="1" applyAlignment="1">
      <alignment horizontal="center"/>
    </xf>
    <xf numFmtId="0" fontId="52" fillId="34" borderId="30" xfId="0" applyFont="1" applyFill="1" applyBorder="1" applyAlignment="1" applyProtection="1">
      <alignment horizontal="centerContinuous" vertical="center" wrapText="1"/>
      <protection/>
    </xf>
    <xf numFmtId="0" fontId="52" fillId="34" borderId="31" xfId="0" applyFont="1" applyFill="1" applyBorder="1" applyAlignment="1">
      <alignment horizontal="centerContinuous" vertical="center"/>
    </xf>
    <xf numFmtId="0" fontId="51" fillId="34" borderId="34" xfId="0" applyFont="1" applyFill="1" applyBorder="1" applyAlignment="1">
      <alignment horizontal="center"/>
    </xf>
    <xf numFmtId="0" fontId="51" fillId="34" borderId="36" xfId="0" applyFont="1" applyFill="1" applyBorder="1" applyAlignment="1">
      <alignment/>
    </xf>
    <xf numFmtId="0" fontId="51" fillId="34" borderId="37" xfId="0" applyFont="1" applyFill="1" applyBorder="1" applyAlignment="1">
      <alignment horizontal="center"/>
    </xf>
    <xf numFmtId="0" fontId="51" fillId="34" borderId="16" xfId="0" applyFont="1" applyFill="1" applyBorder="1" applyAlignment="1">
      <alignment/>
    </xf>
    <xf numFmtId="168" fontId="51" fillId="34" borderId="37" xfId="0" applyNumberFormat="1" applyFont="1" applyFill="1" applyBorder="1" applyAlignment="1" applyProtection="1" quotePrefix="1">
      <alignment horizontal="center"/>
      <protection/>
    </xf>
    <xf numFmtId="168" fontId="51" fillId="34" borderId="19" xfId="0" applyNumberFormat="1" applyFont="1" applyFill="1" applyBorder="1" applyAlignment="1" applyProtection="1" quotePrefix="1">
      <alignment horizontal="center"/>
      <protection/>
    </xf>
    <xf numFmtId="7" fontId="51" fillId="34" borderId="28" xfId="0" applyNumberFormat="1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68" fontId="49" fillId="36" borderId="12" xfId="0" applyNumberFormat="1" applyFont="1" applyFill="1" applyBorder="1" applyAlignment="1" applyProtection="1" quotePrefix="1">
      <alignment horizontal="center"/>
      <protection/>
    </xf>
    <xf numFmtId="0" fontId="49" fillId="36" borderId="13" xfId="0" applyFont="1" applyFill="1" applyBorder="1" applyAlignment="1">
      <alignment/>
    </xf>
    <xf numFmtId="7" fontId="49" fillId="36" borderId="28" xfId="0" applyNumberFormat="1" applyFont="1" applyFill="1" applyBorder="1" applyAlignment="1">
      <alignment horizontal="center"/>
    </xf>
    <xf numFmtId="0" fontId="27" fillId="37" borderId="28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/>
    </xf>
    <xf numFmtId="0" fontId="56" fillId="37" borderId="12" xfId="0" applyFont="1" applyFill="1" applyBorder="1" applyAlignment="1">
      <alignment/>
    </xf>
    <xf numFmtId="168" fontId="56" fillId="37" borderId="12" xfId="0" applyNumberFormat="1" applyFont="1" applyFill="1" applyBorder="1" applyAlignment="1" applyProtection="1" quotePrefix="1">
      <alignment horizontal="center"/>
      <protection/>
    </xf>
    <xf numFmtId="0" fontId="56" fillId="37" borderId="13" xfId="0" applyFont="1" applyFill="1" applyBorder="1" applyAlignment="1">
      <alignment/>
    </xf>
    <xf numFmtId="7" fontId="56" fillId="37" borderId="28" xfId="0" applyNumberFormat="1" applyFont="1" applyFill="1" applyBorder="1" applyAlignment="1">
      <alignment horizontal="center"/>
    </xf>
    <xf numFmtId="0" fontId="51" fillId="41" borderId="39" xfId="0" applyFont="1" applyFill="1" applyBorder="1" applyAlignment="1">
      <alignment/>
    </xf>
    <xf numFmtId="0" fontId="51" fillId="41" borderId="40" xfId="0" applyFont="1" applyFill="1" applyBorder="1" applyAlignment="1">
      <alignment/>
    </xf>
    <xf numFmtId="0" fontId="51" fillId="34" borderId="39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2" fillId="37" borderId="28" xfId="0" applyFont="1" applyFill="1" applyBorder="1" applyAlignment="1" applyProtection="1">
      <alignment horizontal="center" vertical="center"/>
      <protection/>
    </xf>
    <xf numFmtId="164" fontId="51" fillId="37" borderId="12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1" fillId="37" borderId="15" xfId="0" applyNumberFormat="1" applyFont="1" applyFill="1" applyBorder="1" applyAlignment="1" applyProtection="1">
      <alignment horizontal="center"/>
      <protection/>
    </xf>
    <xf numFmtId="168" fontId="10" fillId="0" borderId="15" xfId="0" applyNumberFormat="1" applyFont="1" applyFill="1" applyBorder="1" applyAlignment="1">
      <alignment horizontal="center"/>
    </xf>
    <xf numFmtId="2" fontId="56" fillId="36" borderId="15" xfId="0" applyNumberFormat="1" applyFont="1" applyFill="1" applyBorder="1" applyAlignment="1">
      <alignment horizontal="center"/>
    </xf>
    <xf numFmtId="2" fontId="56" fillId="36" borderId="12" xfId="0" applyNumberFormat="1" applyFont="1" applyFill="1" applyBorder="1" applyAlignment="1">
      <alignment horizontal="center"/>
    </xf>
    <xf numFmtId="168" fontId="51" fillId="34" borderId="34" xfId="0" applyNumberFormat="1" applyFont="1" applyFill="1" applyBorder="1" applyAlignment="1" applyProtection="1" quotePrefix="1">
      <alignment horizontal="center"/>
      <protection/>
    </xf>
    <xf numFmtId="168" fontId="51" fillId="34" borderId="41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Fill="1" applyBorder="1" applyAlignment="1" applyProtection="1">
      <alignment horizontal="center"/>
      <protection/>
    </xf>
    <xf numFmtId="0" fontId="52" fillId="39" borderId="28" xfId="0" applyFont="1" applyFill="1" applyBorder="1" applyAlignment="1" applyProtection="1">
      <alignment horizontal="centerContinuous" vertical="center" wrapText="1"/>
      <protection/>
    </xf>
    <xf numFmtId="168" fontId="51" fillId="39" borderId="15" xfId="0" applyNumberFormat="1" applyFont="1" applyFill="1" applyBorder="1" applyAlignment="1" applyProtection="1" quotePrefix="1">
      <alignment horizontal="center"/>
      <protection/>
    </xf>
    <xf numFmtId="168" fontId="51" fillId="39" borderId="12" xfId="0" applyNumberFormat="1" applyFont="1" applyFill="1" applyBorder="1" applyAlignment="1" applyProtection="1" quotePrefix="1">
      <alignment horizontal="center"/>
      <protection/>
    </xf>
    <xf numFmtId="2" fontId="56" fillId="36" borderId="28" xfId="0" applyNumberFormat="1" applyFont="1" applyFill="1" applyBorder="1" applyAlignment="1">
      <alignment horizontal="center"/>
    </xf>
    <xf numFmtId="2" fontId="51" fillId="39" borderId="2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57" fillId="0" borderId="21" xfId="0" applyFont="1" applyBorder="1" applyAlignment="1">
      <alignment/>
    </xf>
    <xf numFmtId="0" fontId="58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2" xfId="0" applyFont="1" applyBorder="1" applyAlignment="1" applyProtection="1">
      <alignment horizontal="left"/>
      <protection/>
    </xf>
    <xf numFmtId="171" fontId="0" fillId="0" borderId="43" xfId="0" applyNumberFormat="1" applyFont="1" applyBorder="1" applyAlignment="1" applyProtection="1">
      <alignment horizontal="centerContinuous"/>
      <protection/>
    </xf>
    <xf numFmtId="0" fontId="10" fillId="0" borderId="44" xfId="0" applyFont="1" applyBorder="1" applyAlignment="1">
      <alignment horizontal="centerContinuous"/>
    </xf>
    <xf numFmtId="0" fontId="10" fillId="0" borderId="45" xfId="0" applyFont="1" applyFill="1" applyBorder="1" applyAlignment="1">
      <alignment/>
    </xf>
    <xf numFmtId="0" fontId="10" fillId="0" borderId="46" xfId="0" applyFont="1" applyBorder="1" applyAlignment="1" applyProtection="1">
      <alignment horizontal="right"/>
      <protection/>
    </xf>
    <xf numFmtId="173" fontId="1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171" fontId="25" fillId="0" borderId="49" xfId="0" applyNumberFormat="1" applyFont="1" applyBorder="1" applyAlignment="1">
      <alignment horizontal="centerContinuous"/>
    </xf>
    <xf numFmtId="0" fontId="10" fillId="0" borderId="50" xfId="0" applyFont="1" applyBorder="1" applyAlignment="1">
      <alignment horizontal="centerContinuous"/>
    </xf>
    <xf numFmtId="0" fontId="10" fillId="0" borderId="51" xfId="0" applyFont="1" applyFill="1" applyBorder="1" applyAlignment="1">
      <alignment/>
    </xf>
    <xf numFmtId="168" fontId="10" fillId="0" borderId="52" xfId="0" applyNumberFormat="1" applyFont="1" applyBorder="1" applyAlignment="1" applyProtection="1">
      <alignment horizontal="right"/>
      <protection/>
    </xf>
    <xf numFmtId="171" fontId="10" fillId="0" borderId="53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171" fontId="25" fillId="0" borderId="52" xfId="0" applyNumberFormat="1" applyFont="1" applyBorder="1" applyAlignment="1">
      <alignment horizontal="centerContinuous"/>
    </xf>
    <xf numFmtId="0" fontId="10" fillId="0" borderId="55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6" xfId="0" applyNumberFormat="1" applyFont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7" fontId="19" fillId="0" borderId="58" xfId="0" applyNumberFormat="1" applyFont="1" applyBorder="1" applyAlignment="1">
      <alignment horizontal="center"/>
    </xf>
    <xf numFmtId="0" fontId="10" fillId="0" borderId="59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2" fontId="10" fillId="0" borderId="60" xfId="0" applyNumberFormat="1" applyFont="1" applyBorder="1" applyAlignment="1" applyProtection="1">
      <alignment horizontal="center"/>
      <protection/>
    </xf>
    <xf numFmtId="168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right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168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right"/>
      <protection/>
    </xf>
    <xf numFmtId="7" fontId="10" fillId="0" borderId="63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0" fontId="0" fillId="0" borderId="57" xfId="0" applyBorder="1" applyAlignment="1">
      <alignment horizontal="centerContinuous"/>
    </xf>
    <xf numFmtId="0" fontId="10" fillId="0" borderId="49" xfId="0" applyFont="1" applyBorder="1" applyAlignment="1" applyProtection="1">
      <alignment horizontal="centerContinuous"/>
      <protection/>
    </xf>
    <xf numFmtId="0" fontId="0" fillId="0" borderId="49" xfId="0" applyBorder="1" applyAlignment="1">
      <alignment horizontal="center"/>
    </xf>
    <xf numFmtId="168" fontId="10" fillId="0" borderId="57" xfId="0" applyNumberFormat="1" applyFont="1" applyBorder="1" applyAlignment="1" applyProtection="1">
      <alignment horizontal="centerContinuous"/>
      <protection/>
    </xf>
    <xf numFmtId="2" fontId="22" fillId="0" borderId="64" xfId="0" applyNumberFormat="1" applyFont="1" applyBorder="1" applyAlignment="1">
      <alignment horizontal="centerContinuous"/>
    </xf>
    <xf numFmtId="7" fontId="10" fillId="0" borderId="59" xfId="0" applyNumberFormat="1" applyFont="1" applyBorder="1" applyAlignment="1">
      <alignment horizontal="centerContinuous"/>
    </xf>
    <xf numFmtId="168" fontId="10" fillId="0" borderId="60" xfId="0" applyNumberFormat="1" applyFont="1" applyBorder="1" applyAlignment="1" applyProtection="1" quotePrefix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0" fontId="10" fillId="0" borderId="66" xfId="0" applyFont="1" applyBorder="1" applyAlignment="1" applyProtection="1">
      <alignment horizontal="center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2" fontId="22" fillId="0" borderId="68" xfId="0" applyNumberFormat="1" applyFont="1" applyBorder="1" applyAlignment="1">
      <alignment horizontal="centerContinuous"/>
    </xf>
    <xf numFmtId="7" fontId="10" fillId="0" borderId="62" xfId="0" applyNumberFormat="1" applyFont="1" applyBorder="1" applyAlignment="1">
      <alignment horizontal="centerContinuous"/>
    </xf>
    <xf numFmtId="168" fontId="10" fillId="0" borderId="56" xfId="0" applyNumberFormat="1" applyFont="1" applyBorder="1" applyAlignment="1" applyProtection="1" quotePrefix="1">
      <alignment horizontal="center"/>
      <protection/>
    </xf>
    <xf numFmtId="7" fontId="10" fillId="0" borderId="62" xfId="0" applyNumberFormat="1" applyFont="1" applyBorder="1" applyAlignment="1" applyProtection="1">
      <alignment horizontal="centerContinuous"/>
      <protection/>
    </xf>
    <xf numFmtId="2" fontId="22" fillId="0" borderId="38" xfId="0" applyNumberFormat="1" applyFont="1" applyBorder="1" applyAlignment="1">
      <alignment horizontal="centerContinuous"/>
    </xf>
    <xf numFmtId="7" fontId="10" fillId="0" borderId="57" xfId="0" applyNumberFormat="1" applyFont="1" applyBorder="1" applyAlignment="1" applyProtection="1">
      <alignment horizontal="centerContinuous"/>
      <protection/>
    </xf>
    <xf numFmtId="5" fontId="8" fillId="0" borderId="30" xfId="0" applyNumberFormat="1" applyFont="1" applyBorder="1" applyAlignment="1" applyProtection="1">
      <alignment horizontal="center"/>
      <protection/>
    </xf>
    <xf numFmtId="7" fontId="8" fillId="0" borderId="31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2" fillId="0" borderId="3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9" xfId="0" applyNumberFormat="1" applyFont="1" applyBorder="1" applyAlignment="1" applyProtection="1">
      <alignment horizontal="centerContinuous"/>
      <protection/>
    </xf>
    <xf numFmtId="2" fontId="10" fillId="0" borderId="64" xfId="0" applyNumberFormat="1" applyFont="1" applyBorder="1" applyAlignment="1" applyProtection="1">
      <alignment horizontal="centerContinuous"/>
      <protection/>
    </xf>
    <xf numFmtId="2" fontId="10" fillId="0" borderId="6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8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38" xfId="0" applyNumberFormat="1" applyFont="1" applyBorder="1" applyAlignment="1" applyProtection="1">
      <alignment horizontal="centerContinuous"/>
      <protection/>
    </xf>
    <xf numFmtId="0" fontId="58" fillId="0" borderId="0" xfId="0" applyFont="1" applyFill="1" applyAlignment="1">
      <alignment horizontal="right" vertical="top"/>
    </xf>
    <xf numFmtId="0" fontId="0" fillId="0" borderId="30" xfId="0" applyFont="1" applyBorder="1" applyAlignment="1" applyProtection="1">
      <alignment horizontal="center" vertical="center"/>
      <protection/>
    </xf>
    <xf numFmtId="173" fontId="0" fillId="0" borderId="30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/>
      <protection locked="0"/>
    </xf>
    <xf numFmtId="0" fontId="7" fillId="0" borderId="72" xfId="0" applyFont="1" applyBorder="1" applyAlignment="1" applyProtection="1">
      <alignment horizontal="center"/>
      <protection locked="0"/>
    </xf>
    <xf numFmtId="2" fontId="7" fillId="0" borderId="72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1" fillId="34" borderId="13" xfId="0" applyNumberFormat="1" applyFont="1" applyFill="1" applyBorder="1" applyAlignment="1" applyProtection="1" quotePrefix="1">
      <alignment horizontal="center"/>
      <protection locked="0"/>
    </xf>
    <xf numFmtId="168" fontId="51" fillId="35" borderId="13" xfId="0" applyNumberFormat="1" applyFont="1" applyFill="1" applyBorder="1" applyAlignment="1" applyProtection="1" quotePrefix="1">
      <alignment horizontal="center"/>
      <protection locked="0"/>
    </xf>
    <xf numFmtId="168" fontId="56" fillId="36" borderId="39" xfId="0" applyNumberFormat="1" applyFont="1" applyFill="1" applyBorder="1" applyAlignment="1" applyProtection="1" quotePrefix="1">
      <alignment horizontal="center"/>
      <protection locked="0"/>
    </xf>
    <xf numFmtId="4" fontId="56" fillId="36" borderId="73" xfId="0" applyNumberFormat="1" applyFont="1" applyFill="1" applyBorder="1" applyAlignment="1" applyProtection="1">
      <alignment horizontal="center"/>
      <protection locked="0"/>
    </xf>
    <xf numFmtId="4" fontId="56" fillId="36" borderId="74" xfId="0" applyNumberFormat="1" applyFont="1" applyFill="1" applyBorder="1" applyAlignment="1" applyProtection="1">
      <alignment horizontal="center"/>
      <protection locked="0"/>
    </xf>
    <xf numFmtId="168" fontId="56" fillId="37" borderId="39" xfId="0" applyNumberFormat="1" applyFont="1" applyFill="1" applyBorder="1" applyAlignment="1" applyProtection="1" quotePrefix="1">
      <alignment horizontal="center"/>
      <protection locked="0"/>
    </xf>
    <xf numFmtId="4" fontId="56" fillId="37" borderId="73" xfId="0" applyNumberFormat="1" applyFont="1" applyFill="1" applyBorder="1" applyAlignment="1" applyProtection="1">
      <alignment horizontal="center"/>
      <protection locked="0"/>
    </xf>
    <xf numFmtId="4" fontId="56" fillId="37" borderId="74" xfId="0" applyNumberFormat="1" applyFont="1" applyFill="1" applyBorder="1" applyAlignment="1" applyProtection="1">
      <alignment horizontal="center"/>
      <protection locked="0"/>
    </xf>
    <xf numFmtId="4" fontId="56" fillId="38" borderId="13" xfId="0" applyNumberFormat="1" applyFont="1" applyFill="1" applyBorder="1" applyAlignment="1" applyProtection="1">
      <alignment horizontal="center"/>
      <protection locked="0"/>
    </xf>
    <xf numFmtId="4" fontId="51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51" fillId="39" borderId="13" xfId="0" applyFont="1" applyFill="1" applyBorder="1" applyAlignment="1" applyProtection="1">
      <alignment/>
      <protection locked="0"/>
    </xf>
    <xf numFmtId="0" fontId="51" fillId="34" borderId="39" xfId="0" applyFont="1" applyFill="1" applyBorder="1" applyAlignment="1" applyProtection="1">
      <alignment/>
      <protection locked="0"/>
    </xf>
    <xf numFmtId="0" fontId="51" fillId="34" borderId="4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0" fontId="51" fillId="37" borderId="13" xfId="0" applyFont="1" applyFill="1" applyBorder="1" applyAlignment="1" applyProtection="1">
      <alignment/>
      <protection locked="0"/>
    </xf>
    <xf numFmtId="0" fontId="56" fillId="36" borderId="13" xfId="0" applyFont="1" applyFill="1" applyBorder="1" applyAlignment="1" applyProtection="1">
      <alignment/>
      <protection locked="0"/>
    </xf>
    <xf numFmtId="172" fontId="9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8" fontId="11" fillId="0" borderId="49" xfId="0" applyNumberFormat="1" applyFont="1" applyBorder="1" applyAlignment="1" applyProtection="1">
      <alignment horizontal="center"/>
      <protection/>
    </xf>
    <xf numFmtId="168" fontId="61" fillId="0" borderId="0" xfId="0" applyNumberFormat="1" applyFont="1" applyBorder="1" applyAlignment="1" applyProtection="1" quotePrefix="1">
      <alignment horizontal="left"/>
      <protection/>
    </xf>
    <xf numFmtId="168" fontId="61" fillId="0" borderId="60" xfId="0" applyNumberFormat="1" applyFont="1" applyBorder="1" applyAlignment="1" applyProtection="1" quotePrefix="1">
      <alignment horizontal="left"/>
      <protection/>
    </xf>
    <xf numFmtId="168" fontId="61" fillId="0" borderId="56" xfId="0" applyNumberFormat="1" applyFont="1" applyBorder="1" applyAlignment="1" applyProtection="1" quotePrefix="1">
      <alignment horizontal="left"/>
      <protection/>
    </xf>
    <xf numFmtId="168" fontId="11" fillId="0" borderId="49" xfId="0" applyNumberFormat="1" applyFont="1" applyBorder="1" applyAlignment="1" applyProtection="1">
      <alignment horizontal="lef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177" fontId="11" fillId="0" borderId="58" xfId="0" applyNumberFormat="1" applyFont="1" applyBorder="1" applyAlignment="1" applyProtection="1">
      <alignment horizontal="right"/>
      <protection/>
    </xf>
    <xf numFmtId="7" fontId="30" fillId="0" borderId="59" xfId="0" applyNumberFormat="1" applyFont="1" applyBorder="1" applyAlignment="1">
      <alignment horizontal="left"/>
    </xf>
    <xf numFmtId="0" fontId="30" fillId="0" borderId="60" xfId="0" applyFont="1" applyBorder="1" applyAlignment="1" applyProtection="1">
      <alignment horizontal="centerContinuous"/>
      <protection/>
    </xf>
    <xf numFmtId="168" fontId="30" fillId="0" borderId="60" xfId="0" applyNumberFormat="1" applyFont="1" applyBorder="1" applyAlignment="1" applyProtection="1">
      <alignment horizontal="left"/>
      <protection/>
    </xf>
    <xf numFmtId="7" fontId="30" fillId="0" borderId="66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8" fontId="30" fillId="0" borderId="0" xfId="0" applyNumberFormat="1" applyFont="1" applyBorder="1" applyAlignment="1" applyProtection="1">
      <alignment horizontal="left"/>
      <protection/>
    </xf>
    <xf numFmtId="7" fontId="30" fillId="0" borderId="62" xfId="0" applyNumberFormat="1" applyFont="1" applyBorder="1" applyAlignment="1">
      <alignment horizontal="left"/>
    </xf>
    <xf numFmtId="0" fontId="30" fillId="0" borderId="56" xfId="0" applyFont="1" applyBorder="1" applyAlignment="1" applyProtection="1">
      <alignment horizontal="centerContinuous"/>
      <protection/>
    </xf>
    <xf numFmtId="168" fontId="30" fillId="0" borderId="56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67" fillId="33" borderId="58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58" xfId="0" applyFont="1" applyBorder="1" applyAlignment="1">
      <alignment/>
    </xf>
    <xf numFmtId="0" fontId="67" fillId="0" borderId="58" xfId="0" applyFont="1" applyBorder="1" applyAlignment="1" quotePrefix="1">
      <alignment/>
    </xf>
    <xf numFmtId="0" fontId="68" fillId="0" borderId="0" xfId="54" applyFont="1" applyFill="1" applyAlignment="1">
      <alignment/>
      <protection/>
    </xf>
    <xf numFmtId="0" fontId="67" fillId="33" borderId="58" xfId="0" applyFont="1" applyFill="1" applyBorder="1" applyAlignment="1">
      <alignment horizontal="center"/>
    </xf>
    <xf numFmtId="0" fontId="67" fillId="42" borderId="0" xfId="0" applyFont="1" applyFill="1" applyAlignment="1">
      <alignment/>
    </xf>
    <xf numFmtId="0" fontId="67" fillId="42" borderId="0" xfId="0" applyNumberFormat="1" applyFont="1" applyFill="1" applyAlignment="1">
      <alignment/>
    </xf>
    <xf numFmtId="0" fontId="67" fillId="0" borderId="58" xfId="0" applyFont="1" applyFill="1" applyBorder="1" applyAlignment="1">
      <alignment horizontal="center"/>
    </xf>
    <xf numFmtId="0" fontId="67" fillId="42" borderId="0" xfId="54" applyFont="1" applyFill="1" applyAlignment="1">
      <alignment/>
      <protection/>
    </xf>
    <xf numFmtId="0" fontId="69" fillId="0" borderId="58" xfId="0" applyFont="1" applyFill="1" applyBorder="1" applyAlignment="1">
      <alignment/>
    </xf>
    <xf numFmtId="0" fontId="70" fillId="0" borderId="58" xfId="0" applyFont="1" applyFill="1" applyBorder="1" applyAlignment="1">
      <alignment/>
    </xf>
    <xf numFmtId="0" fontId="70" fillId="0" borderId="63" xfId="0" applyFont="1" applyFill="1" applyBorder="1" applyAlignment="1">
      <alignment/>
    </xf>
    <xf numFmtId="0" fontId="71" fillId="0" borderId="58" xfId="0" applyFont="1" applyFill="1" applyBorder="1" applyAlignment="1">
      <alignment/>
    </xf>
    <xf numFmtId="0" fontId="71" fillId="0" borderId="63" xfId="0" applyFont="1" applyFill="1" applyBorder="1" applyAlignment="1">
      <alignment/>
    </xf>
    <xf numFmtId="0" fontId="71" fillId="38" borderId="58" xfId="0" applyFont="1" applyFill="1" applyBorder="1" applyAlignment="1">
      <alignment/>
    </xf>
    <xf numFmtId="0" fontId="0" fillId="0" borderId="0" xfId="0" applyAlignment="1" quotePrefix="1">
      <alignment/>
    </xf>
    <xf numFmtId="0" fontId="23" fillId="0" borderId="0" xfId="0" applyFont="1" applyAlignment="1">
      <alignment horizontal="centerContinuous"/>
    </xf>
    <xf numFmtId="0" fontId="39" fillId="0" borderId="0" xfId="0" applyFont="1" applyBorder="1" applyAlignment="1">
      <alignment horizontal="center"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8" xfId="51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51" fillId="34" borderId="12" xfId="0" applyNumberFormat="1" applyFont="1" applyFill="1" applyBorder="1" applyAlignment="1" applyProtection="1">
      <alignment horizontal="center"/>
      <protection/>
    </xf>
    <xf numFmtId="2" fontId="51" fillId="35" borderId="12" xfId="0" applyNumberFormat="1" applyFont="1" applyFill="1" applyBorder="1" applyAlignment="1" applyProtection="1">
      <alignment horizontal="center"/>
      <protection/>
    </xf>
    <xf numFmtId="168" fontId="56" fillId="36" borderId="37" xfId="0" applyNumberFormat="1" applyFont="1" applyFill="1" applyBorder="1" applyAlignment="1" applyProtection="1" quotePrefix="1">
      <alignment horizontal="center"/>
      <protection/>
    </xf>
    <xf numFmtId="168" fontId="56" fillId="36" borderId="38" xfId="0" applyNumberFormat="1" applyFont="1" applyFill="1" applyBorder="1" applyAlignment="1" applyProtection="1" quotePrefix="1">
      <alignment horizontal="center"/>
      <protection/>
    </xf>
    <xf numFmtId="4" fontId="56" fillId="36" borderId="16" xfId="0" applyNumberFormat="1" applyFont="1" applyFill="1" applyBorder="1" applyAlignment="1" applyProtection="1">
      <alignment horizontal="center"/>
      <protection/>
    </xf>
    <xf numFmtId="168" fontId="56" fillId="37" borderId="37" xfId="0" applyNumberFormat="1" applyFont="1" applyFill="1" applyBorder="1" applyAlignment="1" applyProtection="1" quotePrefix="1">
      <alignment horizontal="center"/>
      <protection/>
    </xf>
    <xf numFmtId="168" fontId="56" fillId="37" borderId="38" xfId="0" applyNumberFormat="1" applyFont="1" applyFill="1" applyBorder="1" applyAlignment="1" applyProtection="1" quotePrefix="1">
      <alignment horizontal="center"/>
      <protection/>
    </xf>
    <xf numFmtId="4" fontId="56" fillId="37" borderId="16" xfId="0" applyNumberFormat="1" applyFont="1" applyFill="1" applyBorder="1" applyAlignment="1" applyProtection="1">
      <alignment horizontal="center"/>
      <protection/>
    </xf>
    <xf numFmtId="4" fontId="56" fillId="38" borderId="12" xfId="0" applyNumberFormat="1" applyFont="1" applyFill="1" applyBorder="1" applyAlignment="1" applyProtection="1">
      <alignment horizontal="center"/>
      <protection/>
    </xf>
    <xf numFmtId="4" fontId="51" fillId="39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 quotePrefix="1">
      <alignment horizontal="center"/>
      <protection/>
    </xf>
    <xf numFmtId="2" fontId="56" fillId="36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0" fontId="69" fillId="0" borderId="63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75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75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165" fontId="7" fillId="0" borderId="18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Border="1" applyAlignment="1">
      <alignment horizontal="left"/>
    </xf>
    <xf numFmtId="0" fontId="72" fillId="0" borderId="32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5" fillId="0" borderId="0" xfId="0" applyFont="1" applyBorder="1" applyAlignment="1">
      <alignment horizontal="centerContinuous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centerContinuous"/>
      <protection/>
    </xf>
    <xf numFmtId="0" fontId="77" fillId="0" borderId="0" xfId="0" applyFont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8" fillId="0" borderId="21" xfId="0" applyFont="1" applyBorder="1" applyAlignment="1">
      <alignment/>
    </xf>
    <xf numFmtId="0" fontId="0" fillId="0" borderId="22" xfId="0" applyBorder="1" applyAlignment="1">
      <alignment/>
    </xf>
    <xf numFmtId="0" fontId="7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5" xfId="0" applyBorder="1" applyAlignment="1">
      <alignment/>
    </xf>
    <xf numFmtId="0" fontId="78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43" borderId="71" xfId="0" applyFont="1" applyFill="1" applyBorder="1" applyAlignment="1">
      <alignment horizontal="centerContinuous" vertical="center"/>
    </xf>
    <xf numFmtId="0" fontId="79" fillId="43" borderId="76" xfId="0" applyFont="1" applyFill="1" applyBorder="1" applyAlignment="1" applyProtection="1">
      <alignment horizontal="centerContinuous" vertical="center"/>
      <protection/>
    </xf>
    <xf numFmtId="0" fontId="79" fillId="43" borderId="76" xfId="0" applyFont="1" applyFill="1" applyBorder="1" applyAlignment="1" applyProtection="1">
      <alignment horizontal="centerContinuous" vertical="center" wrapText="1"/>
      <protection/>
    </xf>
    <xf numFmtId="168" fontId="79" fillId="43" borderId="28" xfId="0" applyNumberFormat="1" applyFont="1" applyFill="1" applyBorder="1" applyAlignment="1" applyProtection="1">
      <alignment horizontal="centerContinuous" vertical="center" wrapText="1"/>
      <protection/>
    </xf>
    <xf numFmtId="17" fontId="79" fillId="43" borderId="2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44" borderId="14" xfId="0" applyFont="1" applyFill="1" applyBorder="1" applyAlignment="1">
      <alignment/>
    </xf>
    <xf numFmtId="0" fontId="78" fillId="44" borderId="77" xfId="0" applyFont="1" applyFill="1" applyBorder="1" applyAlignment="1">
      <alignment/>
    </xf>
    <xf numFmtId="0" fontId="78" fillId="44" borderId="78" xfId="0" applyFont="1" applyFill="1" applyBorder="1" applyAlignment="1">
      <alignment/>
    </xf>
    <xf numFmtId="0" fontId="0" fillId="0" borderId="79" xfId="0" applyBorder="1" applyAlignment="1">
      <alignment/>
    </xf>
    <xf numFmtId="0" fontId="7" fillId="44" borderId="80" xfId="0" applyFont="1" applyFill="1" applyBorder="1" applyAlignment="1">
      <alignment horizontal="center"/>
    </xf>
    <xf numFmtId="0" fontId="7" fillId="44" borderId="81" xfId="0" applyFont="1" applyFill="1" applyBorder="1" applyAlignment="1" applyProtection="1">
      <alignment horizontal="center"/>
      <protection/>
    </xf>
    <xf numFmtId="2" fontId="7" fillId="44" borderId="82" xfId="0" applyNumberFormat="1" applyFont="1" applyFill="1" applyBorder="1" applyAlignment="1" applyProtection="1">
      <alignment horizontal="center"/>
      <protection/>
    </xf>
    <xf numFmtId="1" fontId="7" fillId="45" borderId="82" xfId="0" applyNumberFormat="1" applyFont="1" applyFill="1" applyBorder="1" applyAlignment="1">
      <alignment horizontal="center"/>
    </xf>
    <xf numFmtId="0" fontId="0" fillId="0" borderId="78" xfId="0" applyBorder="1" applyAlignment="1">
      <alignment/>
    </xf>
    <xf numFmtId="0" fontId="10" fillId="46" borderId="83" xfId="0" applyFont="1" applyFill="1" applyBorder="1" applyAlignment="1">
      <alignment horizontal="center"/>
    </xf>
    <xf numFmtId="0" fontId="10" fillId="46" borderId="18" xfId="0" applyFont="1" applyFill="1" applyBorder="1" applyAlignment="1">
      <alignment horizontal="center"/>
    </xf>
    <xf numFmtId="0" fontId="7" fillId="44" borderId="71" xfId="0" applyFont="1" applyFill="1" applyBorder="1" applyAlignment="1">
      <alignment horizontal="center"/>
    </xf>
    <xf numFmtId="0" fontId="7" fillId="44" borderId="84" xfId="0" applyFont="1" applyFill="1" applyBorder="1" applyAlignment="1" applyProtection="1">
      <alignment horizontal="left"/>
      <protection/>
    </xf>
    <xf numFmtId="0" fontId="7" fillId="44" borderId="84" xfId="0" applyFont="1" applyFill="1" applyBorder="1" applyAlignment="1" applyProtection="1">
      <alignment horizontal="center"/>
      <protection/>
    </xf>
    <xf numFmtId="2" fontId="7" fillId="44" borderId="72" xfId="0" applyNumberFormat="1" applyFont="1" applyFill="1" applyBorder="1" applyAlignment="1" applyProtection="1">
      <alignment horizontal="center"/>
      <protection/>
    </xf>
    <xf numFmtId="1" fontId="7" fillId="45" borderId="72" xfId="0" applyNumberFormat="1" applyFont="1" applyFill="1" applyBorder="1" applyAlignment="1">
      <alignment horizontal="center"/>
    </xf>
    <xf numFmtId="0" fontId="5" fillId="0" borderId="32" xfId="0" applyFont="1" applyFill="1" applyBorder="1" applyAlignment="1" applyProtection="1">
      <alignment horizontal="right"/>
      <protection/>
    </xf>
    <xf numFmtId="168" fontId="5" fillId="0" borderId="72" xfId="0" applyNumberFormat="1" applyFont="1" applyFill="1" applyBorder="1" applyAlignment="1" applyProtection="1">
      <alignment horizontal="center"/>
      <protection/>
    </xf>
    <xf numFmtId="1" fontId="0" fillId="44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44" borderId="28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45" borderId="28" xfId="0" applyNumberFormat="1" applyFont="1" applyFill="1" applyBorder="1" applyAlignment="1">
      <alignment horizontal="center"/>
    </xf>
    <xf numFmtId="0" fontId="7" fillId="44" borderId="85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/>
    </xf>
    <xf numFmtId="2" fontId="81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0" fontId="80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left"/>
      <protection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2" fillId="0" borderId="0" xfId="0" applyNumberFormat="1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809625</xdr:colOff>
      <xdr:row>0</xdr:row>
      <xdr:rowOff>0</xdr:rowOff>
    </xdr:from>
    <xdr:to>
      <xdr:col>1</xdr:col>
      <xdr:colOff>409575</xdr:colOff>
      <xdr:row>1</xdr:row>
      <xdr:rowOff>276225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0"/>
          <a:ext cx="5238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866775</xdr:colOff>
      <xdr:row>0</xdr:row>
      <xdr:rowOff>0</xdr:rowOff>
    </xdr:from>
    <xdr:to>
      <xdr:col>1</xdr:col>
      <xdr:colOff>428625</xdr:colOff>
      <xdr:row>1</xdr:row>
      <xdr:rowOff>276225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0"/>
          <a:ext cx="4857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Y\transporte\Transporte\ARCHIVOS.XLS\P-TRASPA\TBASET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W17" t="str">
            <v>XXXX</v>
          </cell>
          <cell r="DX17" t="str">
            <v>XXXX</v>
          </cell>
          <cell r="DY17" t="str">
            <v>XXXX</v>
          </cell>
          <cell r="DZ17" t="str">
            <v>XXXX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GZ17" t="str">
            <v>XXXX</v>
          </cell>
          <cell r="HA17" t="str">
            <v>XXXX</v>
          </cell>
          <cell r="HB17" t="str">
            <v>XXXX</v>
          </cell>
          <cell r="HC17" t="str">
            <v>XXXX</v>
          </cell>
          <cell r="HD17" t="str">
            <v>XXXX</v>
          </cell>
          <cell r="HE17" t="str">
            <v>XXXX</v>
          </cell>
          <cell r="HF17" t="str">
            <v>XXXX</v>
          </cell>
          <cell r="HG17" t="str">
            <v>XXXX</v>
          </cell>
          <cell r="HH17" t="str">
            <v>XXXX</v>
          </cell>
          <cell r="HI17" t="str">
            <v>XXXX</v>
          </cell>
          <cell r="HJ17" t="str">
            <v>XXXX</v>
          </cell>
          <cell r="HK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D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HC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  <cell r="HF21">
            <v>1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I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J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HB30">
            <v>3</v>
          </cell>
          <cell r="HE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GZ31" t="str">
            <v>XXXX</v>
          </cell>
          <cell r="HA31" t="str">
            <v>XXXX</v>
          </cell>
          <cell r="HB31" t="str">
            <v>XXXX</v>
          </cell>
          <cell r="HC31" t="str">
            <v>XXXX</v>
          </cell>
          <cell r="HD31" t="str">
            <v>XXXX</v>
          </cell>
          <cell r="HE31" t="str">
            <v>XXXX</v>
          </cell>
          <cell r="HF31" t="str">
            <v>XXXX</v>
          </cell>
          <cell r="HG31" t="str">
            <v>XXXX</v>
          </cell>
          <cell r="HH31" t="str">
            <v>XXXX</v>
          </cell>
          <cell r="HI31" t="str">
            <v>XXXX</v>
          </cell>
          <cell r="HJ31" t="str">
            <v>XXXX</v>
          </cell>
          <cell r="HK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B32">
            <v>1</v>
          </cell>
          <cell r="HE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E33">
            <v>1</v>
          </cell>
          <cell r="HK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Z34" t="str">
            <v>XXXX</v>
          </cell>
          <cell r="HA34" t="str">
            <v>XXXX</v>
          </cell>
          <cell r="HB34" t="str">
            <v>XXXX</v>
          </cell>
          <cell r="HC34" t="str">
            <v>XXXX</v>
          </cell>
          <cell r="HD34" t="str">
            <v>XXXX</v>
          </cell>
          <cell r="HE34" t="str">
            <v>XXXX</v>
          </cell>
          <cell r="HF34" t="str">
            <v>XXXX</v>
          </cell>
          <cell r="HG34" t="str">
            <v>XXXX</v>
          </cell>
          <cell r="HH34" t="str">
            <v>XXXX</v>
          </cell>
          <cell r="HI34" t="str">
            <v>XXXX</v>
          </cell>
          <cell r="HJ34" t="str">
            <v>XXXX</v>
          </cell>
          <cell r="HK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Z35" t="str">
            <v>XXXX</v>
          </cell>
          <cell r="HA35" t="str">
            <v>XXXX</v>
          </cell>
          <cell r="HB35" t="str">
            <v>XXXX</v>
          </cell>
          <cell r="HC35" t="str">
            <v>XXXX</v>
          </cell>
          <cell r="HD35" t="str">
            <v>XXXX</v>
          </cell>
          <cell r="HE35" t="str">
            <v>XXXX</v>
          </cell>
          <cell r="HF35" t="str">
            <v>XXXX</v>
          </cell>
          <cell r="HG35" t="str">
            <v>XXXX</v>
          </cell>
          <cell r="HH35" t="str">
            <v>XXXX</v>
          </cell>
          <cell r="HI35" t="str">
            <v>XXXX</v>
          </cell>
          <cell r="HJ35" t="str">
            <v>XXXX</v>
          </cell>
          <cell r="HK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HA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G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  <cell r="HD46">
            <v>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Z47" t="str">
            <v>XXXX</v>
          </cell>
          <cell r="HA47" t="str">
            <v>XXXX</v>
          </cell>
          <cell r="HB47" t="str">
            <v>XXXX</v>
          </cell>
          <cell r="HC47" t="str">
            <v>XXXX</v>
          </cell>
          <cell r="HD47" t="str">
            <v>XXXX</v>
          </cell>
          <cell r="HE47" t="str">
            <v>XXXX</v>
          </cell>
          <cell r="HF47" t="str">
            <v>XXXX</v>
          </cell>
          <cell r="HG47" t="str">
            <v>XXXX</v>
          </cell>
          <cell r="HH47" t="str">
            <v>XXXX</v>
          </cell>
          <cell r="HI47" t="str">
            <v>XXXX</v>
          </cell>
          <cell r="HJ47" t="str">
            <v>XXXX</v>
          </cell>
          <cell r="HK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  <cell r="HB48">
            <v>1</v>
          </cell>
          <cell r="HD48">
            <v>1</v>
          </cell>
          <cell r="HE48">
            <v>1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  <cell r="HC49">
            <v>2</v>
          </cell>
          <cell r="HD49">
            <v>1</v>
          </cell>
        </row>
        <row r="50">
          <cell r="C50">
            <v>22</v>
          </cell>
          <cell r="D50" t="str">
            <v>SAN ANTONIO OESTE -VIEDMA-SAN ANTONIO ESTE</v>
          </cell>
          <cell r="E50">
            <v>132</v>
          </cell>
          <cell r="F50">
            <v>185.6</v>
          </cell>
          <cell r="HD50">
            <v>2</v>
          </cell>
          <cell r="HE50">
            <v>1</v>
          </cell>
          <cell r="HF50">
            <v>3</v>
          </cell>
          <cell r="HG50">
            <v>1</v>
          </cell>
        </row>
        <row r="51">
          <cell r="C51">
            <v>32</v>
          </cell>
          <cell r="D51" t="str">
            <v>SAN ANTONIO ESTE - VIEDMA</v>
          </cell>
          <cell r="E51">
            <v>132</v>
          </cell>
          <cell r="F51">
            <v>162.6</v>
          </cell>
          <cell r="GZ51" t="str">
            <v>XXXX</v>
          </cell>
          <cell r="HA51" t="str">
            <v>XXXX</v>
          </cell>
          <cell r="HB51" t="str">
            <v>XXXX</v>
          </cell>
          <cell r="HC51" t="str">
            <v>XXXX</v>
          </cell>
          <cell r="HD51" t="str">
            <v>XXXX</v>
          </cell>
          <cell r="HE51" t="str">
            <v>XXXX</v>
          </cell>
          <cell r="HF51" t="str">
            <v>XXXX</v>
          </cell>
          <cell r="HG51" t="str">
            <v>XXXX</v>
          </cell>
          <cell r="HH51" t="str">
            <v>XXXX</v>
          </cell>
          <cell r="HI51" t="str">
            <v>XXXX</v>
          </cell>
          <cell r="HJ51" t="str">
            <v>XXXX</v>
          </cell>
          <cell r="HK51" t="str">
            <v>XXXX</v>
          </cell>
        </row>
        <row r="53">
          <cell r="C53">
            <v>23</v>
          </cell>
          <cell r="D53" t="str">
            <v>PICO TRUNCADO I - PUERTO DESEADO</v>
          </cell>
          <cell r="E53">
            <v>132</v>
          </cell>
          <cell r="F53">
            <v>209</v>
          </cell>
          <cell r="GZ53" t="str">
            <v>XXXX</v>
          </cell>
          <cell r="HA53" t="str">
            <v>XXXX</v>
          </cell>
          <cell r="HB53" t="str">
            <v>XXXX</v>
          </cell>
          <cell r="HC53" t="str">
            <v>XXXX</v>
          </cell>
          <cell r="HD53" t="str">
            <v>XXXX</v>
          </cell>
          <cell r="HE53" t="str">
            <v>XXXX</v>
          </cell>
          <cell r="HF53" t="str">
            <v>XXXX</v>
          </cell>
          <cell r="HG53" t="str">
            <v>XXXX</v>
          </cell>
          <cell r="HH53" t="str">
            <v>XXXX</v>
          </cell>
          <cell r="HI53" t="str">
            <v>XXXX</v>
          </cell>
          <cell r="HJ53" t="str">
            <v>XXXX</v>
          </cell>
          <cell r="HK53" t="str">
            <v>XXXX</v>
          </cell>
        </row>
        <row r="54">
          <cell r="C54">
            <v>35</v>
          </cell>
          <cell r="D54" t="str">
            <v>PICO TRUNCADO I - PTQ C.RIVADAVIA</v>
          </cell>
          <cell r="E54">
            <v>132</v>
          </cell>
          <cell r="F54">
            <v>1.5</v>
          </cell>
        </row>
        <row r="55">
          <cell r="C55">
            <v>36</v>
          </cell>
          <cell r="D55" t="str">
            <v>PTQ C.RIVADAVIA - P.DESEADO</v>
          </cell>
          <cell r="E55">
            <v>132</v>
          </cell>
          <cell r="F55">
            <v>207.5</v>
          </cell>
          <cell r="HC55">
            <v>1</v>
          </cell>
        </row>
        <row r="57">
          <cell r="C57">
            <v>24</v>
          </cell>
          <cell r="D57" t="str">
            <v>E.T. PATAGONIA - PAMPA DEL CASTILLO</v>
          </cell>
          <cell r="E57">
            <v>132</v>
          </cell>
          <cell r="F57">
            <v>42.6</v>
          </cell>
          <cell r="GZ57" t="str">
            <v>XXXX</v>
          </cell>
          <cell r="HA57" t="str">
            <v>XXXX</v>
          </cell>
          <cell r="HB57" t="str">
            <v>XXXX</v>
          </cell>
          <cell r="HC57" t="str">
            <v>XXXX</v>
          </cell>
          <cell r="HD57" t="str">
            <v>XXXX</v>
          </cell>
          <cell r="HE57" t="str">
            <v>XXXX</v>
          </cell>
          <cell r="HF57" t="str">
            <v>XXXX</v>
          </cell>
          <cell r="HG57" t="str">
            <v>XXXX</v>
          </cell>
          <cell r="HH57" t="str">
            <v>XXXX</v>
          </cell>
          <cell r="HI57" t="str">
            <v>XXXX</v>
          </cell>
          <cell r="HJ57" t="str">
            <v>XXXX</v>
          </cell>
          <cell r="HK57" t="str">
            <v>XXXX</v>
          </cell>
        </row>
        <row r="58">
          <cell r="C58">
            <v>25</v>
          </cell>
          <cell r="D58" t="str">
            <v>PAMPA DEL CASTILLO - VALLE HERMOSO</v>
          </cell>
          <cell r="E58">
            <v>132</v>
          </cell>
          <cell r="F58">
            <v>33.6</v>
          </cell>
        </row>
        <row r="59">
          <cell r="C59">
            <v>26</v>
          </cell>
          <cell r="D59" t="str">
            <v>VALLE HERMOSO - CERRO NEGRO</v>
          </cell>
          <cell r="E59">
            <v>132</v>
          </cell>
          <cell r="F59">
            <v>41</v>
          </cell>
          <cell r="HJ59">
            <v>1</v>
          </cell>
        </row>
        <row r="60">
          <cell r="C60">
            <v>33</v>
          </cell>
          <cell r="D60" t="str">
            <v>E.T. PATAGONIA - DIADEMA</v>
          </cell>
          <cell r="E60">
            <v>132</v>
          </cell>
          <cell r="F60">
            <v>15</v>
          </cell>
        </row>
        <row r="61">
          <cell r="C61">
            <v>34</v>
          </cell>
          <cell r="D61" t="str">
            <v>DIADEMA - PAMAPA DEL CASTILLO</v>
          </cell>
          <cell r="E61">
            <v>132</v>
          </cell>
          <cell r="F61">
            <v>27.6</v>
          </cell>
        </row>
        <row r="62">
          <cell r="C62">
            <v>29</v>
          </cell>
          <cell r="D62" t="str">
            <v>ESQUEL-EL COHIUE</v>
          </cell>
          <cell r="E62">
            <v>132</v>
          </cell>
          <cell r="F62">
            <v>127.98</v>
          </cell>
          <cell r="HI62">
            <v>1</v>
          </cell>
        </row>
        <row r="72">
          <cell r="GZ72">
            <v>1.17</v>
          </cell>
          <cell r="HA72">
            <v>1</v>
          </cell>
          <cell r="HB72">
            <v>0.84</v>
          </cell>
          <cell r="HC72">
            <v>0.94</v>
          </cell>
          <cell r="HD72">
            <v>1.04</v>
          </cell>
          <cell r="HE72">
            <v>1.14</v>
          </cell>
          <cell r="HF72">
            <v>1.07</v>
          </cell>
          <cell r="HG72">
            <v>1.14</v>
          </cell>
          <cell r="HH72">
            <v>1.17</v>
          </cell>
          <cell r="HI72">
            <v>1.1</v>
          </cell>
          <cell r="HJ72">
            <v>1.1</v>
          </cell>
          <cell r="HK72">
            <v>1.1</v>
          </cell>
          <cell r="HL72">
            <v>1.07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2"/>
  <sheetViews>
    <sheetView tabSelected="1" zoomScale="70" zoomScaleNormal="70" zoomScalePageLayoutView="0" workbookViewId="0" topLeftCell="A1">
      <selection activeCell="M29" sqref="M29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8" customFormat="1" ht="26.25">
      <c r="B1" s="109"/>
      <c r="K1" s="402"/>
    </row>
    <row r="2" spans="2:10" s="108" customFormat="1" ht="26.25">
      <c r="B2" s="109" t="s">
        <v>268</v>
      </c>
      <c r="C2" s="126"/>
      <c r="D2" s="110"/>
      <c r="E2" s="110"/>
      <c r="F2" s="110"/>
      <c r="G2" s="110"/>
      <c r="H2" s="110"/>
      <c r="I2" s="110"/>
      <c r="J2" s="110"/>
    </row>
    <row r="3" spans="3:19" ht="12.75">
      <c r="C3"/>
      <c r="D3" s="38"/>
      <c r="E3" s="38"/>
      <c r="F3" s="38"/>
      <c r="G3" s="38"/>
      <c r="H3" s="38"/>
      <c r="I3" s="38"/>
      <c r="J3" s="38"/>
      <c r="P3" s="8"/>
      <c r="Q3" s="8"/>
      <c r="R3" s="8"/>
      <c r="S3" s="8"/>
    </row>
    <row r="4" spans="1:19" s="111" customFormat="1" ht="11.25">
      <c r="A4" s="127" t="s">
        <v>16</v>
      </c>
      <c r="B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s="111" customFormat="1" ht="11.25">
      <c r="A5" s="127" t="s">
        <v>17</v>
      </c>
      <c r="B5" s="1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2:19" s="108" customFormat="1" ht="26.25">
      <c r="B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2:19" s="113" customFormat="1" ht="21">
      <c r="B7" s="167" t="s">
        <v>0</v>
      </c>
      <c r="C7" s="132"/>
      <c r="D7" s="133"/>
      <c r="E7" s="133"/>
      <c r="F7" s="134"/>
      <c r="G7" s="134"/>
      <c r="H7" s="134"/>
      <c r="I7" s="134"/>
      <c r="J7" s="134"/>
      <c r="K7" s="44"/>
      <c r="L7" s="44"/>
      <c r="M7" s="44"/>
      <c r="N7" s="44"/>
      <c r="O7" s="44"/>
      <c r="P7" s="44"/>
      <c r="Q7" s="44"/>
      <c r="R7" s="44"/>
      <c r="S7" s="44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3" customFormat="1" ht="21">
      <c r="B9" s="167" t="s">
        <v>1</v>
      </c>
      <c r="C9" s="132"/>
      <c r="D9" s="133"/>
      <c r="E9" s="133"/>
      <c r="F9" s="133"/>
      <c r="G9" s="133"/>
      <c r="H9" s="133"/>
      <c r="I9" s="134"/>
      <c r="J9" s="134"/>
      <c r="K9" s="44"/>
      <c r="L9" s="44"/>
      <c r="M9" s="44"/>
      <c r="N9" s="44"/>
      <c r="O9" s="44"/>
      <c r="P9" s="44"/>
      <c r="Q9" s="44"/>
      <c r="R9" s="44"/>
      <c r="S9" s="44"/>
    </row>
    <row r="10" spans="4:19" ht="12.75">
      <c r="D10" s="135"/>
      <c r="E10" s="13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3" customFormat="1" ht="20.25">
      <c r="B11" s="167" t="s">
        <v>269</v>
      </c>
      <c r="C11" s="84"/>
      <c r="D11" s="39"/>
      <c r="E11" s="39"/>
      <c r="F11" s="133"/>
      <c r="G11" s="133"/>
      <c r="H11" s="133"/>
      <c r="I11" s="134"/>
      <c r="J11" s="134"/>
      <c r="K11" s="44"/>
      <c r="L11" s="44"/>
      <c r="M11" s="44"/>
      <c r="N11" s="44"/>
      <c r="O11" s="44"/>
      <c r="P11" s="44"/>
      <c r="Q11" s="44"/>
      <c r="R11" s="44"/>
      <c r="S11" s="44"/>
    </row>
    <row r="12" spans="4:19" s="136" customFormat="1" ht="16.5" thickBot="1">
      <c r="D12" s="7"/>
      <c r="E12" s="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spans="2:19" s="136" customFormat="1" ht="16.5" thickTop="1">
      <c r="B13" s="383">
        <v>1</v>
      </c>
      <c r="C13" s="401"/>
      <c r="D13" s="138"/>
      <c r="E13" s="138"/>
      <c r="F13" s="138"/>
      <c r="G13" s="138"/>
      <c r="H13" s="138"/>
      <c r="I13" s="138"/>
      <c r="J13" s="139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2:19" s="120" customFormat="1" ht="19.5">
      <c r="B14" s="233" t="s">
        <v>220</v>
      </c>
      <c r="C14" s="140"/>
      <c r="D14" s="141"/>
      <c r="E14" s="142"/>
      <c r="F14" s="142"/>
      <c r="G14" s="142"/>
      <c r="H14" s="142"/>
      <c r="I14" s="116"/>
      <c r="J14" s="119"/>
      <c r="K14" s="46"/>
      <c r="L14" s="46"/>
      <c r="M14" s="46"/>
      <c r="N14" s="46"/>
      <c r="O14" s="46"/>
      <c r="P14" s="46"/>
      <c r="Q14" s="46"/>
      <c r="R14" s="46"/>
      <c r="S14" s="46"/>
    </row>
    <row r="15" spans="2:19" s="120" customFormat="1" ht="9" customHeight="1">
      <c r="B15" s="143"/>
      <c r="C15" s="144"/>
      <c r="D15" s="144"/>
      <c r="E15" s="46"/>
      <c r="F15" s="145"/>
      <c r="G15" s="145"/>
      <c r="H15" s="145"/>
      <c r="I15" s="46"/>
      <c r="J15" s="146"/>
      <c r="K15" s="46"/>
      <c r="L15" s="46"/>
      <c r="M15" s="46"/>
      <c r="N15" s="46"/>
      <c r="O15" s="46"/>
      <c r="P15" s="46"/>
      <c r="Q15" s="46"/>
      <c r="R15" s="46"/>
      <c r="S15" s="46"/>
    </row>
    <row r="16" spans="2:18" s="120" customFormat="1" ht="9" customHeight="1">
      <c r="B16" s="233">
        <f>IF(B13=2,"Sanciones duplicadas por tasa de falla &gt; 4 Sal. x año/100km.","")</f>
      </c>
      <c r="C16" s="236"/>
      <c r="D16" s="236"/>
      <c r="E16" s="116"/>
      <c r="F16" s="142"/>
      <c r="G16" s="142"/>
      <c r="H16" s="116"/>
      <c r="I16" s="84"/>
      <c r="J16" s="119"/>
      <c r="K16" s="46"/>
      <c r="L16" s="46"/>
      <c r="M16" s="46"/>
      <c r="N16" s="46"/>
      <c r="O16" s="46"/>
      <c r="P16" s="46"/>
      <c r="Q16" s="46"/>
      <c r="R16" s="46"/>
    </row>
    <row r="17" spans="2:18" s="120" customFormat="1" ht="9" customHeight="1">
      <c r="B17" s="143"/>
      <c r="C17" s="144"/>
      <c r="D17" s="144"/>
      <c r="E17" s="46"/>
      <c r="F17" s="145"/>
      <c r="G17" s="145"/>
      <c r="H17" s="46"/>
      <c r="I17"/>
      <c r="J17" s="146"/>
      <c r="K17" s="46"/>
      <c r="L17" s="46"/>
      <c r="M17" s="46"/>
      <c r="N17" s="46"/>
      <c r="O17" s="46"/>
      <c r="P17" s="46"/>
      <c r="Q17" s="46"/>
      <c r="R17" s="46"/>
    </row>
    <row r="18" spans="2:19" s="120" customFormat="1" ht="19.5">
      <c r="B18" s="143"/>
      <c r="C18" s="147" t="s">
        <v>18</v>
      </c>
      <c r="D18" s="148" t="s">
        <v>19</v>
      </c>
      <c r="E18" s="46"/>
      <c r="F18" s="145"/>
      <c r="G18" s="145"/>
      <c r="H18" s="145"/>
      <c r="I18" s="45"/>
      <c r="J18" s="146"/>
      <c r="K18" s="46"/>
      <c r="L18" s="46"/>
      <c r="M18" s="46"/>
      <c r="N18" s="46"/>
      <c r="O18" s="46"/>
      <c r="P18" s="46"/>
      <c r="Q18" s="46"/>
      <c r="R18" s="46"/>
      <c r="S18" s="46"/>
    </row>
    <row r="19" spans="2:19" s="120" customFormat="1" ht="19.5">
      <c r="B19" s="143"/>
      <c r="C19" s="147"/>
      <c r="D19" s="147" t="s">
        <v>251</v>
      </c>
      <c r="E19" s="148" t="s">
        <v>21</v>
      </c>
      <c r="F19" s="145"/>
      <c r="G19" s="145"/>
      <c r="H19" s="145"/>
      <c r="I19" s="45">
        <f>'LI-EDERSA-08 (1)'!AA43</f>
        <v>35777.1</v>
      </c>
      <c r="J19" s="146"/>
      <c r="K19" s="46"/>
      <c r="L19" s="46"/>
      <c r="M19" s="46"/>
      <c r="N19" s="46"/>
      <c r="O19" s="46"/>
      <c r="P19" s="46"/>
      <c r="Q19" s="46"/>
      <c r="R19" s="46"/>
      <c r="S19" s="46"/>
    </row>
    <row r="20" spans="2:19" s="120" customFormat="1" ht="19.5">
      <c r="B20" s="143"/>
      <c r="C20" s="147"/>
      <c r="D20" s="147" t="s">
        <v>20</v>
      </c>
      <c r="E20" s="148" t="s">
        <v>134</v>
      </c>
      <c r="F20" s="145"/>
      <c r="G20" s="145"/>
      <c r="H20" s="145"/>
      <c r="I20" s="45">
        <f>'LI-TRANSACUE-08 (1)'!AA43</f>
        <v>62.05</v>
      </c>
      <c r="J20" s="146"/>
      <c r="K20" s="46"/>
      <c r="L20" s="46"/>
      <c r="M20" s="46"/>
      <c r="N20" s="46"/>
      <c r="O20" s="46"/>
      <c r="P20" s="46"/>
      <c r="Q20" s="46"/>
      <c r="R20" s="46"/>
      <c r="S20" s="46"/>
    </row>
    <row r="21" spans="2:19" ht="13.5">
      <c r="B21" s="43"/>
      <c r="C21" s="149"/>
      <c r="D21" s="150"/>
      <c r="E21" s="8"/>
      <c r="F21" s="151"/>
      <c r="G21" s="151"/>
      <c r="H21" s="151"/>
      <c r="I21" s="152"/>
      <c r="J21" s="11"/>
      <c r="K21" s="8"/>
      <c r="L21" s="8"/>
      <c r="M21" s="8"/>
      <c r="N21" s="8"/>
      <c r="O21" s="8"/>
      <c r="P21" s="8"/>
      <c r="Q21" s="8"/>
      <c r="R21" s="8"/>
      <c r="S21" s="8"/>
    </row>
    <row r="22" spans="2:19" s="120" customFormat="1" ht="19.5">
      <c r="B22" s="143"/>
      <c r="C22" s="147" t="s">
        <v>22</v>
      </c>
      <c r="D22" s="148" t="s">
        <v>23</v>
      </c>
      <c r="E22" s="46"/>
      <c r="F22" s="145"/>
      <c r="G22" s="145"/>
      <c r="H22" s="145"/>
      <c r="I22" s="45"/>
      <c r="J22" s="146"/>
      <c r="K22" s="46"/>
      <c r="L22" s="46"/>
      <c r="M22" s="46"/>
      <c r="N22" s="46"/>
      <c r="O22" s="46"/>
      <c r="P22" s="46"/>
      <c r="Q22" s="46"/>
      <c r="R22" s="46"/>
      <c r="S22" s="46"/>
    </row>
    <row r="23" spans="2:19" ht="8.25" customHeight="1">
      <c r="B23" s="43"/>
      <c r="C23" s="149"/>
      <c r="D23" s="149"/>
      <c r="E23" s="8"/>
      <c r="F23" s="151"/>
      <c r="G23" s="151"/>
      <c r="H23" s="151"/>
      <c r="I23" s="153"/>
      <c r="J23" s="11"/>
      <c r="K23" s="8"/>
      <c r="L23" s="8"/>
      <c r="M23" s="8"/>
      <c r="N23" s="8"/>
      <c r="O23" s="8"/>
      <c r="P23" s="8"/>
      <c r="Q23" s="8"/>
      <c r="R23" s="8"/>
      <c r="S23" s="8"/>
    </row>
    <row r="24" spans="2:19" s="120" customFormat="1" ht="19.5">
      <c r="B24" s="143"/>
      <c r="C24" s="147"/>
      <c r="D24" s="147" t="s">
        <v>24</v>
      </c>
      <c r="E24" s="9" t="s">
        <v>25</v>
      </c>
      <c r="F24" s="145"/>
      <c r="G24" s="145"/>
      <c r="H24" s="145"/>
      <c r="I24" s="45"/>
      <c r="J24" s="146"/>
      <c r="K24" s="46"/>
      <c r="L24" s="46"/>
      <c r="M24" s="46"/>
      <c r="N24" s="46"/>
      <c r="O24" s="46"/>
      <c r="P24" s="46"/>
      <c r="Q24" s="46"/>
      <c r="R24" s="46"/>
      <c r="S24" s="46"/>
    </row>
    <row r="25" spans="2:19" s="120" customFormat="1" ht="19.5">
      <c r="B25" s="143"/>
      <c r="C25" s="147"/>
      <c r="D25" s="147"/>
      <c r="E25" s="147" t="s">
        <v>252</v>
      </c>
      <c r="F25" s="148" t="s">
        <v>21</v>
      </c>
      <c r="G25" s="145"/>
      <c r="H25" s="145"/>
      <c r="I25" s="45">
        <f>'TR-EDERSA-08 (1)'!AC45</f>
        <v>559.92</v>
      </c>
      <c r="J25" s="146"/>
      <c r="K25" s="46"/>
      <c r="L25" s="46"/>
      <c r="M25" s="46"/>
      <c r="N25" s="46"/>
      <c r="O25" s="46"/>
      <c r="P25" s="46"/>
      <c r="Q25" s="46"/>
      <c r="R25" s="46"/>
      <c r="S25" s="46"/>
    </row>
    <row r="26" spans="2:19" ht="13.5">
      <c r="B26" s="43"/>
      <c r="C26" s="149"/>
      <c r="D26" s="149"/>
      <c r="E26" s="8"/>
      <c r="F26" s="151"/>
      <c r="G26" s="151"/>
      <c r="H26" s="151"/>
      <c r="I26" s="153"/>
      <c r="J26" s="11"/>
      <c r="K26" s="8"/>
      <c r="L26" s="8"/>
      <c r="M26" s="8"/>
      <c r="N26" s="8"/>
      <c r="O26" s="8"/>
      <c r="P26" s="8"/>
      <c r="Q26" s="8"/>
      <c r="R26" s="8"/>
      <c r="S26" s="8"/>
    </row>
    <row r="27" spans="2:19" s="120" customFormat="1" ht="19.5">
      <c r="B27" s="143"/>
      <c r="C27" s="147"/>
      <c r="D27" s="147" t="s">
        <v>26</v>
      </c>
      <c r="E27" s="9" t="s">
        <v>27</v>
      </c>
      <c r="F27" s="145"/>
      <c r="G27" s="145"/>
      <c r="H27" s="145"/>
      <c r="I27" s="45"/>
      <c r="J27" s="146"/>
      <c r="K27" s="46"/>
      <c r="L27" s="46"/>
      <c r="M27" s="46"/>
      <c r="N27" s="46"/>
      <c r="O27" s="46"/>
      <c r="P27" s="46"/>
      <c r="Q27" s="46"/>
      <c r="R27" s="46"/>
      <c r="S27" s="46"/>
    </row>
    <row r="28" spans="2:19" s="120" customFormat="1" ht="19.5">
      <c r="B28" s="143"/>
      <c r="C28" s="147"/>
      <c r="D28" s="147"/>
      <c r="E28" s="147" t="s">
        <v>253</v>
      </c>
      <c r="F28" s="148" t="s">
        <v>21</v>
      </c>
      <c r="G28" s="145"/>
      <c r="H28" s="145"/>
      <c r="I28" s="45">
        <f>'SA-EDERSA-08 (1)'!V45</f>
        <v>637.72044</v>
      </c>
      <c r="J28" s="146"/>
      <c r="K28" s="46"/>
      <c r="L28" s="46"/>
      <c r="M28" s="46"/>
      <c r="N28" s="46"/>
      <c r="O28" s="46"/>
      <c r="P28" s="46"/>
      <c r="Q28" s="46"/>
      <c r="R28" s="46"/>
      <c r="S28" s="46"/>
    </row>
    <row r="29" spans="2:19" s="120" customFormat="1" ht="19.5">
      <c r="B29" s="143"/>
      <c r="C29" s="147"/>
      <c r="D29" s="147"/>
      <c r="E29" s="147" t="s">
        <v>28</v>
      </c>
      <c r="F29" s="148" t="s">
        <v>135</v>
      </c>
      <c r="G29" s="145"/>
      <c r="H29" s="145"/>
      <c r="I29" s="45">
        <f>'SA-TRANSACUE-08 (1)'!V45</f>
        <v>117.2755</v>
      </c>
      <c r="J29" s="146"/>
      <c r="K29" s="46"/>
      <c r="L29" s="46"/>
      <c r="M29" s="46"/>
      <c r="N29" s="46"/>
      <c r="O29" s="46"/>
      <c r="P29" s="46"/>
      <c r="Q29" s="46"/>
      <c r="R29" s="46"/>
      <c r="S29" s="46"/>
    </row>
    <row r="30" spans="2:19" ht="13.5">
      <c r="B30" s="43"/>
      <c r="C30" s="149"/>
      <c r="D30" s="150"/>
      <c r="E30" s="8"/>
      <c r="F30" s="151"/>
      <c r="G30" s="151"/>
      <c r="H30" s="151"/>
      <c r="I30" s="152"/>
      <c r="J30" s="11"/>
      <c r="K30" s="8"/>
      <c r="L30" s="8"/>
      <c r="M30" s="8"/>
      <c r="N30" s="8"/>
      <c r="O30" s="8"/>
      <c r="P30" s="8"/>
      <c r="Q30" s="8"/>
      <c r="R30" s="8"/>
      <c r="S30" s="8"/>
    </row>
    <row r="31" spans="2:19" s="120" customFormat="1" ht="19.5">
      <c r="B31" s="143"/>
      <c r="C31" s="147" t="s">
        <v>240</v>
      </c>
      <c r="D31" s="9" t="s">
        <v>29</v>
      </c>
      <c r="E31" s="145"/>
      <c r="F31"/>
      <c r="G31" s="145"/>
      <c r="H31" s="145"/>
      <c r="I31" s="45"/>
      <c r="J31" s="146"/>
      <c r="K31" s="46"/>
      <c r="L31" s="46"/>
      <c r="M31" s="46"/>
      <c r="N31" s="46"/>
      <c r="O31" s="46"/>
      <c r="P31" s="46"/>
      <c r="Q31" s="46"/>
      <c r="R31" s="46"/>
      <c r="S31" s="46"/>
    </row>
    <row r="32" spans="2:19" s="120" customFormat="1" ht="19.5">
      <c r="B32" s="143"/>
      <c r="C32" s="147"/>
      <c r="D32" s="147" t="s">
        <v>241</v>
      </c>
      <c r="E32" s="148" t="s">
        <v>21</v>
      </c>
      <c r="F32"/>
      <c r="G32" s="145"/>
      <c r="H32" s="145"/>
      <c r="I32" s="45">
        <f>'SUP-EDERSA'!I57</f>
        <v>9243.685109999999</v>
      </c>
      <c r="J32" s="146"/>
      <c r="K32" s="46"/>
      <c r="L32" s="46"/>
      <c r="M32" s="46"/>
      <c r="N32" s="46"/>
      <c r="O32" s="46"/>
      <c r="P32" s="46"/>
      <c r="Q32" s="46"/>
      <c r="R32" s="46"/>
      <c r="S32" s="46"/>
    </row>
    <row r="33" spans="2:19" s="120" customFormat="1" ht="19.5">
      <c r="B33" s="143"/>
      <c r="C33" s="147"/>
      <c r="D33" s="147" t="s">
        <v>242</v>
      </c>
      <c r="E33" s="148" t="s">
        <v>134</v>
      </c>
      <c r="F33"/>
      <c r="G33" s="145"/>
      <c r="H33" s="145"/>
      <c r="I33" s="45">
        <f>+'SUP-TRANSACUE'!I57</f>
        <v>44.831374999999994</v>
      </c>
      <c r="J33" s="146"/>
      <c r="K33" s="46"/>
      <c r="L33" s="46"/>
      <c r="M33" s="46"/>
      <c r="N33" s="46"/>
      <c r="O33" s="46"/>
      <c r="P33" s="46"/>
      <c r="Q33" s="46"/>
      <c r="R33" s="46"/>
      <c r="S33" s="46"/>
    </row>
    <row r="34" spans="2:19" s="120" customFormat="1" ht="20.25" thickBot="1">
      <c r="B34" s="143"/>
      <c r="C34" s="144"/>
      <c r="D34" s="144"/>
      <c r="E34" s="46"/>
      <c r="F34" s="145"/>
      <c r="G34" s="145"/>
      <c r="H34" s="145"/>
      <c r="I34" s="46"/>
      <c r="J34" s="146"/>
      <c r="K34" s="46"/>
      <c r="L34" s="46"/>
      <c r="M34" s="46"/>
      <c r="N34" s="46"/>
      <c r="O34" s="46"/>
      <c r="P34" s="46"/>
      <c r="Q34" s="46"/>
      <c r="R34" s="46"/>
      <c r="S34" s="46"/>
    </row>
    <row r="35" spans="2:19" s="120" customFormat="1" ht="20.25" thickBot="1" thickTop="1">
      <c r="B35" s="143"/>
      <c r="C35" s="147"/>
      <c r="D35" s="147"/>
      <c r="F35" s="154" t="s">
        <v>30</v>
      </c>
      <c r="G35" s="155">
        <f>SUM(I19:I33)</f>
        <v>46442.582425</v>
      </c>
      <c r="H35" s="235"/>
      <c r="J35" s="146"/>
      <c r="K35" s="46"/>
      <c r="L35" s="46"/>
      <c r="M35" s="46"/>
      <c r="N35" s="46"/>
      <c r="O35" s="46"/>
      <c r="P35" s="46"/>
      <c r="Q35" s="46"/>
      <c r="R35" s="46"/>
      <c r="S35" s="46"/>
    </row>
    <row r="36" spans="2:19" s="120" customFormat="1" ht="8.25" customHeight="1" thickTop="1">
      <c r="B36" s="143"/>
      <c r="C36" s="147"/>
      <c r="D36" s="147"/>
      <c r="F36" s="535"/>
      <c r="G36" s="235"/>
      <c r="H36" s="235"/>
      <c r="J36" s="146"/>
      <c r="K36" s="46"/>
      <c r="L36" s="46"/>
      <c r="M36" s="46"/>
      <c r="N36" s="46"/>
      <c r="O36" s="46"/>
      <c r="P36" s="46"/>
      <c r="Q36" s="46"/>
      <c r="R36" s="46"/>
      <c r="S36" s="46"/>
    </row>
    <row r="37" spans="2:19" s="120" customFormat="1" ht="8.25" customHeight="1">
      <c r="B37" s="143"/>
      <c r="C37" s="147"/>
      <c r="D37" s="147"/>
      <c r="F37" s="535"/>
      <c r="G37" s="235"/>
      <c r="H37" s="235"/>
      <c r="J37" s="146"/>
      <c r="K37" s="46"/>
      <c r="L37" s="46"/>
      <c r="M37" s="46"/>
      <c r="N37" s="46"/>
      <c r="O37" s="46"/>
      <c r="P37" s="46"/>
      <c r="Q37" s="46"/>
      <c r="R37" s="46"/>
      <c r="S37" s="46"/>
    </row>
    <row r="38" spans="2:19" s="120" customFormat="1" ht="8.25" customHeight="1">
      <c r="B38" s="143"/>
      <c r="C38" s="147"/>
      <c r="D38" s="147"/>
      <c r="F38" s="535"/>
      <c r="G38" s="235"/>
      <c r="H38" s="235"/>
      <c r="J38" s="146"/>
      <c r="K38" s="46"/>
      <c r="L38" s="46"/>
      <c r="M38" s="46"/>
      <c r="N38" s="46"/>
      <c r="O38" s="46"/>
      <c r="P38" s="46"/>
      <c r="Q38" s="46"/>
      <c r="R38" s="46"/>
      <c r="S38" s="46"/>
    </row>
    <row r="39" spans="2:19" s="120" customFormat="1" ht="18.75">
      <c r="B39" s="143"/>
      <c r="C39" s="678" t="s">
        <v>270</v>
      </c>
      <c r="D39" s="147"/>
      <c r="F39" s="535"/>
      <c r="G39" s="235"/>
      <c r="H39" s="235"/>
      <c r="J39" s="146"/>
      <c r="K39" s="46"/>
      <c r="L39" s="46"/>
      <c r="M39" s="46"/>
      <c r="N39" s="46"/>
      <c r="O39" s="46"/>
      <c r="P39" s="46"/>
      <c r="Q39" s="46"/>
      <c r="R39" s="46"/>
      <c r="S39" s="46"/>
    </row>
    <row r="40" spans="2:19" s="120" customFormat="1" ht="18.75">
      <c r="B40" s="143"/>
      <c r="C40" s="678" t="s">
        <v>271</v>
      </c>
      <c r="D40" s="147"/>
      <c r="F40" s="535"/>
      <c r="G40" s="235"/>
      <c r="H40" s="235"/>
      <c r="J40" s="146"/>
      <c r="K40" s="46"/>
      <c r="L40" s="46"/>
      <c r="M40" s="46"/>
      <c r="N40" s="46"/>
      <c r="O40" s="46"/>
      <c r="P40" s="46"/>
      <c r="Q40" s="46"/>
      <c r="R40" s="46"/>
      <c r="S40" s="46"/>
    </row>
    <row r="41" spans="2:19" s="136" customFormat="1" ht="6.75" customHeight="1" thickBot="1">
      <c r="B41" s="156"/>
      <c r="C41" s="157"/>
      <c r="D41" s="157"/>
      <c r="E41" s="158"/>
      <c r="F41" s="158"/>
      <c r="G41" s="158"/>
      <c r="H41" s="158"/>
      <c r="I41" s="158"/>
      <c r="J41" s="159"/>
      <c r="K41" s="137"/>
      <c r="L41" s="137"/>
      <c r="M41" s="83"/>
      <c r="N41" s="160"/>
      <c r="O41" s="160"/>
      <c r="P41" s="161"/>
      <c r="Q41" s="162"/>
      <c r="R41" s="137"/>
      <c r="S41" s="137"/>
    </row>
    <row r="42" spans="4:19" ht="13.5" thickTop="1">
      <c r="D42" s="8"/>
      <c r="F42" s="8"/>
      <c r="G42" s="8"/>
      <c r="H42" s="8"/>
      <c r="I42" s="8"/>
      <c r="J42" s="8"/>
      <c r="K42" s="8"/>
      <c r="L42" s="8"/>
      <c r="M42" s="30"/>
      <c r="N42" s="163"/>
      <c r="O42" s="163"/>
      <c r="P42" s="8"/>
      <c r="Q42" s="36"/>
      <c r="R42" s="8"/>
      <c r="S42" s="8"/>
    </row>
    <row r="43" spans="4:19" ht="12.75">
      <c r="D43" s="8"/>
      <c r="F43" s="8"/>
      <c r="G43" s="8"/>
      <c r="H43" s="8"/>
      <c r="I43" s="8"/>
      <c r="J43" s="8"/>
      <c r="K43" s="8"/>
      <c r="L43" s="8"/>
      <c r="M43" s="8"/>
      <c r="N43" s="164"/>
      <c r="O43" s="164"/>
      <c r="P43" s="165"/>
      <c r="Q43" s="36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164"/>
      <c r="O44" s="164"/>
      <c r="P44" s="165"/>
      <c r="Q44" s="36"/>
      <c r="R44" s="8"/>
      <c r="S44" s="8"/>
    </row>
    <row r="45" spans="4:19" ht="12.75">
      <c r="D45" s="8"/>
      <c r="E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4:19" ht="12.75">
      <c r="D49" s="8"/>
      <c r="E49" s="8"/>
      <c r="P49" s="8"/>
      <c r="Q49" s="8"/>
      <c r="R49" s="8"/>
      <c r="S49" s="8"/>
    </row>
    <row r="50" spans="4:19" ht="12.75">
      <c r="D50" s="8"/>
      <c r="E50" s="8"/>
      <c r="P50" s="8"/>
      <c r="Q50" s="8"/>
      <c r="R50" s="8"/>
      <c r="S50" s="8"/>
    </row>
    <row r="51" spans="16:19" ht="12.75">
      <c r="P51" s="8"/>
      <c r="Q51" s="8"/>
      <c r="R51" s="8"/>
      <c r="S51" s="8"/>
    </row>
    <row r="52" spans="16:19" ht="12.75">
      <c r="P52" s="8"/>
      <c r="Q52" s="8"/>
      <c r="R52" s="8"/>
      <c r="S52" s="8"/>
    </row>
  </sheetData>
  <sheetProtection/>
  <printOptions horizontalCentered="1"/>
  <pageMargins left="0.3937007874015748" right="1" top="0.56" bottom="1.1" header="0.5118110236220472" footer="0.5118110236220472"/>
  <pageSetup fitToHeight="1" fitToWidth="1" orientation="landscape" paperSize="9" scale="72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C34"/>
  <sheetViews>
    <sheetView zoomScalePageLayoutView="0"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6" sqref="F6"/>
    </sheetView>
  </sheetViews>
  <sheetFormatPr defaultColWidth="11.421875" defaultRowHeight="12.75"/>
  <cols>
    <col min="1" max="1" width="23.00390625" style="558" bestFit="1" customWidth="1"/>
    <col min="2" max="2" width="9.28125" style="558" customWidth="1"/>
    <col min="3" max="3" width="11.8515625" style="558" bestFit="1" customWidth="1"/>
    <col min="4" max="4" width="9.57421875" style="558" bestFit="1" customWidth="1"/>
    <col min="5" max="5" width="17.140625" style="558" bestFit="1" customWidth="1"/>
    <col min="6" max="6" width="71.8515625" style="558" bestFit="1" customWidth="1"/>
    <col min="7" max="9" width="5.8515625" style="558" customWidth="1"/>
    <col min="10" max="22" width="5.8515625" style="558" bestFit="1" customWidth="1"/>
    <col min="23" max="24" width="11.00390625" style="558" customWidth="1"/>
    <col min="25" max="29" width="11.421875" style="558" customWidth="1"/>
    <col min="30" max="16384" width="11.421875" style="559" customWidth="1"/>
  </cols>
  <sheetData>
    <row r="1" spans="1:4" ht="10.5">
      <c r="A1" s="557" t="s">
        <v>140</v>
      </c>
      <c r="B1" s="557" t="s">
        <v>140</v>
      </c>
      <c r="C1" s="557" t="s">
        <v>141</v>
      </c>
      <c r="D1" s="557" t="s">
        <v>142</v>
      </c>
    </row>
    <row r="2" spans="1:4" ht="10.5">
      <c r="A2" s="560" t="s">
        <v>110</v>
      </c>
      <c r="B2" s="561" t="s">
        <v>143</v>
      </c>
      <c r="C2" s="560">
        <v>31</v>
      </c>
      <c r="D2" s="560">
        <v>2006</v>
      </c>
    </row>
    <row r="3" spans="1:4" ht="10.5">
      <c r="A3" s="560" t="s">
        <v>111</v>
      </c>
      <c r="B3" s="561" t="s">
        <v>144</v>
      </c>
      <c r="C3" s="560">
        <f>IF(MOD(E14,4)=0,29,28)</f>
        <v>29</v>
      </c>
      <c r="D3" s="560">
        <f>+D2+1</f>
        <v>2007</v>
      </c>
    </row>
    <row r="4" spans="1:4" ht="10.5">
      <c r="A4" s="560" t="s">
        <v>112</v>
      </c>
      <c r="B4" s="561" t="s">
        <v>145</v>
      </c>
      <c r="C4" s="560">
        <v>31</v>
      </c>
      <c r="D4" s="560">
        <v>2008</v>
      </c>
    </row>
    <row r="5" spans="1:4" ht="10.5">
      <c r="A5" s="560" t="s">
        <v>113</v>
      </c>
      <c r="B5" s="561" t="s">
        <v>146</v>
      </c>
      <c r="C5" s="560">
        <v>30</v>
      </c>
      <c r="D5" s="560">
        <v>2009</v>
      </c>
    </row>
    <row r="6" spans="1:4" ht="10.5">
      <c r="A6" s="560" t="s">
        <v>114</v>
      </c>
      <c r="B6" s="561" t="s">
        <v>147</v>
      </c>
      <c r="C6" s="560">
        <v>31</v>
      </c>
      <c r="D6" s="560">
        <v>2010</v>
      </c>
    </row>
    <row r="7" spans="1:4" ht="10.5">
      <c r="A7" s="560" t="s">
        <v>115</v>
      </c>
      <c r="B7" s="561" t="s">
        <v>148</v>
      </c>
      <c r="C7" s="560">
        <v>30</v>
      </c>
      <c r="D7" s="560">
        <v>2011</v>
      </c>
    </row>
    <row r="8" spans="1:4" ht="10.5">
      <c r="A8" s="560" t="s">
        <v>116</v>
      </c>
      <c r="B8" s="561" t="s">
        <v>149</v>
      </c>
      <c r="C8" s="560">
        <v>31</v>
      </c>
      <c r="D8" s="560">
        <v>2012</v>
      </c>
    </row>
    <row r="9" spans="1:4" ht="10.5">
      <c r="A9" s="560" t="s">
        <v>117</v>
      </c>
      <c r="B9" s="561" t="s">
        <v>150</v>
      </c>
      <c r="C9" s="560">
        <v>31</v>
      </c>
      <c r="D9" s="560"/>
    </row>
    <row r="10" spans="1:4" ht="10.5">
      <c r="A10" s="560" t="s">
        <v>118</v>
      </c>
      <c r="B10" s="561" t="s">
        <v>151</v>
      </c>
      <c r="C10" s="560">
        <v>30</v>
      </c>
      <c r="D10" s="560"/>
    </row>
    <row r="11" spans="1:4" ht="10.5">
      <c r="A11" s="560" t="s">
        <v>119</v>
      </c>
      <c r="B11" s="561" t="s">
        <v>152</v>
      </c>
      <c r="C11" s="560">
        <v>31</v>
      </c>
      <c r="D11" s="560"/>
    </row>
    <row r="12" spans="1:4" ht="10.5">
      <c r="A12" s="560" t="s">
        <v>120</v>
      </c>
      <c r="B12" s="561" t="s">
        <v>153</v>
      </c>
      <c r="C12" s="560">
        <v>30</v>
      </c>
      <c r="D12" s="560"/>
    </row>
    <row r="13" spans="1:9" ht="10.5">
      <c r="A13" s="560" t="s">
        <v>121</v>
      </c>
      <c r="B13" s="561" t="s">
        <v>154</v>
      </c>
      <c r="C13" s="560">
        <v>31</v>
      </c>
      <c r="D13" s="560"/>
      <c r="E13" s="562"/>
      <c r="I13" s="563" t="s">
        <v>155</v>
      </c>
    </row>
    <row r="14" spans="1:9" ht="10.5">
      <c r="A14" s="564">
        <v>7</v>
      </c>
      <c r="B14" s="565">
        <v>8</v>
      </c>
      <c r="C14" s="564" t="str">
        <f ca="1">CELL("CONTENIDO",OFFSET(A1,B14,0))</f>
        <v>agosto</v>
      </c>
      <c r="D14" s="564">
        <f ca="1">CELL("CONTENIDO",OFFSET(C1,B14,0))</f>
        <v>31</v>
      </c>
      <c r="E14" s="564">
        <f ca="1">CELL("CONTENIDO",OFFSET(D1,A14,0))</f>
        <v>2012</v>
      </c>
      <c r="F14" s="564" t="str">
        <f>"Desde el 01 al "&amp;D14&amp;" de "&amp;C14&amp;" de "&amp;E14</f>
        <v>Desde el 01 al 31 de agosto de 2012</v>
      </c>
      <c r="G14" s="564" t="str">
        <f ca="1">CELL("CONTENIDO",OFFSET(B1,B14,0))</f>
        <v>08</v>
      </c>
      <c r="H14" s="564" t="str">
        <f>RIGHT(E14,2)</f>
        <v>12</v>
      </c>
      <c r="I14" s="566" t="s">
        <v>156</v>
      </c>
    </row>
    <row r="15" spans="1:8" ht="10.5">
      <c r="A15" s="564"/>
      <c r="B15" s="567" t="str">
        <f>"\\rugor\files\Transporte\Transporte\AA PROCESO AUT ARCHIVOS J\TRANSPA\"&amp;E14</f>
        <v>\\rugor\files\Transporte\Transporte\AA PROCESO AUT ARCHIVOS J\TRANSPA\2012</v>
      </c>
      <c r="C15" s="564"/>
      <c r="D15" s="564"/>
      <c r="E15" s="564"/>
      <c r="F15" s="564"/>
      <c r="G15" s="564" t="str">
        <f>"J"&amp;G14&amp;H14&amp;"TPA"</f>
        <v>J0812TPA</v>
      </c>
      <c r="H15" s="564"/>
    </row>
    <row r="16" spans="1:8" ht="10.5">
      <c r="A16" s="564"/>
      <c r="B16" s="567" t="str">
        <f>"\\rugor\files\Transporte\transporte\AA PROCESO AUT\INTERCAMBIO\"&amp;H14&amp;G14</f>
        <v>\\rugor\files\Transporte\transporte\AA PROCESO AUT\INTERCAMBIO\1208</v>
      </c>
      <c r="C16" s="564"/>
      <c r="D16" s="564"/>
      <c r="E16" s="564"/>
      <c r="F16" s="564"/>
      <c r="G16" s="564"/>
      <c r="H16" s="564"/>
    </row>
    <row r="17" spans="1:29" ht="10.5">
      <c r="A17" s="557" t="s">
        <v>157</v>
      </c>
      <c r="B17" s="557" t="s">
        <v>158</v>
      </c>
      <c r="C17" s="557" t="s">
        <v>159</v>
      </c>
      <c r="D17" s="557" t="s">
        <v>160</v>
      </c>
      <c r="E17" s="557" t="s">
        <v>161</v>
      </c>
      <c r="F17" s="557" t="s">
        <v>162</v>
      </c>
      <c r="G17" s="557" t="s">
        <v>163</v>
      </c>
      <c r="H17" s="557" t="s">
        <v>164</v>
      </c>
      <c r="I17" s="557" t="s">
        <v>165</v>
      </c>
      <c r="J17" s="557" t="s">
        <v>166</v>
      </c>
      <c r="K17" s="557" t="s">
        <v>167</v>
      </c>
      <c r="L17" s="557" t="s">
        <v>168</v>
      </c>
      <c r="M17" s="557" t="s">
        <v>169</v>
      </c>
      <c r="N17" s="557" t="s">
        <v>170</v>
      </c>
      <c r="O17" s="557" t="s">
        <v>171</v>
      </c>
      <c r="P17" s="557" t="s">
        <v>205</v>
      </c>
      <c r="Q17" s="557" t="s">
        <v>172</v>
      </c>
      <c r="R17" s="557" t="s">
        <v>173</v>
      </c>
      <c r="S17" s="557" t="s">
        <v>174</v>
      </c>
      <c r="T17" s="557" t="s">
        <v>175</v>
      </c>
      <c r="U17" s="557" t="s">
        <v>176</v>
      </c>
      <c r="V17" s="557" t="s">
        <v>177</v>
      </c>
      <c r="W17" s="557" t="s">
        <v>178</v>
      </c>
      <c r="X17" s="557" t="s">
        <v>179</v>
      </c>
      <c r="Y17" s="557" t="s">
        <v>180</v>
      </c>
      <c r="Z17" s="557" t="s">
        <v>181</v>
      </c>
      <c r="AA17" s="557" t="s">
        <v>182</v>
      </c>
      <c r="AB17" s="557" t="s">
        <v>183</v>
      </c>
      <c r="AC17" s="557" t="s">
        <v>184</v>
      </c>
    </row>
    <row r="18" spans="1:29" ht="10.5">
      <c r="A18" s="568" t="s">
        <v>185</v>
      </c>
      <c r="B18" s="568">
        <v>22</v>
      </c>
      <c r="C18" s="568">
        <v>20</v>
      </c>
      <c r="D18" s="568">
        <v>12</v>
      </c>
      <c r="E18" s="568" t="str">
        <f>"LI-"&amp;$G$14</f>
        <v>LI-08</v>
      </c>
      <c r="F18" s="568" t="s">
        <v>207</v>
      </c>
      <c r="G18" s="568">
        <v>3</v>
      </c>
      <c r="H18" s="568">
        <v>5</v>
      </c>
      <c r="I18" s="568">
        <v>4</v>
      </c>
      <c r="J18" s="568">
        <v>6</v>
      </c>
      <c r="K18" s="568">
        <v>7</v>
      </c>
      <c r="L18" s="568">
        <v>8</v>
      </c>
      <c r="M18" s="568">
        <v>0</v>
      </c>
      <c r="N18" s="568">
        <v>10</v>
      </c>
      <c r="O18" s="568">
        <v>11</v>
      </c>
      <c r="P18" s="568">
        <v>14</v>
      </c>
      <c r="Q18" s="568">
        <v>0</v>
      </c>
      <c r="R18" s="568">
        <v>26</v>
      </c>
      <c r="S18" s="568">
        <v>15</v>
      </c>
      <c r="T18" s="568">
        <v>0</v>
      </c>
      <c r="U18" s="568">
        <v>0</v>
      </c>
      <c r="V18" s="568">
        <v>0</v>
      </c>
      <c r="W18" s="568">
        <v>19</v>
      </c>
      <c r="X18" s="568">
        <v>9</v>
      </c>
      <c r="Y18" s="568">
        <v>43</v>
      </c>
      <c r="Z18" s="568">
        <v>27</v>
      </c>
      <c r="AA18" s="568">
        <v>20</v>
      </c>
      <c r="AB18" s="568">
        <v>27</v>
      </c>
      <c r="AC18" s="568">
        <v>14</v>
      </c>
    </row>
    <row r="19" spans="1:29" ht="10.5">
      <c r="A19" s="568" t="s">
        <v>191</v>
      </c>
      <c r="B19" s="568">
        <v>22</v>
      </c>
      <c r="C19" s="568">
        <v>20</v>
      </c>
      <c r="D19" s="568">
        <v>12</v>
      </c>
      <c r="E19" s="568" t="str">
        <f>"LI-EDERSA-"&amp;$G$14</f>
        <v>LI-EDERSA-08</v>
      </c>
      <c r="F19" s="568" t="s">
        <v>208</v>
      </c>
      <c r="G19" s="568">
        <v>3</v>
      </c>
      <c r="H19" s="568">
        <v>5</v>
      </c>
      <c r="I19" s="568">
        <v>4</v>
      </c>
      <c r="J19" s="568">
        <v>6</v>
      </c>
      <c r="K19" s="568">
        <v>7</v>
      </c>
      <c r="L19" s="568">
        <v>8</v>
      </c>
      <c r="M19" s="568">
        <v>0</v>
      </c>
      <c r="N19" s="568">
        <v>10</v>
      </c>
      <c r="O19" s="568">
        <v>11</v>
      </c>
      <c r="P19" s="568">
        <v>14</v>
      </c>
      <c r="Q19" s="568">
        <v>0</v>
      </c>
      <c r="R19" s="568">
        <v>26</v>
      </c>
      <c r="S19" s="568">
        <v>15</v>
      </c>
      <c r="T19" s="568">
        <v>0</v>
      </c>
      <c r="U19" s="568">
        <v>0</v>
      </c>
      <c r="V19" s="568">
        <v>0</v>
      </c>
      <c r="W19" s="568">
        <v>20</v>
      </c>
      <c r="X19" s="568">
        <v>9</v>
      </c>
      <c r="Y19" s="568">
        <v>43</v>
      </c>
      <c r="Z19" s="568">
        <v>27</v>
      </c>
      <c r="AA19" s="568">
        <v>20</v>
      </c>
      <c r="AB19" s="568">
        <v>27</v>
      </c>
      <c r="AC19" s="568">
        <v>14</v>
      </c>
    </row>
    <row r="20" spans="1:29" ht="10.5">
      <c r="A20" s="568" t="s">
        <v>192</v>
      </c>
      <c r="B20" s="568">
        <v>22</v>
      </c>
      <c r="C20" s="568">
        <v>20</v>
      </c>
      <c r="D20" s="568">
        <v>12</v>
      </c>
      <c r="E20" s="568" t="str">
        <f>"LI-SPSE-"&amp;$G$14</f>
        <v>LI-SPSE-08</v>
      </c>
      <c r="F20" s="568" t="s">
        <v>209</v>
      </c>
      <c r="G20" s="568">
        <v>3</v>
      </c>
      <c r="H20" s="568">
        <v>5</v>
      </c>
      <c r="I20" s="568">
        <v>4</v>
      </c>
      <c r="J20" s="568">
        <v>6</v>
      </c>
      <c r="K20" s="568">
        <v>7</v>
      </c>
      <c r="L20" s="568">
        <v>8</v>
      </c>
      <c r="M20" s="568">
        <v>0</v>
      </c>
      <c r="N20" s="568">
        <v>10</v>
      </c>
      <c r="O20" s="568">
        <v>11</v>
      </c>
      <c r="P20" s="568">
        <v>14</v>
      </c>
      <c r="Q20" s="568">
        <v>0</v>
      </c>
      <c r="R20" s="568">
        <v>26</v>
      </c>
      <c r="S20" s="568">
        <v>15</v>
      </c>
      <c r="T20" s="568">
        <v>0</v>
      </c>
      <c r="U20" s="568">
        <v>0</v>
      </c>
      <c r="V20" s="568">
        <v>0</v>
      </c>
      <c r="W20" s="568">
        <v>21</v>
      </c>
      <c r="X20" s="568">
        <v>9</v>
      </c>
      <c r="Y20" s="568">
        <v>43</v>
      </c>
      <c r="Z20" s="568">
        <v>27</v>
      </c>
      <c r="AA20" s="568">
        <v>20</v>
      </c>
      <c r="AB20" s="568">
        <v>27</v>
      </c>
      <c r="AC20" s="568">
        <v>14</v>
      </c>
    </row>
    <row r="21" spans="1:29" ht="10.5">
      <c r="A21" s="568" t="s">
        <v>193</v>
      </c>
      <c r="B21" s="568">
        <v>22</v>
      </c>
      <c r="C21" s="568">
        <v>20</v>
      </c>
      <c r="D21" s="568">
        <v>12</v>
      </c>
      <c r="E21" s="568" t="str">
        <f>"LI-TRANSACUE-"&amp;$G$14</f>
        <v>LI-TRANSACUE-08</v>
      </c>
      <c r="F21" s="568" t="s">
        <v>210</v>
      </c>
      <c r="G21" s="568">
        <v>3</v>
      </c>
      <c r="H21" s="568">
        <v>5</v>
      </c>
      <c r="I21" s="568">
        <v>4</v>
      </c>
      <c r="J21" s="568">
        <v>6</v>
      </c>
      <c r="K21" s="568">
        <v>7</v>
      </c>
      <c r="L21" s="568">
        <v>8</v>
      </c>
      <c r="M21" s="568">
        <v>0</v>
      </c>
      <c r="N21" s="568">
        <v>10</v>
      </c>
      <c r="O21" s="568">
        <v>11</v>
      </c>
      <c r="P21" s="568">
        <v>14</v>
      </c>
      <c r="Q21" s="568">
        <v>0</v>
      </c>
      <c r="R21" s="568">
        <v>26</v>
      </c>
      <c r="S21" s="568">
        <v>15</v>
      </c>
      <c r="T21" s="568">
        <v>0</v>
      </c>
      <c r="U21" s="568">
        <v>0</v>
      </c>
      <c r="V21" s="568">
        <v>0</v>
      </c>
      <c r="W21" s="568">
        <v>22</v>
      </c>
      <c r="X21" s="568">
        <v>9</v>
      </c>
      <c r="Y21" s="568">
        <v>43</v>
      </c>
      <c r="Z21" s="568">
        <v>27</v>
      </c>
      <c r="AA21" s="568">
        <v>20</v>
      </c>
      <c r="AB21" s="568">
        <v>27</v>
      </c>
      <c r="AC21" s="568">
        <v>14</v>
      </c>
    </row>
    <row r="22" spans="1:29" ht="10.5">
      <c r="A22" s="595" t="s">
        <v>186</v>
      </c>
      <c r="B22" s="595">
        <v>24</v>
      </c>
      <c r="C22" s="595">
        <v>20</v>
      </c>
      <c r="D22" s="595">
        <v>13</v>
      </c>
      <c r="E22" s="595" t="str">
        <f>"TR-"&amp;$G$14</f>
        <v>TR-08</v>
      </c>
      <c r="F22" s="595" t="s">
        <v>211</v>
      </c>
      <c r="G22" s="568">
        <v>3</v>
      </c>
      <c r="H22" s="568">
        <v>5</v>
      </c>
      <c r="I22" s="568">
        <v>4</v>
      </c>
      <c r="J22" s="568">
        <v>6</v>
      </c>
      <c r="K22" s="568">
        <v>7</v>
      </c>
      <c r="L22" s="568">
        <v>8</v>
      </c>
      <c r="M22" s="568">
        <v>9</v>
      </c>
      <c r="N22" s="595">
        <v>11</v>
      </c>
      <c r="O22" s="595">
        <v>12</v>
      </c>
      <c r="P22" s="595">
        <v>15</v>
      </c>
      <c r="Q22" s="595">
        <v>16</v>
      </c>
      <c r="R22" s="595">
        <v>18</v>
      </c>
      <c r="S22" s="595">
        <v>28</v>
      </c>
      <c r="T22" s="595">
        <v>0</v>
      </c>
      <c r="U22" s="568">
        <v>0</v>
      </c>
      <c r="V22" s="568">
        <v>0</v>
      </c>
      <c r="W22" s="595">
        <v>27</v>
      </c>
      <c r="X22" s="568">
        <v>9</v>
      </c>
      <c r="Y22" s="595">
        <v>45</v>
      </c>
      <c r="Z22" s="595">
        <v>29</v>
      </c>
      <c r="AA22" s="595">
        <v>22</v>
      </c>
      <c r="AB22" s="595">
        <v>29</v>
      </c>
      <c r="AC22" s="595">
        <v>15</v>
      </c>
    </row>
    <row r="23" spans="1:29" ht="10.5">
      <c r="A23" s="568" t="s">
        <v>194</v>
      </c>
      <c r="B23" s="595">
        <v>24</v>
      </c>
      <c r="C23" s="595">
        <v>20</v>
      </c>
      <c r="D23" s="595">
        <v>13</v>
      </c>
      <c r="E23" s="568" t="str">
        <f>"TR-EDERSA-"&amp;$G$14</f>
        <v>TR-EDERSA-08</v>
      </c>
      <c r="F23" s="568" t="s">
        <v>212</v>
      </c>
      <c r="G23" s="568">
        <v>3</v>
      </c>
      <c r="H23" s="568">
        <v>5</v>
      </c>
      <c r="I23" s="568">
        <v>4</v>
      </c>
      <c r="J23" s="568">
        <v>6</v>
      </c>
      <c r="K23" s="568">
        <v>7</v>
      </c>
      <c r="L23" s="568">
        <v>8</v>
      </c>
      <c r="M23" s="568">
        <v>9</v>
      </c>
      <c r="N23" s="595">
        <v>11</v>
      </c>
      <c r="O23" s="595">
        <v>12</v>
      </c>
      <c r="P23" s="595">
        <v>15</v>
      </c>
      <c r="Q23" s="595">
        <v>16</v>
      </c>
      <c r="R23" s="595">
        <v>18</v>
      </c>
      <c r="S23" s="595">
        <v>28</v>
      </c>
      <c r="T23" s="595">
        <v>0</v>
      </c>
      <c r="U23" s="568">
        <v>0</v>
      </c>
      <c r="V23" s="568">
        <v>0</v>
      </c>
      <c r="W23" s="595">
        <v>28</v>
      </c>
      <c r="X23" s="568">
        <v>9</v>
      </c>
      <c r="Y23" s="595">
        <v>45</v>
      </c>
      <c r="Z23" s="595">
        <v>29</v>
      </c>
      <c r="AA23" s="595">
        <v>22</v>
      </c>
      <c r="AB23" s="595">
        <v>29</v>
      </c>
      <c r="AC23" s="595">
        <v>15</v>
      </c>
    </row>
    <row r="24" spans="1:29" ht="10.5">
      <c r="A24" s="568" t="s">
        <v>195</v>
      </c>
      <c r="B24" s="595">
        <v>24</v>
      </c>
      <c r="C24" s="595">
        <v>20</v>
      </c>
      <c r="D24" s="595">
        <v>13</v>
      </c>
      <c r="E24" s="568" t="str">
        <f>"TR-SPSE-"&amp;$G$14</f>
        <v>TR-SPSE-08</v>
      </c>
      <c r="F24" s="568" t="s">
        <v>213</v>
      </c>
      <c r="G24" s="568">
        <v>3</v>
      </c>
      <c r="H24" s="568">
        <v>5</v>
      </c>
      <c r="I24" s="568">
        <v>4</v>
      </c>
      <c r="J24" s="568">
        <v>6</v>
      </c>
      <c r="K24" s="568">
        <v>7</v>
      </c>
      <c r="L24" s="568">
        <v>8</v>
      </c>
      <c r="M24" s="568">
        <v>9</v>
      </c>
      <c r="N24" s="595">
        <v>11</v>
      </c>
      <c r="O24" s="595">
        <v>12</v>
      </c>
      <c r="P24" s="595">
        <v>15</v>
      </c>
      <c r="Q24" s="595">
        <v>16</v>
      </c>
      <c r="R24" s="595">
        <v>18</v>
      </c>
      <c r="S24" s="595">
        <v>28</v>
      </c>
      <c r="T24" s="595">
        <v>0</v>
      </c>
      <c r="U24" s="568">
        <v>0</v>
      </c>
      <c r="V24" s="568">
        <v>0</v>
      </c>
      <c r="W24" s="595">
        <v>29</v>
      </c>
      <c r="X24" s="568">
        <v>9</v>
      </c>
      <c r="Y24" s="595">
        <v>45</v>
      </c>
      <c r="Z24" s="595">
        <v>29</v>
      </c>
      <c r="AA24" s="595">
        <v>22</v>
      </c>
      <c r="AB24" s="595">
        <v>29</v>
      </c>
      <c r="AC24" s="595">
        <v>15</v>
      </c>
    </row>
    <row r="25" spans="1:29" ht="10.5">
      <c r="A25" s="568" t="s">
        <v>187</v>
      </c>
      <c r="B25" s="595">
        <v>24</v>
      </c>
      <c r="C25" s="568">
        <v>20</v>
      </c>
      <c r="D25" s="568">
        <v>10</v>
      </c>
      <c r="E25" s="568" t="str">
        <f>"SA-"&amp;$G$14</f>
        <v>SA-08</v>
      </c>
      <c r="F25" s="568" t="s">
        <v>214</v>
      </c>
      <c r="G25" s="568">
        <v>3</v>
      </c>
      <c r="H25" s="568">
        <v>5</v>
      </c>
      <c r="I25" s="568">
        <v>4</v>
      </c>
      <c r="J25" s="568">
        <v>6</v>
      </c>
      <c r="K25" s="568">
        <v>7</v>
      </c>
      <c r="L25" s="568">
        <v>8</v>
      </c>
      <c r="M25" s="568">
        <v>10</v>
      </c>
      <c r="N25" s="568">
        <v>11</v>
      </c>
      <c r="O25" s="568">
        <v>14</v>
      </c>
      <c r="P25" s="568">
        <v>15</v>
      </c>
      <c r="Q25" s="568">
        <v>21</v>
      </c>
      <c r="R25" s="568">
        <v>0</v>
      </c>
      <c r="S25" s="568">
        <v>0</v>
      </c>
      <c r="T25" s="568">
        <v>0</v>
      </c>
      <c r="U25" s="568">
        <v>0</v>
      </c>
      <c r="V25" s="568">
        <v>0</v>
      </c>
      <c r="W25" s="568">
        <v>32</v>
      </c>
      <c r="X25" s="568">
        <v>9</v>
      </c>
      <c r="Y25" s="595">
        <v>45</v>
      </c>
      <c r="Z25" s="568">
        <v>22</v>
      </c>
      <c r="AA25" s="595">
        <v>22</v>
      </c>
      <c r="AB25" s="568">
        <v>22</v>
      </c>
      <c r="AC25" s="568">
        <v>21</v>
      </c>
    </row>
    <row r="26" spans="1:29" ht="10.5">
      <c r="A26" s="568" t="s">
        <v>196</v>
      </c>
      <c r="B26" s="595">
        <v>24</v>
      </c>
      <c r="C26" s="568">
        <v>20</v>
      </c>
      <c r="D26" s="568">
        <v>10</v>
      </c>
      <c r="E26" s="568" t="str">
        <f>"SA-EDERSA-"&amp;$G$14</f>
        <v>SA-EDERSA-08</v>
      </c>
      <c r="F26" s="568" t="s">
        <v>215</v>
      </c>
      <c r="G26" s="568">
        <v>3</v>
      </c>
      <c r="H26" s="568">
        <v>5</v>
      </c>
      <c r="I26" s="568">
        <v>4</v>
      </c>
      <c r="J26" s="568">
        <v>6</v>
      </c>
      <c r="K26" s="568">
        <v>7</v>
      </c>
      <c r="L26" s="568">
        <v>8</v>
      </c>
      <c r="M26" s="568">
        <v>10</v>
      </c>
      <c r="N26" s="568">
        <v>11</v>
      </c>
      <c r="O26" s="568">
        <v>14</v>
      </c>
      <c r="P26" s="568">
        <v>15</v>
      </c>
      <c r="Q26" s="568">
        <v>21</v>
      </c>
      <c r="R26" s="568">
        <v>0</v>
      </c>
      <c r="S26" s="568">
        <v>0</v>
      </c>
      <c r="T26" s="568">
        <v>0</v>
      </c>
      <c r="U26" s="568">
        <v>0</v>
      </c>
      <c r="V26" s="568">
        <v>0</v>
      </c>
      <c r="W26" s="568">
        <v>33</v>
      </c>
      <c r="X26" s="568">
        <v>9</v>
      </c>
      <c r="Y26" s="595">
        <v>45</v>
      </c>
      <c r="Z26" s="568">
        <v>22</v>
      </c>
      <c r="AA26" s="595">
        <v>22</v>
      </c>
      <c r="AB26" s="568">
        <v>22</v>
      </c>
      <c r="AC26" s="568">
        <v>21</v>
      </c>
    </row>
    <row r="27" spans="1:29" ht="10.5">
      <c r="A27" s="568" t="s">
        <v>197</v>
      </c>
      <c r="B27" s="595">
        <v>24</v>
      </c>
      <c r="C27" s="568">
        <v>20</v>
      </c>
      <c r="D27" s="568">
        <v>10</v>
      </c>
      <c r="E27" s="568" t="str">
        <f>"SA-SPSE-"&amp;$G$14</f>
        <v>SA-SPSE-08</v>
      </c>
      <c r="F27" s="568" t="s">
        <v>216</v>
      </c>
      <c r="G27" s="568">
        <v>3</v>
      </c>
      <c r="H27" s="568">
        <v>5</v>
      </c>
      <c r="I27" s="568">
        <v>4</v>
      </c>
      <c r="J27" s="568">
        <v>6</v>
      </c>
      <c r="K27" s="568">
        <v>7</v>
      </c>
      <c r="L27" s="568">
        <v>8</v>
      </c>
      <c r="M27" s="568">
        <v>10</v>
      </c>
      <c r="N27" s="568">
        <v>11</v>
      </c>
      <c r="O27" s="568">
        <v>14</v>
      </c>
      <c r="P27" s="568">
        <v>15</v>
      </c>
      <c r="Q27" s="568">
        <v>21</v>
      </c>
      <c r="R27" s="568">
        <v>0</v>
      </c>
      <c r="S27" s="568">
        <v>0</v>
      </c>
      <c r="T27" s="568">
        <v>0</v>
      </c>
      <c r="U27" s="568">
        <v>0</v>
      </c>
      <c r="V27" s="568">
        <v>0</v>
      </c>
      <c r="W27" s="568">
        <v>34</v>
      </c>
      <c r="X27" s="568">
        <v>9</v>
      </c>
      <c r="Y27" s="595">
        <v>45</v>
      </c>
      <c r="Z27" s="568">
        <v>22</v>
      </c>
      <c r="AA27" s="595">
        <v>22</v>
      </c>
      <c r="AB27" s="568">
        <v>22</v>
      </c>
      <c r="AC27" s="568">
        <v>21</v>
      </c>
    </row>
    <row r="28" spans="1:29" ht="10.5">
      <c r="A28" s="568" t="s">
        <v>198</v>
      </c>
      <c r="B28" s="595">
        <v>24</v>
      </c>
      <c r="C28" s="568">
        <v>20</v>
      </c>
      <c r="D28" s="568">
        <v>10</v>
      </c>
      <c r="E28" s="568" t="str">
        <f>"SA-TRANSACUE-"&amp;$G$14</f>
        <v>SA-TRANSACUE-08</v>
      </c>
      <c r="F28" s="568" t="s">
        <v>217</v>
      </c>
      <c r="G28" s="568">
        <v>3</v>
      </c>
      <c r="H28" s="568">
        <v>5</v>
      </c>
      <c r="I28" s="568">
        <v>4</v>
      </c>
      <c r="J28" s="568">
        <v>6</v>
      </c>
      <c r="K28" s="568">
        <v>7</v>
      </c>
      <c r="L28" s="568">
        <v>8</v>
      </c>
      <c r="M28" s="568">
        <v>10</v>
      </c>
      <c r="N28" s="568">
        <v>11</v>
      </c>
      <c r="O28" s="568">
        <v>14</v>
      </c>
      <c r="P28" s="568">
        <v>15</v>
      </c>
      <c r="Q28" s="568">
        <v>21</v>
      </c>
      <c r="R28" s="568">
        <v>0</v>
      </c>
      <c r="S28" s="568">
        <v>0</v>
      </c>
      <c r="T28" s="568">
        <v>0</v>
      </c>
      <c r="U28" s="568">
        <v>0</v>
      </c>
      <c r="V28" s="568">
        <v>0</v>
      </c>
      <c r="W28" s="568">
        <v>35</v>
      </c>
      <c r="X28" s="568">
        <v>9</v>
      </c>
      <c r="Y28" s="595">
        <v>45</v>
      </c>
      <c r="Z28" s="568">
        <v>22</v>
      </c>
      <c r="AA28" s="595">
        <v>22</v>
      </c>
      <c r="AB28" s="568">
        <v>22</v>
      </c>
      <c r="AC28" s="568">
        <v>21</v>
      </c>
    </row>
    <row r="29" spans="1:29" ht="10.5">
      <c r="A29" s="568" t="s">
        <v>188</v>
      </c>
      <c r="B29" s="595">
        <v>22</v>
      </c>
      <c r="C29" s="595">
        <v>20</v>
      </c>
      <c r="D29" s="568">
        <v>12</v>
      </c>
      <c r="E29" s="568" t="str">
        <f>"RE-"&amp;$G$14</f>
        <v>RE-08</v>
      </c>
      <c r="F29" s="568" t="s">
        <v>218</v>
      </c>
      <c r="G29" s="568">
        <v>3</v>
      </c>
      <c r="H29" s="568">
        <v>5</v>
      </c>
      <c r="I29" s="568">
        <v>4</v>
      </c>
      <c r="J29" s="568">
        <v>6</v>
      </c>
      <c r="K29" s="568">
        <v>7</v>
      </c>
      <c r="L29" s="568">
        <v>8</v>
      </c>
      <c r="M29" s="568">
        <v>10</v>
      </c>
      <c r="N29" s="568">
        <v>11</v>
      </c>
      <c r="O29" s="568">
        <v>14</v>
      </c>
      <c r="P29" s="568">
        <v>15</v>
      </c>
      <c r="Q29" s="568">
        <v>21</v>
      </c>
      <c r="R29" s="568">
        <v>0</v>
      </c>
      <c r="S29" s="568">
        <v>0</v>
      </c>
      <c r="T29" s="568">
        <v>0</v>
      </c>
      <c r="U29" s="568">
        <v>0</v>
      </c>
      <c r="V29" s="568">
        <v>0</v>
      </c>
      <c r="W29" s="568">
        <v>37</v>
      </c>
      <c r="X29" s="568">
        <v>9</v>
      </c>
      <c r="Y29" s="568">
        <v>43</v>
      </c>
      <c r="Z29" s="568">
        <v>22</v>
      </c>
      <c r="AA29" s="568">
        <v>20</v>
      </c>
      <c r="AB29" s="568">
        <v>22</v>
      </c>
      <c r="AC29" s="568">
        <v>21</v>
      </c>
    </row>
    <row r="30" spans="1:29" ht="10.5">
      <c r="A30" s="569" t="s">
        <v>189</v>
      </c>
      <c r="B30" s="569">
        <v>19</v>
      </c>
      <c r="C30" s="569">
        <v>24</v>
      </c>
      <c r="D30" s="570">
        <v>4</v>
      </c>
      <c r="E30" s="569" t="str">
        <f>"CAUSAS-VST-"&amp;$G$14</f>
        <v>CAUSAS-VST-08</v>
      </c>
      <c r="F30" s="569" t="s">
        <v>199</v>
      </c>
      <c r="G30" s="569">
        <v>3</v>
      </c>
      <c r="H30" s="569">
        <v>4</v>
      </c>
      <c r="I30" s="569">
        <v>5</v>
      </c>
      <c r="J30" s="569">
        <v>6</v>
      </c>
      <c r="K30" s="569">
        <v>7</v>
      </c>
      <c r="L30" s="569">
        <v>0</v>
      </c>
      <c r="M30" s="569">
        <v>0</v>
      </c>
      <c r="N30" s="569">
        <v>0</v>
      </c>
      <c r="O30" s="569">
        <v>0</v>
      </c>
      <c r="P30" s="569">
        <v>0</v>
      </c>
      <c r="Q30" s="569">
        <v>0</v>
      </c>
      <c r="R30" s="569">
        <v>0</v>
      </c>
      <c r="S30" s="569">
        <v>0</v>
      </c>
      <c r="T30" s="569">
        <v>0</v>
      </c>
      <c r="U30" s="569">
        <v>0</v>
      </c>
      <c r="V30" s="569">
        <v>0</v>
      </c>
      <c r="W30" s="569">
        <v>999</v>
      </c>
      <c r="X30" s="569">
        <v>999</v>
      </c>
      <c r="Y30" s="569">
        <v>0</v>
      </c>
      <c r="Z30" s="569">
        <v>0</v>
      </c>
      <c r="AA30" s="569">
        <v>0</v>
      </c>
      <c r="AB30" s="569">
        <v>0</v>
      </c>
      <c r="AC30" s="569">
        <v>0</v>
      </c>
    </row>
    <row r="31" spans="1:29" ht="10.5">
      <c r="A31" s="571"/>
      <c r="B31" s="571">
        <v>30</v>
      </c>
      <c r="C31" s="571">
        <v>10</v>
      </c>
      <c r="D31" s="572">
        <v>11</v>
      </c>
      <c r="E31" s="571" t="s">
        <v>190</v>
      </c>
      <c r="F31" s="573" t="s">
        <v>219</v>
      </c>
      <c r="G31" s="573">
        <v>3</v>
      </c>
      <c r="H31" s="573">
        <v>5</v>
      </c>
      <c r="I31" s="573">
        <v>0</v>
      </c>
      <c r="J31" s="573">
        <v>4</v>
      </c>
      <c r="K31" s="573">
        <v>5</v>
      </c>
      <c r="L31" s="573">
        <v>6</v>
      </c>
      <c r="M31" s="573">
        <v>8</v>
      </c>
      <c r="N31" s="573">
        <v>9</v>
      </c>
      <c r="O31" s="573">
        <v>10</v>
      </c>
      <c r="P31" s="573">
        <v>13</v>
      </c>
      <c r="Q31" s="573">
        <v>15</v>
      </c>
      <c r="R31" s="573">
        <v>16</v>
      </c>
      <c r="S31" s="573">
        <v>0</v>
      </c>
      <c r="T31" s="573">
        <v>0</v>
      </c>
      <c r="U31" s="573">
        <v>0</v>
      </c>
      <c r="V31" s="573">
        <v>0</v>
      </c>
      <c r="W31" s="571">
        <v>0</v>
      </c>
      <c r="X31" s="571">
        <v>0</v>
      </c>
      <c r="Y31" s="571">
        <v>0</v>
      </c>
      <c r="Z31" s="571">
        <v>0</v>
      </c>
      <c r="AA31" s="571">
        <v>0</v>
      </c>
      <c r="AB31" s="571">
        <v>0</v>
      </c>
      <c r="AC31" s="571">
        <v>0</v>
      </c>
    </row>
    <row r="34" spans="6:9" ht="12.75">
      <c r="F34" s="574"/>
      <c r="G34" s="574"/>
      <c r="H34" s="574"/>
      <c r="I34" s="574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70" zoomScaleNormal="70" zoomScalePageLayoutView="0" workbookViewId="0" topLeftCell="A1">
      <selection activeCell="F50" sqref="F50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8" customFormat="1" ht="26.25">
      <c r="AB1" s="402"/>
    </row>
    <row r="2" spans="2:28" s="108" customFormat="1" ht="26.25">
      <c r="B2" s="109" t="str">
        <f>+'TOT-0812'!B2</f>
        <v>ANEXO II al Memorándum  D.T.E.E.  N°             / 2013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="10" customFormat="1" ht="12.75"/>
    <row r="4" spans="1:4" s="111" customFormat="1" ht="11.25">
      <c r="A4" s="578" t="s">
        <v>16</v>
      </c>
      <c r="C4" s="577"/>
      <c r="D4" s="577"/>
    </row>
    <row r="5" spans="1:4" s="111" customFormat="1" ht="11.25">
      <c r="A5" s="578" t="s">
        <v>202</v>
      </c>
      <c r="C5" s="577"/>
      <c r="D5" s="577"/>
    </row>
    <row r="6" s="10" customFormat="1" ht="13.5" thickBot="1"/>
    <row r="7" spans="1:28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s="113" customFormat="1" ht="20.25">
      <c r="A8" s="44"/>
      <c r="B8" s="112"/>
      <c r="C8" s="44"/>
      <c r="D8" s="44"/>
      <c r="E8" s="44"/>
      <c r="F8" s="21" t="s">
        <v>31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114"/>
    </row>
    <row r="9" spans="1:28" s="10" customFormat="1" ht="12.75">
      <c r="A9" s="8"/>
      <c r="B9" s="43"/>
      <c r="C9" s="8"/>
      <c r="D9" s="8"/>
      <c r="E9" s="8"/>
      <c r="F9" s="125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3" customFormat="1" ht="20.25">
      <c r="A10" s="44"/>
      <c r="B10" s="112"/>
      <c r="C10" s="44"/>
      <c r="D10" s="44"/>
      <c r="E10" s="44"/>
      <c r="F10" s="21" t="s">
        <v>254</v>
      </c>
      <c r="G10" s="21"/>
      <c r="H10" s="44"/>
      <c r="I10" s="115"/>
      <c r="J10" s="115"/>
      <c r="K10" s="115"/>
      <c r="L10" s="115"/>
      <c r="M10" s="115"/>
      <c r="N10" s="115"/>
      <c r="O10" s="115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14"/>
    </row>
    <row r="11" spans="1:28" s="10" customFormat="1" ht="12.75">
      <c r="A11" s="8"/>
      <c r="B11" s="43"/>
      <c r="C11" s="8"/>
      <c r="D11" s="8"/>
      <c r="E11" s="8"/>
      <c r="F11" s="124"/>
      <c r="G11" s="122"/>
      <c r="H11" s="8"/>
      <c r="I11" s="121"/>
      <c r="J11" s="121"/>
      <c r="K11" s="121"/>
      <c r="L11" s="121"/>
      <c r="M11" s="121"/>
      <c r="N11" s="121"/>
      <c r="O11" s="12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0" customFormat="1" ht="19.5">
      <c r="A12" s="46"/>
      <c r="B12" s="86" t="str">
        <f>+'TOT-0812'!B14</f>
        <v>Desde el 01 al 31 de agosto de 2012</v>
      </c>
      <c r="C12" s="116"/>
      <c r="D12" s="116"/>
      <c r="E12" s="116"/>
      <c r="F12" s="116"/>
      <c r="G12" s="117"/>
      <c r="H12" s="117"/>
      <c r="I12" s="118"/>
      <c r="J12" s="118"/>
      <c r="K12" s="118"/>
      <c r="L12" s="118"/>
      <c r="M12" s="118"/>
      <c r="N12" s="118"/>
      <c r="O12" s="118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9"/>
    </row>
    <row r="13" spans="1:28" s="120" customFormat="1" ht="7.5" customHeight="1">
      <c r="A13" s="46"/>
      <c r="B13" s="86"/>
      <c r="C13" s="116"/>
      <c r="D13" s="116"/>
      <c r="E13" s="116"/>
      <c r="F13" s="116"/>
      <c r="G13" s="117"/>
      <c r="H13" s="117"/>
      <c r="I13" s="118"/>
      <c r="J13" s="118"/>
      <c r="K13" s="118"/>
      <c r="L13" s="118"/>
      <c r="M13" s="118"/>
      <c r="N13" s="118"/>
      <c r="O13" s="118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9"/>
    </row>
    <row r="14" spans="1:28" s="10" customFormat="1" ht="7.5" customHeight="1" thickBot="1">
      <c r="A14" s="8"/>
      <c r="B14" s="43"/>
      <c r="C14" s="8"/>
      <c r="D14" s="8"/>
      <c r="E14" s="8"/>
      <c r="F14" s="8"/>
      <c r="G14" s="122"/>
      <c r="H14" s="123"/>
      <c r="I14" s="121"/>
      <c r="J14" s="121"/>
      <c r="K14" s="121"/>
      <c r="L14" s="121"/>
      <c r="M14" s="121"/>
      <c r="N14" s="121"/>
      <c r="O14" s="12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4" customFormat="1" ht="16.5" customHeight="1" thickBot="1" thickTop="1">
      <c r="A15" s="90"/>
      <c r="B15" s="91"/>
      <c r="C15" s="90"/>
      <c r="D15" s="90"/>
      <c r="E15" s="90"/>
      <c r="F15" s="494" t="s">
        <v>32</v>
      </c>
      <c r="G15" s="495" t="s">
        <v>245</v>
      </c>
      <c r="H15" s="237"/>
      <c r="I15" s="95"/>
      <c r="J15" s="95"/>
      <c r="K15" s="95"/>
      <c r="L15" s="95"/>
      <c r="M15" s="95"/>
      <c r="N15" s="95"/>
      <c r="O15" s="95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3"/>
    </row>
    <row r="16" spans="1:28" s="94" customFormat="1" ht="16.5" customHeight="1" thickBot="1" thickTop="1">
      <c r="A16" s="90"/>
      <c r="B16" s="91"/>
      <c r="C16" s="90"/>
      <c r="D16" s="90"/>
      <c r="E16" s="90"/>
      <c r="F16" s="494" t="s">
        <v>33</v>
      </c>
      <c r="G16" s="495">
        <v>127.709</v>
      </c>
      <c r="H16" s="238"/>
      <c r="I16" s="90"/>
      <c r="K16" s="96" t="s">
        <v>34</v>
      </c>
      <c r="L16" s="97">
        <f>30*'TOT-0812'!B13</f>
        <v>30</v>
      </c>
      <c r="M16" s="234" t="str">
        <f>IF(L16=30," ",IF(L16=60,"Coeficiente duplicado por tasa de falla &gt;4 Sal. x año/100 km.","REVISAR COEFICIENTE"))</f>
        <v> 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3"/>
    </row>
    <row r="17" spans="1:28" s="94" customFormat="1" ht="7.5" customHeight="1" thickTop="1">
      <c r="A17" s="90"/>
      <c r="B17" s="91"/>
      <c r="C17" s="90"/>
      <c r="D17" s="90"/>
      <c r="E17" s="90"/>
      <c r="F17" s="552"/>
      <c r="G17" s="553"/>
      <c r="H17" s="554"/>
      <c r="I17" s="90"/>
      <c r="K17" s="96"/>
      <c r="L17" s="97"/>
      <c r="M17" s="234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3"/>
    </row>
    <row r="18" spans="1:28" s="600" customFormat="1" ht="15" customHeight="1" thickBot="1">
      <c r="A18" s="596"/>
      <c r="B18" s="597"/>
      <c r="C18" s="598">
        <v>3</v>
      </c>
      <c r="D18" s="598">
        <v>4</v>
      </c>
      <c r="E18" s="598">
        <v>5</v>
      </c>
      <c r="F18" s="598">
        <v>6</v>
      </c>
      <c r="G18" s="598">
        <v>7</v>
      </c>
      <c r="H18" s="598">
        <v>8</v>
      </c>
      <c r="I18" s="598">
        <v>9</v>
      </c>
      <c r="J18" s="598">
        <v>10</v>
      </c>
      <c r="K18" s="598">
        <v>11</v>
      </c>
      <c r="L18" s="598">
        <v>12</v>
      </c>
      <c r="M18" s="598">
        <v>13</v>
      </c>
      <c r="N18" s="598">
        <v>14</v>
      </c>
      <c r="O18" s="598">
        <v>15</v>
      </c>
      <c r="P18" s="598">
        <v>16</v>
      </c>
      <c r="Q18" s="598">
        <v>17</v>
      </c>
      <c r="R18" s="598">
        <v>18</v>
      </c>
      <c r="S18" s="598">
        <v>19</v>
      </c>
      <c r="T18" s="598">
        <v>20</v>
      </c>
      <c r="U18" s="598">
        <v>21</v>
      </c>
      <c r="V18" s="598">
        <v>22</v>
      </c>
      <c r="W18" s="598">
        <v>23</v>
      </c>
      <c r="X18" s="598">
        <v>24</v>
      </c>
      <c r="Y18" s="598">
        <v>25</v>
      </c>
      <c r="Z18" s="598">
        <v>26</v>
      </c>
      <c r="AA18" s="598">
        <v>27</v>
      </c>
      <c r="AB18" s="599"/>
    </row>
    <row r="19" spans="1:28" s="107" customFormat="1" ht="33.75" customHeight="1" thickBot="1" thickTop="1">
      <c r="A19" s="98"/>
      <c r="B19" s="99"/>
      <c r="C19" s="100" t="s">
        <v>35</v>
      </c>
      <c r="D19" s="100" t="s">
        <v>201</v>
      </c>
      <c r="E19" s="100" t="s">
        <v>200</v>
      </c>
      <c r="F19" s="101" t="s">
        <v>19</v>
      </c>
      <c r="G19" s="102" t="s">
        <v>36</v>
      </c>
      <c r="H19" s="103" t="s">
        <v>37</v>
      </c>
      <c r="I19" s="263" t="s">
        <v>38</v>
      </c>
      <c r="J19" s="101" t="s">
        <v>39</v>
      </c>
      <c r="K19" s="101" t="s">
        <v>40</v>
      </c>
      <c r="L19" s="102" t="s">
        <v>41</v>
      </c>
      <c r="M19" s="102" t="s">
        <v>42</v>
      </c>
      <c r="N19" s="104" t="s">
        <v>43</v>
      </c>
      <c r="O19" s="102" t="s">
        <v>44</v>
      </c>
      <c r="P19" s="292" t="s">
        <v>45</v>
      </c>
      <c r="Q19" s="295" t="s">
        <v>46</v>
      </c>
      <c r="R19" s="298" t="s">
        <v>47</v>
      </c>
      <c r="S19" s="299"/>
      <c r="T19" s="300"/>
      <c r="U19" s="309" t="s">
        <v>48</v>
      </c>
      <c r="V19" s="310"/>
      <c r="W19" s="311"/>
      <c r="X19" s="319" t="s">
        <v>49</v>
      </c>
      <c r="Y19" s="322" t="s">
        <v>50</v>
      </c>
      <c r="Z19" s="105" t="s">
        <v>51</v>
      </c>
      <c r="AA19" s="105" t="s">
        <v>52</v>
      </c>
      <c r="AB19" s="106"/>
    </row>
    <row r="20" spans="1:28" ht="16.5" customHeight="1" thickTop="1">
      <c r="A20" s="1"/>
      <c r="B20" s="2"/>
      <c r="C20" s="50"/>
      <c r="D20" s="87"/>
      <c r="E20" s="87"/>
      <c r="F20" s="51"/>
      <c r="G20" s="52"/>
      <c r="H20" s="52"/>
      <c r="I20" s="264"/>
      <c r="J20" s="52"/>
      <c r="K20" s="53"/>
      <c r="L20" s="53"/>
      <c r="M20" s="53"/>
      <c r="N20" s="51"/>
      <c r="O20" s="52"/>
      <c r="P20" s="293"/>
      <c r="Q20" s="296"/>
      <c r="R20" s="301"/>
      <c r="S20" s="302"/>
      <c r="T20" s="303"/>
      <c r="U20" s="312"/>
      <c r="V20" s="313"/>
      <c r="W20" s="314"/>
      <c r="X20" s="320"/>
      <c r="Y20" s="323"/>
      <c r="Z20" s="307"/>
      <c r="AA20" s="53"/>
      <c r="AB20" s="3"/>
    </row>
    <row r="21" spans="1:28" ht="16.5" customHeight="1">
      <c r="A21" s="1"/>
      <c r="B21" s="2"/>
      <c r="C21" s="50"/>
      <c r="D21" s="50"/>
      <c r="E21" s="50"/>
      <c r="F21" s="50"/>
      <c r="G21" s="88"/>
      <c r="H21" s="88"/>
      <c r="I21" s="265"/>
      <c r="J21" s="50"/>
      <c r="K21" s="89"/>
      <c r="L21" s="89"/>
      <c r="M21" s="89"/>
      <c r="N21" s="87"/>
      <c r="O21" s="50"/>
      <c r="P21" s="294"/>
      <c r="Q21" s="297"/>
      <c r="R21" s="304"/>
      <c r="S21" s="305"/>
      <c r="T21" s="306"/>
      <c r="U21" s="315"/>
      <c r="V21" s="316"/>
      <c r="W21" s="317"/>
      <c r="X21" s="321"/>
      <c r="Y21" s="324"/>
      <c r="Z21" s="308"/>
      <c r="AA21" s="89"/>
      <c r="AB21" s="3"/>
    </row>
    <row r="22" spans="1:28" ht="16.5" customHeight="1">
      <c r="A22" s="1"/>
      <c r="B22" s="2"/>
      <c r="C22" s="496">
        <v>1</v>
      </c>
      <c r="D22" s="496">
        <v>250241</v>
      </c>
      <c r="E22" s="496">
        <v>1634</v>
      </c>
      <c r="F22" s="497" t="s">
        <v>221</v>
      </c>
      <c r="G22" s="498">
        <v>132</v>
      </c>
      <c r="H22" s="499">
        <v>23</v>
      </c>
      <c r="I22" s="266">
        <f aca="true" t="shared" si="0" ref="I22:I41">IF(H22&gt;25,H22,25)*IF(G22=330,$G$15,$G$16)/100</f>
        <v>31.92725</v>
      </c>
      <c r="J22" s="504">
        <v>41124.24652777778</v>
      </c>
      <c r="K22" s="504">
        <v>41124.665972222225</v>
      </c>
      <c r="L22" s="13">
        <f aca="true" t="shared" si="1" ref="L22:L41">IF(F22="","",(K22-J22)*24)</f>
        <v>10.066666666651145</v>
      </c>
      <c r="M22" s="14">
        <f aca="true" t="shared" si="2" ref="M22:M41">IF(F22="","",ROUND((K22-J22)*24*60,0))</f>
        <v>604</v>
      </c>
      <c r="N22" s="505" t="s">
        <v>222</v>
      </c>
      <c r="O22" s="594" t="s">
        <v>224</v>
      </c>
      <c r="P22" s="581" t="str">
        <f aca="true" t="shared" si="3" ref="P22:P41">IF(N22="P",ROUND(M22/60,2)*I22*$L$16*0.01,"--")</f>
        <v>--</v>
      </c>
      <c r="Q22" s="582" t="str">
        <f aca="true" t="shared" si="4" ref="Q22:Q41">IF(N22="RP",ROUND(M22/60,2)*I22*$L$16*0.01*O22/100,"--")</f>
        <v>--</v>
      </c>
      <c r="R22" s="583">
        <f aca="true" t="shared" si="5" ref="R22:R41">IF(N22="F",I22*$L$16,"--")</f>
        <v>957.8175</v>
      </c>
      <c r="S22" s="584">
        <f aca="true" t="shared" si="6" ref="S22:S41">IF(AND(M22&gt;10,N22="F"),I22*$L$16*IF(M22&gt;180,3,ROUND(M22/60,2)),"--")</f>
        <v>2873.4525</v>
      </c>
      <c r="T22" s="585">
        <f aca="true" t="shared" si="7" ref="T22:T41">IF(AND(M22&gt;180,N22="F"),(ROUND(M22/60,2)-3)*I22*$L$16*0.1,"--")</f>
        <v>677.1769725</v>
      </c>
      <c r="U22" s="586" t="str">
        <f aca="true" t="shared" si="8" ref="U22:U41">IF(N22="R",I22*$L$16*O22/100,"--")</f>
        <v>--</v>
      </c>
      <c r="V22" s="587" t="str">
        <f aca="true" t="shared" si="9" ref="V22:V41">IF(AND(M22&gt;10,N22="R"),I22*$L$16*O22/100*IF(M22&gt;180,3,ROUND(M22/60,2)),"--")</f>
        <v>--</v>
      </c>
      <c r="W22" s="588" t="str">
        <f aca="true" t="shared" si="10" ref="W22:W41">IF(AND(M22&gt;180,N22="R"),(ROUND(M22/60,2)-3)*O22/100*I22*$L$16*0.1,"--")</f>
        <v>--</v>
      </c>
      <c r="X22" s="589" t="str">
        <f aca="true" t="shared" si="11" ref="X22:X41">IF(N22="RF",ROUND(M22/60,2)*I22*$L$16*0.1,"--")</f>
        <v>--</v>
      </c>
      <c r="Y22" s="590" t="str">
        <f aca="true" t="shared" si="12" ref="Y22:Y41">IF(N22="RR",ROUND(M22/60,2)*O22/100*I22*$L$16*0.1,"--")</f>
        <v>--</v>
      </c>
      <c r="Z22" s="591" t="s">
        <v>223</v>
      </c>
      <c r="AA22" s="54">
        <f aca="true" t="shared" si="13" ref="AA22:AA41">IF(F22="","",SUM(P22:Y22)*IF(Z22="SI",1,2))</f>
        <v>4508.4469725</v>
      </c>
      <c r="AB22" s="3"/>
    </row>
    <row r="23" spans="1:28" ht="16.5" customHeight="1">
      <c r="A23" s="1"/>
      <c r="B23" s="2"/>
      <c r="C23" s="496">
        <v>2</v>
      </c>
      <c r="D23" s="496">
        <v>250242</v>
      </c>
      <c r="E23" s="496">
        <v>1635</v>
      </c>
      <c r="F23" s="497" t="s">
        <v>225</v>
      </c>
      <c r="G23" s="498">
        <v>132</v>
      </c>
      <c r="H23" s="499">
        <v>162.60000610351562</v>
      </c>
      <c r="I23" s="266">
        <f t="shared" si="0"/>
        <v>207.6548417947388</v>
      </c>
      <c r="J23" s="504">
        <v>41124.24652777778</v>
      </c>
      <c r="K23" s="504">
        <v>41124.665972222225</v>
      </c>
      <c r="L23" s="13">
        <f t="shared" si="1"/>
        <v>10.066666666651145</v>
      </c>
      <c r="M23" s="14">
        <f t="shared" si="2"/>
        <v>604</v>
      </c>
      <c r="N23" s="505" t="s">
        <v>222</v>
      </c>
      <c r="O23" s="594" t="s">
        <v>224</v>
      </c>
      <c r="P23" s="581" t="str">
        <f t="shared" si="3"/>
        <v>--</v>
      </c>
      <c r="Q23" s="582" t="str">
        <f t="shared" si="4"/>
        <v>--</v>
      </c>
      <c r="R23" s="583">
        <f t="shared" si="5"/>
        <v>6229.645253842164</v>
      </c>
      <c r="S23" s="584">
        <f t="shared" si="6"/>
        <v>18688.93576152649</v>
      </c>
      <c r="T23" s="585">
        <f t="shared" si="7"/>
        <v>4404.35919446641</v>
      </c>
      <c r="U23" s="586" t="str">
        <f t="shared" si="8"/>
        <v>--</v>
      </c>
      <c r="V23" s="587" t="str">
        <f t="shared" si="9"/>
        <v>--</v>
      </c>
      <c r="W23" s="588" t="str">
        <f t="shared" si="10"/>
        <v>--</v>
      </c>
      <c r="X23" s="589" t="str">
        <f t="shared" si="11"/>
        <v>--</v>
      </c>
      <c r="Y23" s="590" t="str">
        <f t="shared" si="12"/>
        <v>--</v>
      </c>
      <c r="Z23" s="591" t="s">
        <v>223</v>
      </c>
      <c r="AA23" s="54">
        <f t="shared" si="13"/>
        <v>29322.940209835066</v>
      </c>
      <c r="AB23" s="3"/>
    </row>
    <row r="24" spans="1:28" ht="16.5" customHeight="1">
      <c r="A24" s="1"/>
      <c r="B24" s="2"/>
      <c r="C24" s="496">
        <v>3</v>
      </c>
      <c r="D24" s="496">
        <v>250950</v>
      </c>
      <c r="E24" s="496">
        <v>1636</v>
      </c>
      <c r="F24" s="497" t="s">
        <v>7</v>
      </c>
      <c r="G24" s="498">
        <v>132</v>
      </c>
      <c r="H24" s="499">
        <v>4.400000095367432</v>
      </c>
      <c r="I24" s="266">
        <f t="shared" si="0"/>
        <v>31.92725</v>
      </c>
      <c r="J24" s="504">
        <v>41145.44861111111</v>
      </c>
      <c r="K24" s="504">
        <v>41145.56875</v>
      </c>
      <c r="L24" s="13">
        <f t="shared" si="1"/>
        <v>2.8833333333022892</v>
      </c>
      <c r="M24" s="14">
        <f t="shared" si="2"/>
        <v>173</v>
      </c>
      <c r="N24" s="505" t="s">
        <v>226</v>
      </c>
      <c r="O24" s="594" t="s">
        <v>224</v>
      </c>
      <c r="P24" s="581">
        <f t="shared" si="3"/>
        <v>27.585144</v>
      </c>
      <c r="Q24" s="582" t="str">
        <f t="shared" si="4"/>
        <v>--</v>
      </c>
      <c r="R24" s="583" t="str">
        <f t="shared" si="5"/>
        <v>--</v>
      </c>
      <c r="S24" s="584" t="str">
        <f t="shared" si="6"/>
        <v>--</v>
      </c>
      <c r="T24" s="585" t="str">
        <f t="shared" si="7"/>
        <v>--</v>
      </c>
      <c r="U24" s="586" t="str">
        <f t="shared" si="8"/>
        <v>--</v>
      </c>
      <c r="V24" s="587" t="str">
        <f t="shared" si="9"/>
        <v>--</v>
      </c>
      <c r="W24" s="588" t="str">
        <f t="shared" si="10"/>
        <v>--</v>
      </c>
      <c r="X24" s="589" t="str">
        <f t="shared" si="11"/>
        <v>--</v>
      </c>
      <c r="Y24" s="590" t="str">
        <f t="shared" si="12"/>
        <v>--</v>
      </c>
      <c r="Z24" s="591" t="s">
        <v>223</v>
      </c>
      <c r="AA24" s="54">
        <f t="shared" si="13"/>
        <v>27.585144</v>
      </c>
      <c r="AB24" s="3"/>
    </row>
    <row r="25" spans="1:28" ht="16.5" customHeight="1">
      <c r="A25" s="1"/>
      <c r="B25" s="2"/>
      <c r="C25" s="496">
        <v>4</v>
      </c>
      <c r="D25" s="496">
        <v>251370</v>
      </c>
      <c r="E25" s="496">
        <v>1632</v>
      </c>
      <c r="F25" s="497" t="s">
        <v>4</v>
      </c>
      <c r="G25" s="498">
        <v>132</v>
      </c>
      <c r="H25" s="499">
        <v>31</v>
      </c>
      <c r="I25" s="266">
        <f t="shared" si="0"/>
        <v>39.58979</v>
      </c>
      <c r="J25" s="504">
        <v>41150.404861111114</v>
      </c>
      <c r="K25" s="504">
        <v>41150.75902777778</v>
      </c>
      <c r="L25" s="13">
        <f t="shared" si="1"/>
        <v>8.499999999941792</v>
      </c>
      <c r="M25" s="14">
        <f t="shared" si="2"/>
        <v>510</v>
      </c>
      <c r="N25" s="505" t="s">
        <v>226</v>
      </c>
      <c r="O25" s="594" t="s">
        <v>224</v>
      </c>
      <c r="P25" s="581">
        <f t="shared" si="3"/>
        <v>100.9539645</v>
      </c>
      <c r="Q25" s="582" t="str">
        <f t="shared" si="4"/>
        <v>--</v>
      </c>
      <c r="R25" s="583" t="str">
        <f t="shared" si="5"/>
        <v>--</v>
      </c>
      <c r="S25" s="584" t="str">
        <f t="shared" si="6"/>
        <v>--</v>
      </c>
      <c r="T25" s="585" t="str">
        <f t="shared" si="7"/>
        <v>--</v>
      </c>
      <c r="U25" s="586" t="str">
        <f t="shared" si="8"/>
        <v>--</v>
      </c>
      <c r="V25" s="587" t="str">
        <f t="shared" si="9"/>
        <v>--</v>
      </c>
      <c r="W25" s="588" t="str">
        <f t="shared" si="10"/>
        <v>--</v>
      </c>
      <c r="X25" s="589" t="str">
        <f t="shared" si="11"/>
        <v>--</v>
      </c>
      <c r="Y25" s="590" t="str">
        <f t="shared" si="12"/>
        <v>--</v>
      </c>
      <c r="Z25" s="591" t="s">
        <v>223</v>
      </c>
      <c r="AA25" s="54">
        <f t="shared" si="13"/>
        <v>100.9539645</v>
      </c>
      <c r="AB25" s="3"/>
    </row>
    <row r="26" spans="1:28" ht="16.5" customHeight="1">
      <c r="A26" s="1"/>
      <c r="B26" s="2"/>
      <c r="C26" s="496">
        <v>5</v>
      </c>
      <c r="D26" s="496">
        <v>251373</v>
      </c>
      <c r="E26" s="496">
        <v>1632</v>
      </c>
      <c r="F26" s="497" t="s">
        <v>4</v>
      </c>
      <c r="G26" s="498">
        <v>132</v>
      </c>
      <c r="H26" s="499">
        <v>31</v>
      </c>
      <c r="I26" s="266">
        <f t="shared" si="0"/>
        <v>39.58979</v>
      </c>
      <c r="J26" s="504">
        <v>41151.47361111111</v>
      </c>
      <c r="K26" s="504">
        <v>41151.495833333334</v>
      </c>
      <c r="L26" s="13">
        <f t="shared" si="1"/>
        <v>0.5333333333255723</v>
      </c>
      <c r="M26" s="14">
        <f t="shared" si="2"/>
        <v>32</v>
      </c>
      <c r="N26" s="505" t="s">
        <v>222</v>
      </c>
      <c r="O26" s="594" t="s">
        <v>224</v>
      </c>
      <c r="P26" s="581" t="str">
        <f t="shared" si="3"/>
        <v>--</v>
      </c>
      <c r="Q26" s="582" t="str">
        <f t="shared" si="4"/>
        <v>--</v>
      </c>
      <c r="R26" s="583">
        <f t="shared" si="5"/>
        <v>1187.6937</v>
      </c>
      <c r="S26" s="584">
        <f t="shared" si="6"/>
        <v>629.477661</v>
      </c>
      <c r="T26" s="585" t="str">
        <f t="shared" si="7"/>
        <v>--</v>
      </c>
      <c r="U26" s="586" t="str">
        <f t="shared" si="8"/>
        <v>--</v>
      </c>
      <c r="V26" s="587" t="str">
        <f t="shared" si="9"/>
        <v>--</v>
      </c>
      <c r="W26" s="588" t="str">
        <f t="shared" si="10"/>
        <v>--</v>
      </c>
      <c r="X26" s="589" t="str">
        <f t="shared" si="11"/>
        <v>--</v>
      </c>
      <c r="Y26" s="590" t="str">
        <f t="shared" si="12"/>
        <v>--</v>
      </c>
      <c r="Z26" s="591" t="s">
        <v>223</v>
      </c>
      <c r="AA26" s="54">
        <f t="shared" si="13"/>
        <v>1817.1713610000002</v>
      </c>
      <c r="AB26" s="3"/>
    </row>
    <row r="27" spans="1:28" ht="16.5" customHeight="1">
      <c r="A27" s="1"/>
      <c r="B27" s="2"/>
      <c r="C27" s="496"/>
      <c r="D27" s="496"/>
      <c r="E27" s="496"/>
      <c r="F27" s="497"/>
      <c r="G27" s="498"/>
      <c r="H27" s="499"/>
      <c r="I27" s="266">
        <f t="shared" si="0"/>
        <v>31.92725</v>
      </c>
      <c r="J27" s="504"/>
      <c r="K27" s="504"/>
      <c r="L27" s="13">
        <f t="shared" si="1"/>
      </c>
      <c r="M27" s="14">
        <f t="shared" si="2"/>
      </c>
      <c r="N27" s="505"/>
      <c r="O27" s="580">
        <f aca="true" t="shared" si="14" ref="O27:O41">IF(F27="","","--")</f>
      </c>
      <c r="P27" s="581" t="str">
        <f t="shared" si="3"/>
        <v>--</v>
      </c>
      <c r="Q27" s="582" t="str">
        <f t="shared" si="4"/>
        <v>--</v>
      </c>
      <c r="R27" s="583" t="str">
        <f t="shared" si="5"/>
        <v>--</v>
      </c>
      <c r="S27" s="584" t="str">
        <f t="shared" si="6"/>
        <v>--</v>
      </c>
      <c r="T27" s="585" t="str">
        <f t="shared" si="7"/>
        <v>--</v>
      </c>
      <c r="U27" s="586" t="str">
        <f t="shared" si="8"/>
        <v>--</v>
      </c>
      <c r="V27" s="587" t="str">
        <f t="shared" si="9"/>
        <v>--</v>
      </c>
      <c r="W27" s="588" t="str">
        <f t="shared" si="10"/>
        <v>--</v>
      </c>
      <c r="X27" s="589" t="str">
        <f t="shared" si="11"/>
        <v>--</v>
      </c>
      <c r="Y27" s="590" t="str">
        <f t="shared" si="12"/>
        <v>--</v>
      </c>
      <c r="Z27" s="591">
        <f aca="true" t="shared" si="15" ref="Z27:Z41">IF(F27="","","SI")</f>
      </c>
      <c r="AA27" s="54">
        <f t="shared" si="13"/>
      </c>
      <c r="AB27" s="3"/>
    </row>
    <row r="28" spans="1:28" ht="16.5" customHeight="1">
      <c r="A28" s="1"/>
      <c r="B28" s="2"/>
      <c r="C28" s="496"/>
      <c r="D28" s="496"/>
      <c r="E28" s="496"/>
      <c r="F28" s="497"/>
      <c r="G28" s="498"/>
      <c r="H28" s="499"/>
      <c r="I28" s="266">
        <f t="shared" si="0"/>
        <v>31.92725</v>
      </c>
      <c r="J28" s="504"/>
      <c r="K28" s="504"/>
      <c r="L28" s="13">
        <f t="shared" si="1"/>
      </c>
      <c r="M28" s="14">
        <f t="shared" si="2"/>
      </c>
      <c r="N28" s="505"/>
      <c r="O28" s="580">
        <f t="shared" si="14"/>
      </c>
      <c r="P28" s="581" t="str">
        <f t="shared" si="3"/>
        <v>--</v>
      </c>
      <c r="Q28" s="582" t="str">
        <f t="shared" si="4"/>
        <v>--</v>
      </c>
      <c r="R28" s="583" t="str">
        <f t="shared" si="5"/>
        <v>--</v>
      </c>
      <c r="S28" s="584" t="str">
        <f t="shared" si="6"/>
        <v>--</v>
      </c>
      <c r="T28" s="585" t="str">
        <f t="shared" si="7"/>
        <v>--</v>
      </c>
      <c r="U28" s="586" t="str">
        <f t="shared" si="8"/>
        <v>--</v>
      </c>
      <c r="V28" s="587" t="str">
        <f t="shared" si="9"/>
        <v>--</v>
      </c>
      <c r="W28" s="588" t="str">
        <f t="shared" si="10"/>
        <v>--</v>
      </c>
      <c r="X28" s="589" t="str">
        <f t="shared" si="11"/>
        <v>--</v>
      </c>
      <c r="Y28" s="590" t="str">
        <f t="shared" si="12"/>
        <v>--</v>
      </c>
      <c r="Z28" s="591">
        <f t="shared" si="15"/>
      </c>
      <c r="AA28" s="54">
        <f t="shared" si="13"/>
      </c>
      <c r="AB28" s="3"/>
    </row>
    <row r="29" spans="1:28" ht="16.5" customHeight="1">
      <c r="A29" s="1"/>
      <c r="B29" s="2"/>
      <c r="C29" s="496"/>
      <c r="D29" s="496"/>
      <c r="E29" s="496"/>
      <c r="F29" s="497"/>
      <c r="G29" s="498"/>
      <c r="H29" s="499"/>
      <c r="I29" s="266">
        <f t="shared" si="0"/>
        <v>31.92725</v>
      </c>
      <c r="J29" s="504"/>
      <c r="K29" s="504"/>
      <c r="L29" s="13">
        <f t="shared" si="1"/>
      </c>
      <c r="M29" s="14">
        <f t="shared" si="2"/>
      </c>
      <c r="N29" s="505"/>
      <c r="O29" s="580">
        <f t="shared" si="14"/>
      </c>
      <c r="P29" s="581" t="str">
        <f t="shared" si="3"/>
        <v>--</v>
      </c>
      <c r="Q29" s="582" t="str">
        <f t="shared" si="4"/>
        <v>--</v>
      </c>
      <c r="R29" s="583" t="str">
        <f t="shared" si="5"/>
        <v>--</v>
      </c>
      <c r="S29" s="584" t="str">
        <f t="shared" si="6"/>
        <v>--</v>
      </c>
      <c r="T29" s="585" t="str">
        <f t="shared" si="7"/>
        <v>--</v>
      </c>
      <c r="U29" s="586" t="str">
        <f t="shared" si="8"/>
        <v>--</v>
      </c>
      <c r="V29" s="587" t="str">
        <f t="shared" si="9"/>
        <v>--</v>
      </c>
      <c r="W29" s="588" t="str">
        <f t="shared" si="10"/>
        <v>--</v>
      </c>
      <c r="X29" s="589" t="str">
        <f t="shared" si="11"/>
        <v>--</v>
      </c>
      <c r="Y29" s="590" t="str">
        <f t="shared" si="12"/>
        <v>--</v>
      </c>
      <c r="Z29" s="591">
        <f t="shared" si="15"/>
      </c>
      <c r="AA29" s="54">
        <f t="shared" si="13"/>
      </c>
      <c r="AB29" s="3"/>
    </row>
    <row r="30" spans="1:28" ht="16.5" customHeight="1">
      <c r="A30" s="1"/>
      <c r="B30" s="2"/>
      <c r="C30" s="496"/>
      <c r="D30" s="496"/>
      <c r="E30" s="496"/>
      <c r="F30" s="497"/>
      <c r="G30" s="498"/>
      <c r="H30" s="499"/>
      <c r="I30" s="266">
        <f t="shared" si="0"/>
        <v>31.92725</v>
      </c>
      <c r="J30" s="504"/>
      <c r="K30" s="504"/>
      <c r="L30" s="13">
        <f t="shared" si="1"/>
      </c>
      <c r="M30" s="14">
        <f t="shared" si="2"/>
      </c>
      <c r="N30" s="505"/>
      <c r="O30" s="580">
        <f t="shared" si="14"/>
      </c>
      <c r="P30" s="581" t="str">
        <f t="shared" si="3"/>
        <v>--</v>
      </c>
      <c r="Q30" s="582" t="str">
        <f t="shared" si="4"/>
        <v>--</v>
      </c>
      <c r="R30" s="583" t="str">
        <f t="shared" si="5"/>
        <v>--</v>
      </c>
      <c r="S30" s="584" t="str">
        <f t="shared" si="6"/>
        <v>--</v>
      </c>
      <c r="T30" s="585" t="str">
        <f t="shared" si="7"/>
        <v>--</v>
      </c>
      <c r="U30" s="586" t="str">
        <f t="shared" si="8"/>
        <v>--</v>
      </c>
      <c r="V30" s="587" t="str">
        <f t="shared" si="9"/>
        <v>--</v>
      </c>
      <c r="W30" s="588" t="str">
        <f t="shared" si="10"/>
        <v>--</v>
      </c>
      <c r="X30" s="589" t="str">
        <f t="shared" si="11"/>
        <v>--</v>
      </c>
      <c r="Y30" s="590" t="str">
        <f t="shared" si="12"/>
        <v>--</v>
      </c>
      <c r="Z30" s="591">
        <f t="shared" si="15"/>
      </c>
      <c r="AA30" s="54">
        <f t="shared" si="13"/>
      </c>
      <c r="AB30" s="3"/>
    </row>
    <row r="31" spans="1:28" ht="16.5" customHeight="1">
      <c r="A31" s="1"/>
      <c r="B31" s="2"/>
      <c r="C31" s="496"/>
      <c r="D31" s="496"/>
      <c r="E31" s="496"/>
      <c r="F31" s="497"/>
      <c r="G31" s="498"/>
      <c r="H31" s="499"/>
      <c r="I31" s="266">
        <f t="shared" si="0"/>
        <v>31.92725</v>
      </c>
      <c r="J31" s="504"/>
      <c r="K31" s="504"/>
      <c r="L31" s="13">
        <f t="shared" si="1"/>
      </c>
      <c r="M31" s="14">
        <f t="shared" si="2"/>
      </c>
      <c r="N31" s="505"/>
      <c r="O31" s="580">
        <f t="shared" si="14"/>
      </c>
      <c r="P31" s="581" t="str">
        <f t="shared" si="3"/>
        <v>--</v>
      </c>
      <c r="Q31" s="582" t="str">
        <f t="shared" si="4"/>
        <v>--</v>
      </c>
      <c r="R31" s="583" t="str">
        <f t="shared" si="5"/>
        <v>--</v>
      </c>
      <c r="S31" s="584" t="str">
        <f t="shared" si="6"/>
        <v>--</v>
      </c>
      <c r="T31" s="585" t="str">
        <f t="shared" si="7"/>
        <v>--</v>
      </c>
      <c r="U31" s="586" t="str">
        <f t="shared" si="8"/>
        <v>--</v>
      </c>
      <c r="V31" s="587" t="str">
        <f t="shared" si="9"/>
        <v>--</v>
      </c>
      <c r="W31" s="588" t="str">
        <f t="shared" si="10"/>
        <v>--</v>
      </c>
      <c r="X31" s="589" t="str">
        <f t="shared" si="11"/>
        <v>--</v>
      </c>
      <c r="Y31" s="590" t="str">
        <f t="shared" si="12"/>
        <v>--</v>
      </c>
      <c r="Z31" s="591">
        <f t="shared" si="15"/>
      </c>
      <c r="AA31" s="54">
        <f t="shared" si="13"/>
      </c>
      <c r="AB31" s="3"/>
    </row>
    <row r="32" spans="1:28" ht="16.5" customHeight="1">
      <c r="A32" s="1"/>
      <c r="B32" s="2"/>
      <c r="C32" s="496"/>
      <c r="D32" s="496"/>
      <c r="E32" s="496"/>
      <c r="F32" s="497"/>
      <c r="G32" s="498"/>
      <c r="H32" s="499"/>
      <c r="I32" s="266">
        <f t="shared" si="0"/>
        <v>31.92725</v>
      </c>
      <c r="J32" s="504"/>
      <c r="K32" s="504"/>
      <c r="L32" s="13">
        <f t="shared" si="1"/>
      </c>
      <c r="M32" s="14">
        <f t="shared" si="2"/>
      </c>
      <c r="N32" s="505"/>
      <c r="O32" s="580">
        <f t="shared" si="14"/>
      </c>
      <c r="P32" s="581" t="str">
        <f t="shared" si="3"/>
        <v>--</v>
      </c>
      <c r="Q32" s="582" t="str">
        <f t="shared" si="4"/>
        <v>--</v>
      </c>
      <c r="R32" s="583" t="str">
        <f t="shared" si="5"/>
        <v>--</v>
      </c>
      <c r="S32" s="584" t="str">
        <f t="shared" si="6"/>
        <v>--</v>
      </c>
      <c r="T32" s="585" t="str">
        <f t="shared" si="7"/>
        <v>--</v>
      </c>
      <c r="U32" s="586" t="str">
        <f t="shared" si="8"/>
        <v>--</v>
      </c>
      <c r="V32" s="587" t="str">
        <f t="shared" si="9"/>
        <v>--</v>
      </c>
      <c r="W32" s="588" t="str">
        <f t="shared" si="10"/>
        <v>--</v>
      </c>
      <c r="X32" s="589" t="str">
        <f t="shared" si="11"/>
        <v>--</v>
      </c>
      <c r="Y32" s="590" t="str">
        <f t="shared" si="12"/>
        <v>--</v>
      </c>
      <c r="Z32" s="591">
        <f t="shared" si="15"/>
      </c>
      <c r="AA32" s="54">
        <f t="shared" si="13"/>
      </c>
      <c r="AB32" s="3"/>
    </row>
    <row r="33" spans="1:28" ht="16.5" customHeight="1">
      <c r="A33" s="1"/>
      <c r="B33" s="2"/>
      <c r="C33" s="496"/>
      <c r="D33" s="496"/>
      <c r="E33" s="496"/>
      <c r="F33" s="497"/>
      <c r="G33" s="498"/>
      <c r="H33" s="499"/>
      <c r="I33" s="266">
        <f t="shared" si="0"/>
        <v>31.92725</v>
      </c>
      <c r="J33" s="504"/>
      <c r="K33" s="504"/>
      <c r="L33" s="13">
        <f t="shared" si="1"/>
      </c>
      <c r="M33" s="14">
        <f t="shared" si="2"/>
      </c>
      <c r="N33" s="505"/>
      <c r="O33" s="580">
        <f t="shared" si="14"/>
      </c>
      <c r="P33" s="581" t="str">
        <f t="shared" si="3"/>
        <v>--</v>
      </c>
      <c r="Q33" s="582" t="str">
        <f t="shared" si="4"/>
        <v>--</v>
      </c>
      <c r="R33" s="583" t="str">
        <f t="shared" si="5"/>
        <v>--</v>
      </c>
      <c r="S33" s="584" t="str">
        <f t="shared" si="6"/>
        <v>--</v>
      </c>
      <c r="T33" s="585" t="str">
        <f t="shared" si="7"/>
        <v>--</v>
      </c>
      <c r="U33" s="586" t="str">
        <f t="shared" si="8"/>
        <v>--</v>
      </c>
      <c r="V33" s="587" t="str">
        <f t="shared" si="9"/>
        <v>--</v>
      </c>
      <c r="W33" s="588" t="str">
        <f t="shared" si="10"/>
        <v>--</v>
      </c>
      <c r="X33" s="589" t="str">
        <f t="shared" si="11"/>
        <v>--</v>
      </c>
      <c r="Y33" s="590" t="str">
        <f t="shared" si="12"/>
        <v>--</v>
      </c>
      <c r="Z33" s="591">
        <f t="shared" si="15"/>
      </c>
      <c r="AA33" s="54">
        <f t="shared" si="13"/>
      </c>
      <c r="AB33" s="3"/>
    </row>
    <row r="34" spans="1:28" ht="16.5" customHeight="1">
      <c r="A34" s="1"/>
      <c r="B34" s="2"/>
      <c r="C34" s="496"/>
      <c r="D34" s="496"/>
      <c r="E34" s="496"/>
      <c r="F34" s="497"/>
      <c r="G34" s="498"/>
      <c r="H34" s="499"/>
      <c r="I34" s="266">
        <f t="shared" si="0"/>
        <v>31.92725</v>
      </c>
      <c r="J34" s="504"/>
      <c r="K34" s="504"/>
      <c r="L34" s="13">
        <f t="shared" si="1"/>
      </c>
      <c r="M34" s="14">
        <f t="shared" si="2"/>
      </c>
      <c r="N34" s="505"/>
      <c r="O34" s="580">
        <f t="shared" si="14"/>
      </c>
      <c r="P34" s="581" t="str">
        <f t="shared" si="3"/>
        <v>--</v>
      </c>
      <c r="Q34" s="582" t="str">
        <f t="shared" si="4"/>
        <v>--</v>
      </c>
      <c r="R34" s="583" t="str">
        <f t="shared" si="5"/>
        <v>--</v>
      </c>
      <c r="S34" s="584" t="str">
        <f t="shared" si="6"/>
        <v>--</v>
      </c>
      <c r="T34" s="585" t="str">
        <f t="shared" si="7"/>
        <v>--</v>
      </c>
      <c r="U34" s="586" t="str">
        <f t="shared" si="8"/>
        <v>--</v>
      </c>
      <c r="V34" s="587" t="str">
        <f t="shared" si="9"/>
        <v>--</v>
      </c>
      <c r="W34" s="588" t="str">
        <f t="shared" si="10"/>
        <v>--</v>
      </c>
      <c r="X34" s="589" t="str">
        <f t="shared" si="11"/>
        <v>--</v>
      </c>
      <c r="Y34" s="590" t="str">
        <f t="shared" si="12"/>
        <v>--</v>
      </c>
      <c r="Z34" s="591">
        <f t="shared" si="15"/>
      </c>
      <c r="AA34" s="54">
        <f t="shared" si="13"/>
      </c>
      <c r="AB34" s="3"/>
    </row>
    <row r="35" spans="1:28" ht="16.5" customHeight="1">
      <c r="A35" s="1"/>
      <c r="B35" s="2"/>
      <c r="C35" s="496"/>
      <c r="D35" s="496"/>
      <c r="E35" s="496"/>
      <c r="F35" s="497"/>
      <c r="G35" s="498"/>
      <c r="H35" s="499"/>
      <c r="I35" s="266">
        <f t="shared" si="0"/>
        <v>31.92725</v>
      </c>
      <c r="J35" s="504"/>
      <c r="K35" s="504"/>
      <c r="L35" s="13">
        <f t="shared" si="1"/>
      </c>
      <c r="M35" s="14">
        <f t="shared" si="2"/>
      </c>
      <c r="N35" s="505"/>
      <c r="O35" s="580">
        <f t="shared" si="14"/>
      </c>
      <c r="P35" s="581" t="str">
        <f t="shared" si="3"/>
        <v>--</v>
      </c>
      <c r="Q35" s="582" t="str">
        <f t="shared" si="4"/>
        <v>--</v>
      </c>
      <c r="R35" s="583" t="str">
        <f t="shared" si="5"/>
        <v>--</v>
      </c>
      <c r="S35" s="584" t="str">
        <f t="shared" si="6"/>
        <v>--</v>
      </c>
      <c r="T35" s="585" t="str">
        <f t="shared" si="7"/>
        <v>--</v>
      </c>
      <c r="U35" s="586" t="str">
        <f t="shared" si="8"/>
        <v>--</v>
      </c>
      <c r="V35" s="587" t="str">
        <f t="shared" si="9"/>
        <v>--</v>
      </c>
      <c r="W35" s="588" t="str">
        <f t="shared" si="10"/>
        <v>--</v>
      </c>
      <c r="X35" s="589" t="str">
        <f t="shared" si="11"/>
        <v>--</v>
      </c>
      <c r="Y35" s="590" t="str">
        <f t="shared" si="12"/>
        <v>--</v>
      </c>
      <c r="Z35" s="591">
        <f t="shared" si="15"/>
      </c>
      <c r="AA35" s="54">
        <f t="shared" si="13"/>
      </c>
      <c r="AB35" s="3"/>
    </row>
    <row r="36" spans="1:28" ht="16.5" customHeight="1">
      <c r="A36" s="1"/>
      <c r="B36" s="2"/>
      <c r="C36" s="496"/>
      <c r="D36" s="496"/>
      <c r="E36" s="496"/>
      <c r="F36" s="497"/>
      <c r="G36" s="498"/>
      <c r="H36" s="499"/>
      <c r="I36" s="266">
        <f t="shared" si="0"/>
        <v>31.92725</v>
      </c>
      <c r="J36" s="504"/>
      <c r="K36" s="504"/>
      <c r="L36" s="13">
        <f t="shared" si="1"/>
      </c>
      <c r="M36" s="14">
        <f t="shared" si="2"/>
      </c>
      <c r="N36" s="505"/>
      <c r="O36" s="580">
        <f t="shared" si="14"/>
      </c>
      <c r="P36" s="581" t="str">
        <f t="shared" si="3"/>
        <v>--</v>
      </c>
      <c r="Q36" s="582" t="str">
        <f t="shared" si="4"/>
        <v>--</v>
      </c>
      <c r="R36" s="583" t="str">
        <f t="shared" si="5"/>
        <v>--</v>
      </c>
      <c r="S36" s="584" t="str">
        <f t="shared" si="6"/>
        <v>--</v>
      </c>
      <c r="T36" s="585" t="str">
        <f t="shared" si="7"/>
        <v>--</v>
      </c>
      <c r="U36" s="586" t="str">
        <f t="shared" si="8"/>
        <v>--</v>
      </c>
      <c r="V36" s="587" t="str">
        <f t="shared" si="9"/>
        <v>--</v>
      </c>
      <c r="W36" s="588" t="str">
        <f t="shared" si="10"/>
        <v>--</v>
      </c>
      <c r="X36" s="589" t="str">
        <f t="shared" si="11"/>
        <v>--</v>
      </c>
      <c r="Y36" s="590" t="str">
        <f t="shared" si="12"/>
        <v>--</v>
      </c>
      <c r="Z36" s="591">
        <f t="shared" si="15"/>
      </c>
      <c r="AA36" s="54">
        <f t="shared" si="13"/>
      </c>
      <c r="AB36" s="3"/>
    </row>
    <row r="37" spans="1:28" ht="16.5" customHeight="1">
      <c r="A37" s="1"/>
      <c r="B37" s="2"/>
      <c r="C37" s="496"/>
      <c r="D37" s="496"/>
      <c r="E37" s="496"/>
      <c r="F37" s="497"/>
      <c r="G37" s="498"/>
      <c r="H37" s="499"/>
      <c r="I37" s="266">
        <f t="shared" si="0"/>
        <v>31.92725</v>
      </c>
      <c r="J37" s="504"/>
      <c r="K37" s="504"/>
      <c r="L37" s="13">
        <f t="shared" si="1"/>
      </c>
      <c r="M37" s="14">
        <f t="shared" si="2"/>
      </c>
      <c r="N37" s="505"/>
      <c r="O37" s="580">
        <f t="shared" si="14"/>
      </c>
      <c r="P37" s="581" t="str">
        <f t="shared" si="3"/>
        <v>--</v>
      </c>
      <c r="Q37" s="582" t="str">
        <f t="shared" si="4"/>
        <v>--</v>
      </c>
      <c r="R37" s="583" t="str">
        <f t="shared" si="5"/>
        <v>--</v>
      </c>
      <c r="S37" s="584" t="str">
        <f t="shared" si="6"/>
        <v>--</v>
      </c>
      <c r="T37" s="585" t="str">
        <f t="shared" si="7"/>
        <v>--</v>
      </c>
      <c r="U37" s="586" t="str">
        <f t="shared" si="8"/>
        <v>--</v>
      </c>
      <c r="V37" s="587" t="str">
        <f t="shared" si="9"/>
        <v>--</v>
      </c>
      <c r="W37" s="588" t="str">
        <f t="shared" si="10"/>
        <v>--</v>
      </c>
      <c r="X37" s="589" t="str">
        <f t="shared" si="11"/>
        <v>--</v>
      </c>
      <c r="Y37" s="590" t="str">
        <f t="shared" si="12"/>
        <v>--</v>
      </c>
      <c r="Z37" s="591">
        <f t="shared" si="15"/>
      </c>
      <c r="AA37" s="54">
        <f t="shared" si="13"/>
      </c>
      <c r="AB37" s="3"/>
    </row>
    <row r="38" spans="2:28" ht="16.5" customHeight="1">
      <c r="B38" s="55"/>
      <c r="C38" s="496"/>
      <c r="D38" s="496"/>
      <c r="E38" s="496"/>
      <c r="F38" s="497"/>
      <c r="G38" s="498"/>
      <c r="H38" s="499"/>
      <c r="I38" s="266">
        <f t="shared" si="0"/>
        <v>31.92725</v>
      </c>
      <c r="J38" s="504"/>
      <c r="K38" s="504"/>
      <c r="L38" s="13">
        <f t="shared" si="1"/>
      </c>
      <c r="M38" s="14">
        <f t="shared" si="2"/>
      </c>
      <c r="N38" s="505"/>
      <c r="O38" s="580">
        <f t="shared" si="14"/>
      </c>
      <c r="P38" s="581" t="str">
        <f t="shared" si="3"/>
        <v>--</v>
      </c>
      <c r="Q38" s="582" t="str">
        <f t="shared" si="4"/>
        <v>--</v>
      </c>
      <c r="R38" s="583" t="str">
        <f t="shared" si="5"/>
        <v>--</v>
      </c>
      <c r="S38" s="584" t="str">
        <f t="shared" si="6"/>
        <v>--</v>
      </c>
      <c r="T38" s="585" t="str">
        <f t="shared" si="7"/>
        <v>--</v>
      </c>
      <c r="U38" s="586" t="str">
        <f t="shared" si="8"/>
        <v>--</v>
      </c>
      <c r="V38" s="587" t="str">
        <f t="shared" si="9"/>
        <v>--</v>
      </c>
      <c r="W38" s="588" t="str">
        <f t="shared" si="10"/>
        <v>--</v>
      </c>
      <c r="X38" s="589" t="str">
        <f t="shared" si="11"/>
        <v>--</v>
      </c>
      <c r="Y38" s="590" t="str">
        <f t="shared" si="12"/>
        <v>--</v>
      </c>
      <c r="Z38" s="591">
        <f t="shared" si="15"/>
      </c>
      <c r="AA38" s="54">
        <f t="shared" si="13"/>
      </c>
      <c r="AB38" s="3"/>
    </row>
    <row r="39" spans="2:28" ht="16.5" customHeight="1">
      <c r="B39" s="55"/>
      <c r="C39" s="496"/>
      <c r="D39" s="496"/>
      <c r="E39" s="496"/>
      <c r="F39" s="497"/>
      <c r="G39" s="498"/>
      <c r="H39" s="499"/>
      <c r="I39" s="266">
        <f t="shared" si="0"/>
        <v>31.92725</v>
      </c>
      <c r="J39" s="504"/>
      <c r="K39" s="504"/>
      <c r="L39" s="13">
        <f t="shared" si="1"/>
      </c>
      <c r="M39" s="14">
        <f t="shared" si="2"/>
      </c>
      <c r="N39" s="505"/>
      <c r="O39" s="580">
        <f t="shared" si="14"/>
      </c>
      <c r="P39" s="581" t="str">
        <f t="shared" si="3"/>
        <v>--</v>
      </c>
      <c r="Q39" s="582" t="str">
        <f t="shared" si="4"/>
        <v>--</v>
      </c>
      <c r="R39" s="583" t="str">
        <f t="shared" si="5"/>
        <v>--</v>
      </c>
      <c r="S39" s="584" t="str">
        <f t="shared" si="6"/>
        <v>--</v>
      </c>
      <c r="T39" s="585" t="str">
        <f t="shared" si="7"/>
        <v>--</v>
      </c>
      <c r="U39" s="586" t="str">
        <f t="shared" si="8"/>
        <v>--</v>
      </c>
      <c r="V39" s="587" t="str">
        <f t="shared" si="9"/>
        <v>--</v>
      </c>
      <c r="W39" s="588" t="str">
        <f t="shared" si="10"/>
        <v>--</v>
      </c>
      <c r="X39" s="589" t="str">
        <f t="shared" si="11"/>
        <v>--</v>
      </c>
      <c r="Y39" s="590" t="str">
        <f t="shared" si="12"/>
        <v>--</v>
      </c>
      <c r="Z39" s="591">
        <f t="shared" si="15"/>
      </c>
      <c r="AA39" s="54">
        <f t="shared" si="13"/>
      </c>
      <c r="AB39" s="3"/>
    </row>
    <row r="40" spans="2:28" ht="16.5" customHeight="1">
      <c r="B40" s="55"/>
      <c r="C40" s="496"/>
      <c r="D40" s="496"/>
      <c r="E40" s="496"/>
      <c r="F40" s="497"/>
      <c r="G40" s="498"/>
      <c r="H40" s="499"/>
      <c r="I40" s="266">
        <f t="shared" si="0"/>
        <v>31.92725</v>
      </c>
      <c r="J40" s="504"/>
      <c r="K40" s="504"/>
      <c r="L40" s="13">
        <f t="shared" si="1"/>
      </c>
      <c r="M40" s="14">
        <f t="shared" si="2"/>
      </c>
      <c r="N40" s="505"/>
      <c r="O40" s="580">
        <f t="shared" si="14"/>
      </c>
      <c r="P40" s="581" t="str">
        <f t="shared" si="3"/>
        <v>--</v>
      </c>
      <c r="Q40" s="582" t="str">
        <f t="shared" si="4"/>
        <v>--</v>
      </c>
      <c r="R40" s="583" t="str">
        <f t="shared" si="5"/>
        <v>--</v>
      </c>
      <c r="S40" s="584" t="str">
        <f t="shared" si="6"/>
        <v>--</v>
      </c>
      <c r="T40" s="585" t="str">
        <f t="shared" si="7"/>
        <v>--</v>
      </c>
      <c r="U40" s="586" t="str">
        <f t="shared" si="8"/>
        <v>--</v>
      </c>
      <c r="V40" s="587" t="str">
        <f t="shared" si="9"/>
        <v>--</v>
      </c>
      <c r="W40" s="588" t="str">
        <f t="shared" si="10"/>
        <v>--</v>
      </c>
      <c r="X40" s="589" t="str">
        <f t="shared" si="11"/>
        <v>--</v>
      </c>
      <c r="Y40" s="590" t="str">
        <f t="shared" si="12"/>
        <v>--</v>
      </c>
      <c r="Z40" s="591">
        <f t="shared" si="15"/>
      </c>
      <c r="AA40" s="54">
        <f t="shared" si="13"/>
      </c>
      <c r="AB40" s="3"/>
    </row>
    <row r="41" spans="2:28" ht="16.5" customHeight="1">
      <c r="B41" s="55"/>
      <c r="C41" s="496"/>
      <c r="D41" s="496"/>
      <c r="E41" s="496"/>
      <c r="F41" s="497"/>
      <c r="G41" s="498"/>
      <c r="H41" s="499"/>
      <c r="I41" s="266">
        <f t="shared" si="0"/>
        <v>31.92725</v>
      </c>
      <c r="J41" s="504"/>
      <c r="K41" s="504"/>
      <c r="L41" s="13">
        <f t="shared" si="1"/>
      </c>
      <c r="M41" s="14">
        <f t="shared" si="2"/>
      </c>
      <c r="N41" s="505"/>
      <c r="O41" s="580">
        <f t="shared" si="14"/>
      </c>
      <c r="P41" s="581" t="str">
        <f t="shared" si="3"/>
        <v>--</v>
      </c>
      <c r="Q41" s="582" t="str">
        <f t="shared" si="4"/>
        <v>--</v>
      </c>
      <c r="R41" s="583" t="str">
        <f t="shared" si="5"/>
        <v>--</v>
      </c>
      <c r="S41" s="584" t="str">
        <f t="shared" si="6"/>
        <v>--</v>
      </c>
      <c r="T41" s="585" t="str">
        <f t="shared" si="7"/>
        <v>--</v>
      </c>
      <c r="U41" s="586" t="str">
        <f t="shared" si="8"/>
        <v>--</v>
      </c>
      <c r="V41" s="587" t="str">
        <f t="shared" si="9"/>
        <v>--</v>
      </c>
      <c r="W41" s="588" t="str">
        <f t="shared" si="10"/>
        <v>--</v>
      </c>
      <c r="X41" s="589" t="str">
        <f t="shared" si="11"/>
        <v>--</v>
      </c>
      <c r="Y41" s="590" t="str">
        <f t="shared" si="12"/>
        <v>--</v>
      </c>
      <c r="Z41" s="591">
        <f t="shared" si="15"/>
      </c>
      <c r="AA41" s="54">
        <f t="shared" si="13"/>
      </c>
      <c r="AB41" s="3"/>
    </row>
    <row r="42" spans="1:28" ht="16.5" customHeight="1" thickBot="1">
      <c r="A42" s="1"/>
      <c r="B42" s="2"/>
      <c r="C42" s="500"/>
      <c r="D42" s="500"/>
      <c r="E42" s="500"/>
      <c r="F42" s="501"/>
      <c r="G42" s="502"/>
      <c r="H42" s="503"/>
      <c r="I42" s="267"/>
      <c r="J42" s="503"/>
      <c r="K42" s="503"/>
      <c r="L42" s="15"/>
      <c r="M42" s="15"/>
      <c r="N42" s="503"/>
      <c r="O42" s="506"/>
      <c r="P42" s="507"/>
      <c r="Q42" s="508"/>
      <c r="R42" s="509"/>
      <c r="S42" s="510"/>
      <c r="T42" s="511"/>
      <c r="U42" s="512"/>
      <c r="V42" s="513"/>
      <c r="W42" s="514"/>
      <c r="X42" s="515"/>
      <c r="Y42" s="516"/>
      <c r="Z42" s="517"/>
      <c r="AA42" s="56"/>
      <c r="AB42" s="3"/>
    </row>
    <row r="43" spans="1:28" ht="16.5" customHeight="1" thickBot="1" thickTop="1">
      <c r="A43" s="1"/>
      <c r="B43" s="2"/>
      <c r="C43" s="609" t="s">
        <v>247</v>
      </c>
      <c r="D43" s="608" t="s">
        <v>246</v>
      </c>
      <c r="E43" s="576"/>
      <c r="F43" s="239"/>
      <c r="G43" s="16"/>
      <c r="H43" s="17"/>
      <c r="I43" s="57"/>
      <c r="J43" s="57"/>
      <c r="K43" s="57"/>
      <c r="L43" s="57"/>
      <c r="M43" s="57"/>
      <c r="N43" s="57"/>
      <c r="O43" s="58"/>
      <c r="P43" s="325">
        <f aca="true" t="shared" si="16" ref="P43:Y43">ROUND(SUM(P20:P42),2)</f>
        <v>128.54</v>
      </c>
      <c r="Q43" s="326">
        <f t="shared" si="16"/>
        <v>0</v>
      </c>
      <c r="R43" s="327">
        <f t="shared" si="16"/>
        <v>8375.16</v>
      </c>
      <c r="S43" s="327">
        <f t="shared" si="16"/>
        <v>22191.87</v>
      </c>
      <c r="T43" s="328">
        <f t="shared" si="16"/>
        <v>5081.54</v>
      </c>
      <c r="U43" s="329">
        <f t="shared" si="16"/>
        <v>0</v>
      </c>
      <c r="V43" s="329">
        <f t="shared" si="16"/>
        <v>0</v>
      </c>
      <c r="W43" s="330">
        <f t="shared" si="16"/>
        <v>0</v>
      </c>
      <c r="X43" s="331">
        <f t="shared" si="16"/>
        <v>0</v>
      </c>
      <c r="Y43" s="332">
        <f t="shared" si="16"/>
        <v>0</v>
      </c>
      <c r="Z43" s="59"/>
      <c r="AA43" s="579">
        <f>ROUND(SUM(AA20:AA42),2)</f>
        <v>35777.1</v>
      </c>
      <c r="AB43" s="60"/>
    </row>
    <row r="44" spans="1:28" s="253" customFormat="1" ht="9.75" thickTop="1">
      <c r="A44" s="242"/>
      <c r="B44" s="243"/>
      <c r="C44" s="240"/>
      <c r="D44" s="240"/>
      <c r="E44" s="240"/>
      <c r="F44" s="241"/>
      <c r="G44" s="244"/>
      <c r="H44" s="245"/>
      <c r="I44" s="246"/>
      <c r="J44" s="246"/>
      <c r="K44" s="246"/>
      <c r="L44" s="246"/>
      <c r="M44" s="246"/>
      <c r="N44" s="246"/>
      <c r="O44" s="247"/>
      <c r="P44" s="248"/>
      <c r="Q44" s="248"/>
      <c r="R44" s="249"/>
      <c r="S44" s="249"/>
      <c r="T44" s="250"/>
      <c r="U44" s="250"/>
      <c r="V44" s="250"/>
      <c r="W44" s="250"/>
      <c r="X44" s="250"/>
      <c r="Y44" s="250"/>
      <c r="Z44" s="250"/>
      <c r="AA44" s="251"/>
      <c r="AB44" s="252"/>
    </row>
    <row r="45" spans="1:28" s="10" customFormat="1" ht="16.5" customHeight="1" thickBot="1">
      <c r="A45" s="8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26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zoomScalePageLayoutView="0" workbookViewId="0" topLeftCell="B1">
      <selection activeCell="F50" sqref="F50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6" width="25.7109375" style="0" customWidth="1"/>
    <col min="7" max="7" width="24.0039062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8" customFormat="1" ht="26.25"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493"/>
    </row>
    <row r="2" spans="2:30" s="108" customFormat="1" ht="26.25">
      <c r="B2" s="109" t="str">
        <f>+'TOT-0812'!B2</f>
        <v>ANEXO II al Memorándum  D.T.E.E.  N°             / 2013</v>
      </c>
      <c r="C2" s="110"/>
      <c r="D2" s="110"/>
      <c r="E2" s="170"/>
      <c r="F2" s="170"/>
      <c r="G2" s="109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5:30" s="10" customFormat="1" ht="12.75"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0" s="111" customFormat="1" ht="11.25">
      <c r="A4" s="578" t="s">
        <v>16</v>
      </c>
      <c r="C4" s="577"/>
      <c r="D4" s="577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spans="1:30" s="111" customFormat="1" ht="11.25">
      <c r="A5" s="578" t="s">
        <v>202</v>
      </c>
      <c r="C5" s="577"/>
      <c r="D5" s="577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</row>
    <row r="6" spans="1:30" s="10" customFormat="1" ht="13.5" thickBo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s="10" customFormat="1" ht="13.5" thickTop="1">
      <c r="A7" s="168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3"/>
    </row>
    <row r="8" spans="1:30" s="113" customFormat="1" ht="20.25">
      <c r="A8" s="187"/>
      <c r="B8" s="188"/>
      <c r="C8" s="176"/>
      <c r="D8" s="176"/>
      <c r="E8" s="176"/>
      <c r="F8" s="21" t="s">
        <v>31</v>
      </c>
      <c r="H8" s="176"/>
      <c r="I8" s="187"/>
      <c r="J8" s="187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89"/>
    </row>
    <row r="9" spans="1:30" s="113" customFormat="1" ht="7.5" customHeight="1">
      <c r="A9" s="187"/>
      <c r="B9" s="188"/>
      <c r="C9" s="176"/>
      <c r="D9" s="176"/>
      <c r="E9" s="176"/>
      <c r="F9" s="21"/>
      <c r="H9" s="176"/>
      <c r="I9" s="187"/>
      <c r="J9" s="187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89"/>
    </row>
    <row r="10" spans="1:30" s="10" customFormat="1" ht="7.5" customHeight="1">
      <c r="A10" s="168"/>
      <c r="B10" s="174"/>
      <c r="C10" s="30"/>
      <c r="D10" s="30"/>
      <c r="E10" s="30"/>
      <c r="F10" s="30"/>
      <c r="G10" s="30"/>
      <c r="H10" s="30"/>
      <c r="I10" s="168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7"/>
    </row>
    <row r="11" spans="1:30" s="113" customFormat="1" ht="20.25">
      <c r="A11" s="187"/>
      <c r="B11" s="188"/>
      <c r="C11" s="176"/>
      <c r="D11" s="176"/>
      <c r="E11" s="176"/>
      <c r="F11" s="214" t="s">
        <v>255</v>
      </c>
      <c r="G11" s="176"/>
      <c r="H11" s="176"/>
      <c r="I11" s="187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89"/>
    </row>
    <row r="12" spans="1:30" s="113" customFormat="1" ht="8.25" customHeight="1">
      <c r="A12" s="187"/>
      <c r="B12" s="188"/>
      <c r="C12" s="176"/>
      <c r="D12" s="176"/>
      <c r="E12" s="176"/>
      <c r="F12" s="214"/>
      <c r="G12" s="176"/>
      <c r="H12" s="176"/>
      <c r="I12" s="187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89"/>
    </row>
    <row r="13" spans="1:30" s="10" customFormat="1" ht="8.25" customHeight="1">
      <c r="A13" s="168"/>
      <c r="B13" s="174"/>
      <c r="C13" s="30"/>
      <c r="D13" s="30"/>
      <c r="E13" s="30"/>
      <c r="F13" s="122"/>
      <c r="G13" s="178"/>
      <c r="H13" s="178"/>
      <c r="I13" s="179"/>
      <c r="J13" s="17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7"/>
    </row>
    <row r="14" spans="1:30" s="120" customFormat="1" ht="19.5">
      <c r="A14" s="190"/>
      <c r="B14" s="86" t="str">
        <f>+'TOT-0812'!B14</f>
        <v>Desde el 01 al 31 de agosto de 2012</v>
      </c>
      <c r="C14" s="191"/>
      <c r="D14" s="191"/>
      <c r="E14" s="191"/>
      <c r="F14" s="191"/>
      <c r="G14" s="191"/>
      <c r="H14" s="191"/>
      <c r="I14" s="192"/>
      <c r="J14" s="191"/>
      <c r="K14" s="117"/>
      <c r="L14" s="117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3"/>
    </row>
    <row r="15" spans="1:30" s="94" customFormat="1" ht="8.25" customHeight="1">
      <c r="A15" s="90"/>
      <c r="B15" s="91"/>
      <c r="C15" s="90"/>
      <c r="D15" s="90"/>
      <c r="E15" s="90"/>
      <c r="F15" s="552"/>
      <c r="G15" s="553"/>
      <c r="H15" s="554"/>
      <c r="I15" s="90"/>
      <c r="K15" s="96"/>
      <c r="L15" s="97"/>
      <c r="M15" s="234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3"/>
    </row>
    <row r="16" spans="1:30" s="10" customFormat="1" ht="8.25" customHeight="1" thickBot="1">
      <c r="A16" s="168"/>
      <c r="B16" s="174"/>
      <c r="C16" s="30"/>
      <c r="D16" s="30"/>
      <c r="E16" s="30"/>
      <c r="F16" s="30"/>
      <c r="G16" s="30"/>
      <c r="H16" s="30"/>
      <c r="I16" s="73"/>
      <c r="J16" s="30"/>
      <c r="K16" s="184"/>
      <c r="L16" s="18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7"/>
    </row>
    <row r="17" spans="1:30" s="10" customFormat="1" ht="16.5" customHeight="1" thickBot="1" thickTop="1">
      <c r="A17" s="168"/>
      <c r="B17" s="174"/>
      <c r="C17" s="30"/>
      <c r="D17" s="30"/>
      <c r="E17" s="30"/>
      <c r="F17" s="194" t="s">
        <v>53</v>
      </c>
      <c r="G17" s="195"/>
      <c r="H17" s="196"/>
      <c r="I17" s="197">
        <v>0.445</v>
      </c>
      <c r="J17" s="16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7"/>
    </row>
    <row r="18" spans="1:30" s="10" customFormat="1" ht="16.5" customHeight="1" thickBot="1" thickTop="1">
      <c r="A18" s="168"/>
      <c r="B18" s="174"/>
      <c r="C18" s="30"/>
      <c r="D18" s="30"/>
      <c r="E18" s="30"/>
      <c r="F18" s="198" t="s">
        <v>54</v>
      </c>
      <c r="G18" s="199"/>
      <c r="H18" s="199"/>
      <c r="I18" s="200">
        <f>30*'TOT-0812'!B13</f>
        <v>30</v>
      </c>
      <c r="J18" s="30"/>
      <c r="K18" s="234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80"/>
      <c r="X18" s="180"/>
      <c r="Y18" s="180"/>
      <c r="Z18" s="180"/>
      <c r="AA18" s="180"/>
      <c r="AB18" s="180"/>
      <c r="AC18" s="180"/>
      <c r="AD18" s="37"/>
    </row>
    <row r="19" spans="1:30" s="94" customFormat="1" ht="8.25" customHeight="1" thickTop="1">
      <c r="A19" s="90"/>
      <c r="B19" s="91"/>
      <c r="C19" s="90"/>
      <c r="D19" s="90"/>
      <c r="E19" s="90"/>
      <c r="F19" s="552"/>
      <c r="G19" s="553"/>
      <c r="H19" s="554"/>
      <c r="I19" s="90"/>
      <c r="K19" s="96"/>
      <c r="L19" s="97"/>
      <c r="M19" s="234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3"/>
    </row>
    <row r="20" spans="1:30" s="600" customFormat="1" ht="15" customHeight="1" thickBot="1">
      <c r="A20" s="601"/>
      <c r="B20" s="602"/>
      <c r="C20" s="603">
        <v>3</v>
      </c>
      <c r="D20" s="603">
        <v>4</v>
      </c>
      <c r="E20" s="603">
        <v>5</v>
      </c>
      <c r="F20" s="603">
        <v>6</v>
      </c>
      <c r="G20" s="603">
        <v>7</v>
      </c>
      <c r="H20" s="603">
        <v>8</v>
      </c>
      <c r="I20" s="603">
        <v>9</v>
      </c>
      <c r="J20" s="603">
        <v>10</v>
      </c>
      <c r="K20" s="603">
        <v>11</v>
      </c>
      <c r="L20" s="603">
        <v>12</v>
      </c>
      <c r="M20" s="603">
        <v>13</v>
      </c>
      <c r="N20" s="603">
        <v>14</v>
      </c>
      <c r="O20" s="603">
        <v>15</v>
      </c>
      <c r="P20" s="603">
        <v>16</v>
      </c>
      <c r="Q20" s="603">
        <v>17</v>
      </c>
      <c r="R20" s="603">
        <v>18</v>
      </c>
      <c r="S20" s="603">
        <v>19</v>
      </c>
      <c r="T20" s="603">
        <v>20</v>
      </c>
      <c r="U20" s="603">
        <v>21</v>
      </c>
      <c r="V20" s="603">
        <v>22</v>
      </c>
      <c r="W20" s="603">
        <v>23</v>
      </c>
      <c r="X20" s="603">
        <v>24</v>
      </c>
      <c r="Y20" s="603">
        <v>25</v>
      </c>
      <c r="Z20" s="603">
        <v>26</v>
      </c>
      <c r="AA20" s="603">
        <v>27</v>
      </c>
      <c r="AB20" s="603">
        <v>28</v>
      </c>
      <c r="AC20" s="603">
        <v>29</v>
      </c>
      <c r="AD20" s="604"/>
    </row>
    <row r="21" spans="1:30" s="107" customFormat="1" ht="33.75" customHeight="1" thickBot="1" thickTop="1">
      <c r="A21" s="201"/>
      <c r="B21" s="202"/>
      <c r="C21" s="204" t="s">
        <v>35</v>
      </c>
      <c r="D21" s="100" t="s">
        <v>201</v>
      </c>
      <c r="E21" s="100" t="s">
        <v>200</v>
      </c>
      <c r="F21" s="209" t="s">
        <v>55</v>
      </c>
      <c r="G21" s="205" t="s">
        <v>14</v>
      </c>
      <c r="H21" s="206" t="s">
        <v>56</v>
      </c>
      <c r="I21" s="207" t="s">
        <v>36</v>
      </c>
      <c r="J21" s="263" t="s">
        <v>38</v>
      </c>
      <c r="K21" s="208" t="s">
        <v>57</v>
      </c>
      <c r="L21" s="208" t="s">
        <v>58</v>
      </c>
      <c r="M21" s="209" t="s">
        <v>59</v>
      </c>
      <c r="N21" s="209" t="s">
        <v>60</v>
      </c>
      <c r="O21" s="104" t="s">
        <v>43</v>
      </c>
      <c r="P21" s="210" t="s">
        <v>61</v>
      </c>
      <c r="Q21" s="209" t="s">
        <v>62</v>
      </c>
      <c r="R21" s="205" t="s">
        <v>63</v>
      </c>
      <c r="S21" s="333" t="s">
        <v>64</v>
      </c>
      <c r="T21" s="319" t="s">
        <v>45</v>
      </c>
      <c r="U21" s="343" t="s">
        <v>46</v>
      </c>
      <c r="V21" s="349" t="s">
        <v>65</v>
      </c>
      <c r="W21" s="350"/>
      <c r="X21" s="358" t="s">
        <v>65</v>
      </c>
      <c r="Y21" s="359"/>
      <c r="Z21" s="367" t="s">
        <v>49</v>
      </c>
      <c r="AA21" s="373" t="s">
        <v>50</v>
      </c>
      <c r="AB21" s="207" t="s">
        <v>51</v>
      </c>
      <c r="AC21" s="207" t="s">
        <v>52</v>
      </c>
      <c r="AD21" s="203"/>
    </row>
    <row r="22" spans="1:30" s="10" customFormat="1" ht="16.5" customHeight="1" thickTop="1">
      <c r="A22" s="168"/>
      <c r="B22" s="174"/>
      <c r="C22" s="18"/>
      <c r="D22" s="18"/>
      <c r="E22" s="18"/>
      <c r="F22" s="23"/>
      <c r="G22" s="23"/>
      <c r="H22" s="23"/>
      <c r="I22" s="23"/>
      <c r="J22" s="268"/>
      <c r="K22" s="24"/>
      <c r="L22" s="23"/>
      <c r="M22" s="24"/>
      <c r="N22" s="24"/>
      <c r="O22" s="23"/>
      <c r="P22" s="23"/>
      <c r="Q22" s="23"/>
      <c r="R22" s="23"/>
      <c r="S22" s="334"/>
      <c r="T22" s="338"/>
      <c r="U22" s="344"/>
      <c r="V22" s="351"/>
      <c r="W22" s="352"/>
      <c r="X22" s="360"/>
      <c r="Y22" s="361"/>
      <c r="Z22" s="368"/>
      <c r="AA22" s="374"/>
      <c r="AB22" s="23"/>
      <c r="AC22" s="61"/>
      <c r="AD22" s="37"/>
    </row>
    <row r="23" spans="1:30" s="10" customFormat="1" ht="16.5" customHeight="1">
      <c r="A23" s="168"/>
      <c r="B23" s="174"/>
      <c r="C23" s="18"/>
      <c r="D23" s="18"/>
      <c r="E23" s="18"/>
      <c r="F23" s="19"/>
      <c r="G23" s="19"/>
      <c r="H23" s="19"/>
      <c r="I23" s="19"/>
      <c r="J23" s="269"/>
      <c r="K23" s="20"/>
      <c r="L23" s="19"/>
      <c r="M23" s="20"/>
      <c r="N23" s="20"/>
      <c r="O23" s="19"/>
      <c r="P23" s="19"/>
      <c r="Q23" s="19"/>
      <c r="R23" s="19"/>
      <c r="S23" s="335"/>
      <c r="T23" s="339"/>
      <c r="U23" s="345"/>
      <c r="V23" s="353"/>
      <c r="W23" s="354"/>
      <c r="X23" s="362"/>
      <c r="Y23" s="363"/>
      <c r="Z23" s="369"/>
      <c r="AA23" s="375"/>
      <c r="AB23" s="19"/>
      <c r="AC23" s="212"/>
      <c r="AD23" s="37"/>
    </row>
    <row r="24" spans="1:30" s="10" customFormat="1" ht="16.5" customHeight="1">
      <c r="A24" s="168"/>
      <c r="B24" s="174"/>
      <c r="C24" s="518">
        <v>6</v>
      </c>
      <c r="D24" s="518">
        <v>250239</v>
      </c>
      <c r="E24" s="518">
        <v>4970</v>
      </c>
      <c r="F24" s="497" t="s">
        <v>227</v>
      </c>
      <c r="G24" s="496" t="s">
        <v>8</v>
      </c>
      <c r="H24" s="605">
        <v>15</v>
      </c>
      <c r="I24" s="606" t="s">
        <v>228</v>
      </c>
      <c r="J24" s="266">
        <f aca="true" t="shared" si="0" ref="J24:J43">H24*$I$17</f>
        <v>6.675</v>
      </c>
      <c r="K24" s="522">
        <v>41122.56041666667</v>
      </c>
      <c r="L24" s="522">
        <v>41122.60972222222</v>
      </c>
      <c r="M24" s="26">
        <f aca="true" t="shared" si="1" ref="M24:M43">IF(F24="","",(L24-K24)*24)</f>
        <v>1.1833333333488554</v>
      </c>
      <c r="N24" s="27">
        <f aca="true" t="shared" si="2" ref="N24:N43">IF(F24="","",ROUND((L24-K24)*24*60,0))</f>
        <v>71</v>
      </c>
      <c r="O24" s="523" t="s">
        <v>222</v>
      </c>
      <c r="P24" s="25" t="str">
        <f aca="true" t="shared" si="3" ref="P24:P43">IF(F24="","",IF(OR(O24="P",O24="RP"),"--","NO"))</f>
        <v>NO</v>
      </c>
      <c r="Q24" s="592" t="str">
        <f aca="true" t="shared" si="4" ref="Q24:Q43">IF(F24="","","--")</f>
        <v>--</v>
      </c>
      <c r="R24" s="25" t="str">
        <f aca="true" t="shared" si="5" ref="R24:R43">IF(F24="","","NO")</f>
        <v>NO</v>
      </c>
      <c r="S24" s="336">
        <f aca="true" t="shared" si="6" ref="S24:S43">$I$18*IF(OR(O24="P",O24="RP"),0.1,1)*IF(R24="SI",1,0.1)</f>
        <v>3</v>
      </c>
      <c r="T24" s="340" t="str">
        <f aca="true" t="shared" si="7" ref="T24:T43">IF(O24="P",J24*S24*ROUND(N24/60,2),"--")</f>
        <v>--</v>
      </c>
      <c r="U24" s="346" t="str">
        <f aca="true" t="shared" si="8" ref="U24:U43">IF(O24="RP",J24*S24*ROUND(N24/60,2)*Q24/100,"--")</f>
        <v>--</v>
      </c>
      <c r="V24" s="355">
        <f aca="true" t="shared" si="9" ref="V24:V43">IF(AND(O24="F",P24="NO"),J24*S24,"--")</f>
        <v>20.025</v>
      </c>
      <c r="W24" s="356">
        <f aca="true" t="shared" si="10" ref="W24:W43">IF(O24="F",J24*S24*ROUND(N24/60,2),"--")</f>
        <v>23.629499999999997</v>
      </c>
      <c r="X24" s="364" t="str">
        <f aca="true" t="shared" si="11" ref="X24:X43">IF(AND(O24="R",P24="NO"),J24*S24*Q24/100,"--")</f>
        <v>--</v>
      </c>
      <c r="Y24" s="365" t="str">
        <f aca="true" t="shared" si="12" ref="Y24:Y43">IF(O24="R",J24*S24*ROUND(N24/60,2)*Q24/100,"--")</f>
        <v>--</v>
      </c>
      <c r="Z24" s="370" t="str">
        <f aca="true" t="shared" si="13" ref="Z24:Z43">IF(O24="RF",J24*S24*ROUND(N24/60,2),"--")</f>
        <v>--</v>
      </c>
      <c r="AA24" s="376" t="str">
        <f aca="true" t="shared" si="14" ref="AA24:AA43">IF(O24="RR",J24*S24*ROUND(N24/60,2)*Q24/100,"--")</f>
        <v>--</v>
      </c>
      <c r="AB24" s="25" t="s">
        <v>223</v>
      </c>
      <c r="AC24" s="62">
        <f aca="true" t="shared" si="15" ref="AC24:AC43">IF(F24="","",SUM(T24:AA24)*IF(AB24="SI",1,2))</f>
        <v>43.6545</v>
      </c>
      <c r="AD24" s="399"/>
    </row>
    <row r="25" spans="1:30" s="10" customFormat="1" ht="16.5" customHeight="1">
      <c r="A25" s="168"/>
      <c r="B25" s="174"/>
      <c r="C25" s="518">
        <v>7</v>
      </c>
      <c r="D25" s="518">
        <v>250498</v>
      </c>
      <c r="E25" s="518">
        <v>1812</v>
      </c>
      <c r="F25" s="497" t="s">
        <v>13</v>
      </c>
      <c r="G25" s="496" t="s">
        <v>229</v>
      </c>
      <c r="H25" s="519">
        <v>15</v>
      </c>
      <c r="I25" s="606" t="s">
        <v>228</v>
      </c>
      <c r="J25" s="266">
        <f t="shared" si="0"/>
        <v>6.675</v>
      </c>
      <c r="K25" s="522">
        <v>41133.38402777778</v>
      </c>
      <c r="L25" s="522">
        <v>41133.53125</v>
      </c>
      <c r="M25" s="26">
        <f t="shared" si="1"/>
        <v>3.5333333333255723</v>
      </c>
      <c r="N25" s="27">
        <f t="shared" si="2"/>
        <v>212</v>
      </c>
      <c r="O25" s="523" t="s">
        <v>226</v>
      </c>
      <c r="P25" s="25" t="str">
        <f t="shared" si="3"/>
        <v>--</v>
      </c>
      <c r="Q25" s="592" t="str">
        <f t="shared" si="4"/>
        <v>--</v>
      </c>
      <c r="R25" s="25" t="str">
        <f t="shared" si="5"/>
        <v>NO</v>
      </c>
      <c r="S25" s="336">
        <f t="shared" si="6"/>
        <v>0.30000000000000004</v>
      </c>
      <c r="T25" s="340">
        <f t="shared" si="7"/>
        <v>7.068825000000001</v>
      </c>
      <c r="U25" s="346" t="str">
        <f t="shared" si="8"/>
        <v>--</v>
      </c>
      <c r="V25" s="355" t="str">
        <f t="shared" si="9"/>
        <v>--</v>
      </c>
      <c r="W25" s="356" t="str">
        <f t="shared" si="10"/>
        <v>--</v>
      </c>
      <c r="X25" s="364" t="str">
        <f t="shared" si="11"/>
        <v>--</v>
      </c>
      <c r="Y25" s="365" t="str">
        <f t="shared" si="12"/>
        <v>--</v>
      </c>
      <c r="Z25" s="370" t="str">
        <f t="shared" si="13"/>
        <v>--</v>
      </c>
      <c r="AA25" s="376" t="str">
        <f t="shared" si="14"/>
        <v>--</v>
      </c>
      <c r="AB25" s="25" t="str">
        <f aca="true" t="shared" si="16" ref="AB25:AB43">IF(F25="","","SI")</f>
        <v>SI</v>
      </c>
      <c r="AC25" s="62">
        <f t="shared" si="15"/>
        <v>7.068825000000001</v>
      </c>
      <c r="AD25" s="399"/>
    </row>
    <row r="26" spans="1:30" s="10" customFormat="1" ht="16.5" customHeight="1">
      <c r="A26" s="168"/>
      <c r="B26" s="174"/>
      <c r="C26" s="518">
        <v>8</v>
      </c>
      <c r="D26" s="518">
        <v>250499</v>
      </c>
      <c r="E26" s="518">
        <v>1813</v>
      </c>
      <c r="F26" s="497" t="s">
        <v>13</v>
      </c>
      <c r="G26" s="496" t="s">
        <v>230</v>
      </c>
      <c r="H26" s="519">
        <v>15</v>
      </c>
      <c r="I26" s="606" t="s">
        <v>228</v>
      </c>
      <c r="J26" s="266">
        <f t="shared" si="0"/>
        <v>6.675</v>
      </c>
      <c r="K26" s="522">
        <v>41133.538194444445</v>
      </c>
      <c r="L26" s="522">
        <v>41133.6875</v>
      </c>
      <c r="M26" s="26">
        <f t="shared" si="1"/>
        <v>3.583333333313931</v>
      </c>
      <c r="N26" s="27">
        <f t="shared" si="2"/>
        <v>215</v>
      </c>
      <c r="O26" s="523" t="s">
        <v>226</v>
      </c>
      <c r="P26" s="25" t="str">
        <f t="shared" si="3"/>
        <v>--</v>
      </c>
      <c r="Q26" s="592" t="str">
        <f t="shared" si="4"/>
        <v>--</v>
      </c>
      <c r="R26" s="25" t="str">
        <f t="shared" si="5"/>
        <v>NO</v>
      </c>
      <c r="S26" s="336">
        <f t="shared" si="6"/>
        <v>0.30000000000000004</v>
      </c>
      <c r="T26" s="340">
        <f t="shared" si="7"/>
        <v>7.1689500000000015</v>
      </c>
      <c r="U26" s="346" t="str">
        <f t="shared" si="8"/>
        <v>--</v>
      </c>
      <c r="V26" s="355" t="str">
        <f t="shared" si="9"/>
        <v>--</v>
      </c>
      <c r="W26" s="356" t="str">
        <f t="shared" si="10"/>
        <v>--</v>
      </c>
      <c r="X26" s="364" t="str">
        <f t="shared" si="11"/>
        <v>--</v>
      </c>
      <c r="Y26" s="365" t="str">
        <f t="shared" si="12"/>
        <v>--</v>
      </c>
      <c r="Z26" s="370" t="str">
        <f t="shared" si="13"/>
        <v>--</v>
      </c>
      <c r="AA26" s="376" t="str">
        <f t="shared" si="14"/>
        <v>--</v>
      </c>
      <c r="AB26" s="25" t="str">
        <f t="shared" si="16"/>
        <v>SI</v>
      </c>
      <c r="AC26" s="62">
        <f t="shared" si="15"/>
        <v>7.1689500000000015</v>
      </c>
      <c r="AD26" s="399"/>
    </row>
    <row r="27" spans="1:30" s="10" customFormat="1" ht="16.5" customHeight="1">
      <c r="A27" s="168"/>
      <c r="B27" s="174"/>
      <c r="C27" s="518">
        <v>9</v>
      </c>
      <c r="D27" s="518">
        <v>251371</v>
      </c>
      <c r="E27" s="518">
        <v>1802</v>
      </c>
      <c r="F27" s="497" t="s">
        <v>9</v>
      </c>
      <c r="G27" s="496" t="s">
        <v>8</v>
      </c>
      <c r="H27" s="519">
        <v>15</v>
      </c>
      <c r="I27" s="606" t="s">
        <v>231</v>
      </c>
      <c r="J27" s="266">
        <f t="shared" si="0"/>
        <v>6.675</v>
      </c>
      <c r="K27" s="522">
        <v>41150.404861111114</v>
      </c>
      <c r="L27" s="522">
        <v>41150.76180555556</v>
      </c>
      <c r="M27" s="26">
        <f t="shared" si="1"/>
        <v>8.566666666651145</v>
      </c>
      <c r="N27" s="27">
        <f t="shared" si="2"/>
        <v>514</v>
      </c>
      <c r="O27" s="523" t="s">
        <v>226</v>
      </c>
      <c r="P27" s="25" t="str">
        <f t="shared" si="3"/>
        <v>--</v>
      </c>
      <c r="Q27" s="592" t="str">
        <f t="shared" si="4"/>
        <v>--</v>
      </c>
      <c r="R27" s="25" t="s">
        <v>223</v>
      </c>
      <c r="S27" s="336">
        <f t="shared" si="6"/>
        <v>3</v>
      </c>
      <c r="T27" s="340">
        <f t="shared" si="7"/>
        <v>171.61425</v>
      </c>
      <c r="U27" s="346" t="str">
        <f t="shared" si="8"/>
        <v>--</v>
      </c>
      <c r="V27" s="355" t="str">
        <f t="shared" si="9"/>
        <v>--</v>
      </c>
      <c r="W27" s="356" t="str">
        <f t="shared" si="10"/>
        <v>--</v>
      </c>
      <c r="X27" s="364" t="str">
        <f t="shared" si="11"/>
        <v>--</v>
      </c>
      <c r="Y27" s="365" t="str">
        <f t="shared" si="12"/>
        <v>--</v>
      </c>
      <c r="Z27" s="370" t="str">
        <f t="shared" si="13"/>
        <v>--</v>
      </c>
      <c r="AA27" s="376" t="str">
        <f t="shared" si="14"/>
        <v>--</v>
      </c>
      <c r="AB27" s="25" t="str">
        <f t="shared" si="16"/>
        <v>SI</v>
      </c>
      <c r="AC27" s="62">
        <f t="shared" si="15"/>
        <v>171.61425</v>
      </c>
      <c r="AD27" s="399"/>
    </row>
    <row r="28" spans="1:30" s="10" customFormat="1" ht="16.5" customHeight="1">
      <c r="A28" s="168"/>
      <c r="B28" s="174"/>
      <c r="C28" s="518">
        <v>10</v>
      </c>
      <c r="D28" s="518">
        <v>251374</v>
      </c>
      <c r="E28" s="518">
        <v>1802</v>
      </c>
      <c r="F28" s="497" t="s">
        <v>9</v>
      </c>
      <c r="G28" s="496" t="s">
        <v>8</v>
      </c>
      <c r="H28" s="519">
        <v>15</v>
      </c>
      <c r="I28" s="606" t="s">
        <v>231</v>
      </c>
      <c r="J28" s="266">
        <f t="shared" si="0"/>
        <v>6.675</v>
      </c>
      <c r="K28" s="522">
        <v>41151.47361111111</v>
      </c>
      <c r="L28" s="522">
        <v>41151.50069444445</v>
      </c>
      <c r="M28" s="26">
        <f t="shared" si="1"/>
        <v>0.6500000000232831</v>
      </c>
      <c r="N28" s="27">
        <f t="shared" si="2"/>
        <v>39</v>
      </c>
      <c r="O28" s="523" t="s">
        <v>222</v>
      </c>
      <c r="P28" s="25" t="str">
        <f t="shared" si="3"/>
        <v>NO</v>
      </c>
      <c r="Q28" s="592" t="str">
        <f t="shared" si="4"/>
        <v>--</v>
      </c>
      <c r="R28" s="25" t="s">
        <v>223</v>
      </c>
      <c r="S28" s="336">
        <f t="shared" si="6"/>
        <v>30</v>
      </c>
      <c r="T28" s="340" t="str">
        <f t="shared" si="7"/>
        <v>--</v>
      </c>
      <c r="U28" s="346" t="str">
        <f t="shared" si="8"/>
        <v>--</v>
      </c>
      <c r="V28" s="355">
        <f t="shared" si="9"/>
        <v>200.25</v>
      </c>
      <c r="W28" s="356">
        <f t="shared" si="10"/>
        <v>130.1625</v>
      </c>
      <c r="X28" s="364" t="str">
        <f t="shared" si="11"/>
        <v>--</v>
      </c>
      <c r="Y28" s="365" t="str">
        <f t="shared" si="12"/>
        <v>--</v>
      </c>
      <c r="Z28" s="370" t="str">
        <f t="shared" si="13"/>
        <v>--</v>
      </c>
      <c r="AA28" s="376" t="str">
        <f t="shared" si="14"/>
        <v>--</v>
      </c>
      <c r="AB28" s="25" t="str">
        <f t="shared" si="16"/>
        <v>SI</v>
      </c>
      <c r="AC28" s="62">
        <f t="shared" si="15"/>
        <v>330.4125</v>
      </c>
      <c r="AD28" s="399"/>
    </row>
    <row r="29" spans="1:30" s="10" customFormat="1" ht="16.5" customHeight="1">
      <c r="A29" s="168"/>
      <c r="B29" s="174"/>
      <c r="C29" s="518"/>
      <c r="D29" s="518"/>
      <c r="E29" s="518"/>
      <c r="F29" s="497"/>
      <c r="G29" s="496"/>
      <c r="H29" s="519"/>
      <c r="I29" s="520"/>
      <c r="J29" s="266">
        <f t="shared" si="0"/>
        <v>0</v>
      </c>
      <c r="K29" s="522"/>
      <c r="L29" s="522"/>
      <c r="M29" s="26">
        <f t="shared" si="1"/>
      </c>
      <c r="N29" s="27">
        <f t="shared" si="2"/>
      </c>
      <c r="O29" s="523"/>
      <c r="P29" s="25">
        <f t="shared" si="3"/>
      </c>
      <c r="Q29" s="592">
        <f t="shared" si="4"/>
      </c>
      <c r="R29" s="25">
        <f t="shared" si="5"/>
      </c>
      <c r="S29" s="336">
        <f t="shared" si="6"/>
        <v>3</v>
      </c>
      <c r="T29" s="340" t="str">
        <f t="shared" si="7"/>
        <v>--</v>
      </c>
      <c r="U29" s="346" t="str">
        <f t="shared" si="8"/>
        <v>--</v>
      </c>
      <c r="V29" s="355" t="str">
        <f t="shared" si="9"/>
        <v>--</v>
      </c>
      <c r="W29" s="356" t="str">
        <f t="shared" si="10"/>
        <v>--</v>
      </c>
      <c r="X29" s="364" t="str">
        <f t="shared" si="11"/>
        <v>--</v>
      </c>
      <c r="Y29" s="365" t="str">
        <f t="shared" si="12"/>
        <v>--</v>
      </c>
      <c r="Z29" s="370" t="str">
        <f t="shared" si="13"/>
        <v>--</v>
      </c>
      <c r="AA29" s="376" t="str">
        <f t="shared" si="14"/>
        <v>--</v>
      </c>
      <c r="AB29" s="25">
        <f t="shared" si="16"/>
      </c>
      <c r="AC29" s="62">
        <f t="shared" si="15"/>
      </c>
      <c r="AD29" s="399"/>
    </row>
    <row r="30" spans="1:30" s="10" customFormat="1" ht="16.5" customHeight="1">
      <c r="A30" s="168"/>
      <c r="B30" s="174"/>
      <c r="C30" s="518"/>
      <c r="D30" s="518"/>
      <c r="E30" s="518"/>
      <c r="F30" s="497"/>
      <c r="G30" s="496"/>
      <c r="H30" s="519"/>
      <c r="I30" s="520"/>
      <c r="J30" s="266">
        <f t="shared" si="0"/>
        <v>0</v>
      </c>
      <c r="K30" s="522"/>
      <c r="L30" s="522"/>
      <c r="M30" s="26">
        <f t="shared" si="1"/>
      </c>
      <c r="N30" s="27">
        <f t="shared" si="2"/>
      </c>
      <c r="O30" s="523"/>
      <c r="P30" s="25">
        <f t="shared" si="3"/>
      </c>
      <c r="Q30" s="592">
        <f t="shared" si="4"/>
      </c>
      <c r="R30" s="25">
        <f t="shared" si="5"/>
      </c>
      <c r="S30" s="336">
        <f t="shared" si="6"/>
        <v>3</v>
      </c>
      <c r="T30" s="340" t="str">
        <f t="shared" si="7"/>
        <v>--</v>
      </c>
      <c r="U30" s="346" t="str">
        <f t="shared" si="8"/>
        <v>--</v>
      </c>
      <c r="V30" s="355" t="str">
        <f t="shared" si="9"/>
        <v>--</v>
      </c>
      <c r="W30" s="356" t="str">
        <f t="shared" si="10"/>
        <v>--</v>
      </c>
      <c r="X30" s="364" t="str">
        <f t="shared" si="11"/>
        <v>--</v>
      </c>
      <c r="Y30" s="365" t="str">
        <f t="shared" si="12"/>
        <v>--</v>
      </c>
      <c r="Z30" s="370" t="str">
        <f t="shared" si="13"/>
        <v>--</v>
      </c>
      <c r="AA30" s="376" t="str">
        <f t="shared" si="14"/>
        <v>--</v>
      </c>
      <c r="AB30" s="25">
        <f t="shared" si="16"/>
      </c>
      <c r="AC30" s="62">
        <f t="shared" si="15"/>
      </c>
      <c r="AD30" s="37"/>
    </row>
    <row r="31" spans="1:30" s="10" customFormat="1" ht="16.5" customHeight="1">
      <c r="A31" s="168"/>
      <c r="B31" s="174"/>
      <c r="C31" s="518"/>
      <c r="D31" s="518"/>
      <c r="E31" s="518"/>
      <c r="F31" s="497"/>
      <c r="G31" s="496"/>
      <c r="H31" s="519"/>
      <c r="I31" s="520"/>
      <c r="J31" s="266">
        <f t="shared" si="0"/>
        <v>0</v>
      </c>
      <c r="K31" s="522"/>
      <c r="L31" s="522"/>
      <c r="M31" s="26">
        <f t="shared" si="1"/>
      </c>
      <c r="N31" s="27">
        <f t="shared" si="2"/>
      </c>
      <c r="O31" s="523"/>
      <c r="P31" s="25">
        <f t="shared" si="3"/>
      </c>
      <c r="Q31" s="592">
        <f t="shared" si="4"/>
      </c>
      <c r="R31" s="25">
        <f t="shared" si="5"/>
      </c>
      <c r="S31" s="336">
        <f t="shared" si="6"/>
        <v>3</v>
      </c>
      <c r="T31" s="340" t="str">
        <f t="shared" si="7"/>
        <v>--</v>
      </c>
      <c r="U31" s="346" t="str">
        <f t="shared" si="8"/>
        <v>--</v>
      </c>
      <c r="V31" s="355" t="str">
        <f t="shared" si="9"/>
        <v>--</v>
      </c>
      <c r="W31" s="356" t="str">
        <f t="shared" si="10"/>
        <v>--</v>
      </c>
      <c r="X31" s="364" t="str">
        <f t="shared" si="11"/>
        <v>--</v>
      </c>
      <c r="Y31" s="365" t="str">
        <f t="shared" si="12"/>
        <v>--</v>
      </c>
      <c r="Z31" s="370" t="str">
        <f t="shared" si="13"/>
        <v>--</v>
      </c>
      <c r="AA31" s="376" t="str">
        <f t="shared" si="14"/>
        <v>--</v>
      </c>
      <c r="AB31" s="25">
        <f t="shared" si="16"/>
      </c>
      <c r="AC31" s="62">
        <f t="shared" si="15"/>
      </c>
      <c r="AD31" s="37"/>
    </row>
    <row r="32" spans="1:30" s="10" customFormat="1" ht="16.5" customHeight="1">
      <c r="A32" s="168"/>
      <c r="B32" s="174"/>
      <c r="C32" s="518"/>
      <c r="D32" s="518"/>
      <c r="E32" s="518"/>
      <c r="F32" s="497"/>
      <c r="G32" s="496"/>
      <c r="H32" s="519"/>
      <c r="I32" s="520"/>
      <c r="J32" s="266">
        <f t="shared" si="0"/>
        <v>0</v>
      </c>
      <c r="K32" s="522"/>
      <c r="L32" s="522"/>
      <c r="M32" s="26">
        <f t="shared" si="1"/>
      </c>
      <c r="N32" s="27">
        <f t="shared" si="2"/>
      </c>
      <c r="O32" s="523"/>
      <c r="P32" s="25">
        <f t="shared" si="3"/>
      </c>
      <c r="Q32" s="592">
        <f t="shared" si="4"/>
      </c>
      <c r="R32" s="25">
        <f t="shared" si="5"/>
      </c>
      <c r="S32" s="336">
        <f t="shared" si="6"/>
        <v>3</v>
      </c>
      <c r="T32" s="340" t="str">
        <f t="shared" si="7"/>
        <v>--</v>
      </c>
      <c r="U32" s="346" t="str">
        <f t="shared" si="8"/>
        <v>--</v>
      </c>
      <c r="V32" s="355" t="str">
        <f t="shared" si="9"/>
        <v>--</v>
      </c>
      <c r="W32" s="356" t="str">
        <f t="shared" si="10"/>
        <v>--</v>
      </c>
      <c r="X32" s="364" t="str">
        <f t="shared" si="11"/>
        <v>--</v>
      </c>
      <c r="Y32" s="365" t="str">
        <f t="shared" si="12"/>
        <v>--</v>
      </c>
      <c r="Z32" s="370" t="str">
        <f t="shared" si="13"/>
        <v>--</v>
      </c>
      <c r="AA32" s="376" t="str">
        <f t="shared" si="14"/>
        <v>--</v>
      </c>
      <c r="AB32" s="25">
        <f t="shared" si="16"/>
      </c>
      <c r="AC32" s="62">
        <f t="shared" si="15"/>
      </c>
      <c r="AD32" s="37"/>
    </row>
    <row r="33" spans="1:30" s="10" customFormat="1" ht="16.5" customHeight="1">
      <c r="A33" s="168"/>
      <c r="B33" s="174"/>
      <c r="C33" s="518"/>
      <c r="D33" s="518"/>
      <c r="E33" s="518"/>
      <c r="F33" s="497"/>
      <c r="G33" s="496"/>
      <c r="H33" s="519"/>
      <c r="I33" s="520"/>
      <c r="J33" s="266">
        <f t="shared" si="0"/>
        <v>0</v>
      </c>
      <c r="K33" s="522"/>
      <c r="L33" s="522"/>
      <c r="M33" s="26">
        <f t="shared" si="1"/>
      </c>
      <c r="N33" s="27">
        <f t="shared" si="2"/>
      </c>
      <c r="O33" s="523"/>
      <c r="P33" s="25">
        <f t="shared" si="3"/>
      </c>
      <c r="Q33" s="592">
        <f t="shared" si="4"/>
      </c>
      <c r="R33" s="25">
        <f t="shared" si="5"/>
      </c>
      <c r="S33" s="336">
        <f t="shared" si="6"/>
        <v>3</v>
      </c>
      <c r="T33" s="340" t="str">
        <f t="shared" si="7"/>
        <v>--</v>
      </c>
      <c r="U33" s="346" t="str">
        <f t="shared" si="8"/>
        <v>--</v>
      </c>
      <c r="V33" s="355" t="str">
        <f t="shared" si="9"/>
        <v>--</v>
      </c>
      <c r="W33" s="356" t="str">
        <f t="shared" si="10"/>
        <v>--</v>
      </c>
      <c r="X33" s="364" t="str">
        <f t="shared" si="11"/>
        <v>--</v>
      </c>
      <c r="Y33" s="365" t="str">
        <f t="shared" si="12"/>
        <v>--</v>
      </c>
      <c r="Z33" s="370" t="str">
        <f t="shared" si="13"/>
        <v>--</v>
      </c>
      <c r="AA33" s="376" t="str">
        <f t="shared" si="14"/>
        <v>--</v>
      </c>
      <c r="AB33" s="25">
        <f t="shared" si="16"/>
      </c>
      <c r="AC33" s="62">
        <f t="shared" si="15"/>
      </c>
      <c r="AD33" s="37"/>
    </row>
    <row r="34" spans="1:30" s="10" customFormat="1" ht="16.5" customHeight="1">
      <c r="A34" s="168"/>
      <c r="B34" s="174"/>
      <c r="C34" s="518"/>
      <c r="D34" s="518"/>
      <c r="E34" s="518"/>
      <c r="F34" s="497"/>
      <c r="G34" s="496"/>
      <c r="H34" s="519"/>
      <c r="I34" s="520"/>
      <c r="J34" s="266">
        <f t="shared" si="0"/>
        <v>0</v>
      </c>
      <c r="K34" s="522"/>
      <c r="L34" s="522"/>
      <c r="M34" s="26">
        <f t="shared" si="1"/>
      </c>
      <c r="N34" s="27">
        <f t="shared" si="2"/>
      </c>
      <c r="O34" s="523"/>
      <c r="P34" s="25">
        <f t="shared" si="3"/>
      </c>
      <c r="Q34" s="592">
        <f t="shared" si="4"/>
      </c>
      <c r="R34" s="25">
        <f t="shared" si="5"/>
      </c>
      <c r="S34" s="336">
        <f t="shared" si="6"/>
        <v>3</v>
      </c>
      <c r="T34" s="340" t="str">
        <f t="shared" si="7"/>
        <v>--</v>
      </c>
      <c r="U34" s="346" t="str">
        <f t="shared" si="8"/>
        <v>--</v>
      </c>
      <c r="V34" s="355" t="str">
        <f t="shared" si="9"/>
        <v>--</v>
      </c>
      <c r="W34" s="356" t="str">
        <f t="shared" si="10"/>
        <v>--</v>
      </c>
      <c r="X34" s="364" t="str">
        <f t="shared" si="11"/>
        <v>--</v>
      </c>
      <c r="Y34" s="365" t="str">
        <f t="shared" si="12"/>
        <v>--</v>
      </c>
      <c r="Z34" s="370" t="str">
        <f t="shared" si="13"/>
        <v>--</v>
      </c>
      <c r="AA34" s="376" t="str">
        <f t="shared" si="14"/>
        <v>--</v>
      </c>
      <c r="AB34" s="25">
        <f t="shared" si="16"/>
      </c>
      <c r="AC34" s="62">
        <f t="shared" si="15"/>
      </c>
      <c r="AD34" s="37"/>
    </row>
    <row r="35" spans="1:30" s="10" customFormat="1" ht="16.5" customHeight="1">
      <c r="A35" s="168"/>
      <c r="B35" s="174"/>
      <c r="C35" s="518"/>
      <c r="D35" s="518"/>
      <c r="E35" s="518"/>
      <c r="F35" s="497"/>
      <c r="G35" s="496"/>
      <c r="H35" s="519"/>
      <c r="I35" s="520"/>
      <c r="J35" s="266">
        <f t="shared" si="0"/>
        <v>0</v>
      </c>
      <c r="K35" s="522"/>
      <c r="L35" s="522"/>
      <c r="M35" s="26">
        <f t="shared" si="1"/>
      </c>
      <c r="N35" s="27">
        <f t="shared" si="2"/>
      </c>
      <c r="O35" s="523"/>
      <c r="P35" s="25">
        <f t="shared" si="3"/>
      </c>
      <c r="Q35" s="592">
        <f t="shared" si="4"/>
      </c>
      <c r="R35" s="25">
        <f t="shared" si="5"/>
      </c>
      <c r="S35" s="336">
        <f t="shared" si="6"/>
        <v>3</v>
      </c>
      <c r="T35" s="340" t="str">
        <f t="shared" si="7"/>
        <v>--</v>
      </c>
      <c r="U35" s="346" t="str">
        <f t="shared" si="8"/>
        <v>--</v>
      </c>
      <c r="V35" s="355" t="str">
        <f t="shared" si="9"/>
        <v>--</v>
      </c>
      <c r="W35" s="356" t="str">
        <f t="shared" si="10"/>
        <v>--</v>
      </c>
      <c r="X35" s="364" t="str">
        <f t="shared" si="11"/>
        <v>--</v>
      </c>
      <c r="Y35" s="365" t="str">
        <f t="shared" si="12"/>
        <v>--</v>
      </c>
      <c r="Z35" s="370" t="str">
        <f t="shared" si="13"/>
        <v>--</v>
      </c>
      <c r="AA35" s="376" t="str">
        <f t="shared" si="14"/>
        <v>--</v>
      </c>
      <c r="AB35" s="25">
        <f t="shared" si="16"/>
      </c>
      <c r="AC35" s="62">
        <f t="shared" si="15"/>
      </c>
      <c r="AD35" s="37"/>
    </row>
    <row r="36" spans="1:30" s="10" customFormat="1" ht="16.5" customHeight="1">
      <c r="A36" s="168"/>
      <c r="B36" s="174"/>
      <c r="C36" s="518"/>
      <c r="D36" s="518"/>
      <c r="E36" s="518"/>
      <c r="F36" s="497"/>
      <c r="G36" s="496"/>
      <c r="H36" s="519"/>
      <c r="I36" s="520"/>
      <c r="J36" s="266">
        <f t="shared" si="0"/>
        <v>0</v>
      </c>
      <c r="K36" s="522"/>
      <c r="L36" s="522"/>
      <c r="M36" s="26">
        <f t="shared" si="1"/>
      </c>
      <c r="N36" s="27">
        <f t="shared" si="2"/>
      </c>
      <c r="O36" s="523"/>
      <c r="P36" s="25">
        <f t="shared" si="3"/>
      </c>
      <c r="Q36" s="592">
        <f t="shared" si="4"/>
      </c>
      <c r="R36" s="25">
        <f t="shared" si="5"/>
      </c>
      <c r="S36" s="336">
        <f t="shared" si="6"/>
        <v>3</v>
      </c>
      <c r="T36" s="340" t="str">
        <f t="shared" si="7"/>
        <v>--</v>
      </c>
      <c r="U36" s="346" t="str">
        <f t="shared" si="8"/>
        <v>--</v>
      </c>
      <c r="V36" s="355" t="str">
        <f t="shared" si="9"/>
        <v>--</v>
      </c>
      <c r="W36" s="356" t="str">
        <f t="shared" si="10"/>
        <v>--</v>
      </c>
      <c r="X36" s="364" t="str">
        <f t="shared" si="11"/>
        <v>--</v>
      </c>
      <c r="Y36" s="365" t="str">
        <f t="shared" si="12"/>
        <v>--</v>
      </c>
      <c r="Z36" s="370" t="str">
        <f t="shared" si="13"/>
        <v>--</v>
      </c>
      <c r="AA36" s="376" t="str">
        <f t="shared" si="14"/>
        <v>--</v>
      </c>
      <c r="AB36" s="25">
        <f t="shared" si="16"/>
      </c>
      <c r="AC36" s="62">
        <f t="shared" si="15"/>
      </c>
      <c r="AD36" s="37"/>
    </row>
    <row r="37" spans="1:30" s="10" customFormat="1" ht="16.5" customHeight="1">
      <c r="A37" s="168"/>
      <c r="B37" s="174"/>
      <c r="C37" s="518"/>
      <c r="D37" s="518"/>
      <c r="E37" s="518"/>
      <c r="F37" s="497"/>
      <c r="G37" s="496"/>
      <c r="H37" s="519"/>
      <c r="I37" s="520"/>
      <c r="J37" s="266">
        <f t="shared" si="0"/>
        <v>0</v>
      </c>
      <c r="K37" s="522"/>
      <c r="L37" s="522"/>
      <c r="M37" s="26">
        <f t="shared" si="1"/>
      </c>
      <c r="N37" s="27">
        <f t="shared" si="2"/>
      </c>
      <c r="O37" s="523"/>
      <c r="P37" s="25">
        <f t="shared" si="3"/>
      </c>
      <c r="Q37" s="592">
        <f t="shared" si="4"/>
      </c>
      <c r="R37" s="25">
        <f t="shared" si="5"/>
      </c>
      <c r="S37" s="336">
        <f t="shared" si="6"/>
        <v>3</v>
      </c>
      <c r="T37" s="340" t="str">
        <f t="shared" si="7"/>
        <v>--</v>
      </c>
      <c r="U37" s="346" t="str">
        <f t="shared" si="8"/>
        <v>--</v>
      </c>
      <c r="V37" s="355" t="str">
        <f t="shared" si="9"/>
        <v>--</v>
      </c>
      <c r="W37" s="356" t="str">
        <f t="shared" si="10"/>
        <v>--</v>
      </c>
      <c r="X37" s="364" t="str">
        <f t="shared" si="11"/>
        <v>--</v>
      </c>
      <c r="Y37" s="365" t="str">
        <f t="shared" si="12"/>
        <v>--</v>
      </c>
      <c r="Z37" s="370" t="str">
        <f t="shared" si="13"/>
        <v>--</v>
      </c>
      <c r="AA37" s="376" t="str">
        <f t="shared" si="14"/>
        <v>--</v>
      </c>
      <c r="AB37" s="25">
        <f t="shared" si="16"/>
      </c>
      <c r="AC37" s="62">
        <f t="shared" si="15"/>
      </c>
      <c r="AD37" s="37"/>
    </row>
    <row r="38" spans="1:30" s="10" customFormat="1" ht="16.5" customHeight="1">
      <c r="A38" s="168"/>
      <c r="B38" s="174"/>
      <c r="C38" s="518"/>
      <c r="D38" s="518"/>
      <c r="E38" s="518"/>
      <c r="F38" s="497"/>
      <c r="G38" s="496"/>
      <c r="H38" s="519"/>
      <c r="I38" s="520"/>
      <c r="J38" s="266">
        <f t="shared" si="0"/>
        <v>0</v>
      </c>
      <c r="K38" s="522"/>
      <c r="L38" s="522"/>
      <c r="M38" s="26">
        <f t="shared" si="1"/>
      </c>
      <c r="N38" s="27">
        <f t="shared" si="2"/>
      </c>
      <c r="O38" s="523"/>
      <c r="P38" s="25">
        <f t="shared" si="3"/>
      </c>
      <c r="Q38" s="592">
        <f t="shared" si="4"/>
      </c>
      <c r="R38" s="25">
        <f t="shared" si="5"/>
      </c>
      <c r="S38" s="336">
        <f t="shared" si="6"/>
        <v>3</v>
      </c>
      <c r="T38" s="340" t="str">
        <f t="shared" si="7"/>
        <v>--</v>
      </c>
      <c r="U38" s="346" t="str">
        <f t="shared" si="8"/>
        <v>--</v>
      </c>
      <c r="V38" s="355" t="str">
        <f t="shared" si="9"/>
        <v>--</v>
      </c>
      <c r="W38" s="356" t="str">
        <f t="shared" si="10"/>
        <v>--</v>
      </c>
      <c r="X38" s="364" t="str">
        <f t="shared" si="11"/>
        <v>--</v>
      </c>
      <c r="Y38" s="365" t="str">
        <f t="shared" si="12"/>
        <v>--</v>
      </c>
      <c r="Z38" s="370" t="str">
        <f t="shared" si="13"/>
        <v>--</v>
      </c>
      <c r="AA38" s="376" t="str">
        <f t="shared" si="14"/>
        <v>--</v>
      </c>
      <c r="AB38" s="25">
        <f t="shared" si="16"/>
      </c>
      <c r="AC38" s="62">
        <f t="shared" si="15"/>
      </c>
      <c r="AD38" s="37"/>
    </row>
    <row r="39" spans="1:30" s="10" customFormat="1" ht="16.5" customHeight="1">
      <c r="A39" s="168"/>
      <c r="B39" s="174"/>
      <c r="C39" s="518"/>
      <c r="D39" s="518"/>
      <c r="E39" s="518"/>
      <c r="F39" s="497"/>
      <c r="G39" s="496"/>
      <c r="H39" s="519"/>
      <c r="I39" s="520"/>
      <c r="J39" s="266">
        <f t="shared" si="0"/>
        <v>0</v>
      </c>
      <c r="K39" s="522"/>
      <c r="L39" s="522"/>
      <c r="M39" s="26">
        <f t="shared" si="1"/>
      </c>
      <c r="N39" s="27">
        <f t="shared" si="2"/>
      </c>
      <c r="O39" s="523"/>
      <c r="P39" s="25">
        <f t="shared" si="3"/>
      </c>
      <c r="Q39" s="592">
        <f t="shared" si="4"/>
      </c>
      <c r="R39" s="25">
        <f t="shared" si="5"/>
      </c>
      <c r="S39" s="336">
        <f t="shared" si="6"/>
        <v>3</v>
      </c>
      <c r="T39" s="340" t="str">
        <f t="shared" si="7"/>
        <v>--</v>
      </c>
      <c r="U39" s="346" t="str">
        <f t="shared" si="8"/>
        <v>--</v>
      </c>
      <c r="V39" s="355" t="str">
        <f t="shared" si="9"/>
        <v>--</v>
      </c>
      <c r="W39" s="356" t="str">
        <f t="shared" si="10"/>
        <v>--</v>
      </c>
      <c r="X39" s="364" t="str">
        <f t="shared" si="11"/>
        <v>--</v>
      </c>
      <c r="Y39" s="365" t="str">
        <f t="shared" si="12"/>
        <v>--</v>
      </c>
      <c r="Z39" s="370" t="str">
        <f t="shared" si="13"/>
        <v>--</v>
      </c>
      <c r="AA39" s="376" t="str">
        <f t="shared" si="14"/>
        <v>--</v>
      </c>
      <c r="AB39" s="25">
        <f t="shared" si="16"/>
      </c>
      <c r="AC39" s="62">
        <f t="shared" si="15"/>
      </c>
      <c r="AD39" s="37"/>
    </row>
    <row r="40" spans="1:30" s="10" customFormat="1" ht="16.5" customHeight="1">
      <c r="A40" s="168"/>
      <c r="B40" s="174"/>
      <c r="C40" s="518"/>
      <c r="D40" s="518"/>
      <c r="E40" s="518"/>
      <c r="F40" s="497"/>
      <c r="G40" s="496"/>
      <c r="H40" s="519"/>
      <c r="I40" s="520"/>
      <c r="J40" s="266">
        <f t="shared" si="0"/>
        <v>0</v>
      </c>
      <c r="K40" s="522"/>
      <c r="L40" s="522"/>
      <c r="M40" s="26">
        <f t="shared" si="1"/>
      </c>
      <c r="N40" s="27">
        <f t="shared" si="2"/>
      </c>
      <c r="O40" s="523"/>
      <c r="P40" s="25">
        <f t="shared" si="3"/>
      </c>
      <c r="Q40" s="592">
        <f t="shared" si="4"/>
      </c>
      <c r="R40" s="25">
        <f t="shared" si="5"/>
      </c>
      <c r="S40" s="336">
        <f t="shared" si="6"/>
        <v>3</v>
      </c>
      <c r="T40" s="340" t="str">
        <f t="shared" si="7"/>
        <v>--</v>
      </c>
      <c r="U40" s="346" t="str">
        <f t="shared" si="8"/>
        <v>--</v>
      </c>
      <c r="V40" s="355" t="str">
        <f t="shared" si="9"/>
        <v>--</v>
      </c>
      <c r="W40" s="356" t="str">
        <f t="shared" si="10"/>
        <v>--</v>
      </c>
      <c r="X40" s="364" t="str">
        <f t="shared" si="11"/>
        <v>--</v>
      </c>
      <c r="Y40" s="365" t="str">
        <f t="shared" si="12"/>
        <v>--</v>
      </c>
      <c r="Z40" s="370" t="str">
        <f t="shared" si="13"/>
        <v>--</v>
      </c>
      <c r="AA40" s="376" t="str">
        <f t="shared" si="14"/>
        <v>--</v>
      </c>
      <c r="AB40" s="25">
        <f t="shared" si="16"/>
      </c>
      <c r="AC40" s="62">
        <f t="shared" si="15"/>
      </c>
      <c r="AD40" s="37"/>
    </row>
    <row r="41" spans="1:30" s="10" customFormat="1" ht="16.5" customHeight="1">
      <c r="A41" s="168"/>
      <c r="B41" s="174"/>
      <c r="C41" s="518"/>
      <c r="D41" s="518"/>
      <c r="E41" s="518"/>
      <c r="F41" s="497"/>
      <c r="G41" s="496"/>
      <c r="H41" s="519"/>
      <c r="I41" s="520"/>
      <c r="J41" s="266">
        <f t="shared" si="0"/>
        <v>0</v>
      </c>
      <c r="K41" s="522"/>
      <c r="L41" s="522"/>
      <c r="M41" s="26">
        <f t="shared" si="1"/>
      </c>
      <c r="N41" s="27">
        <f t="shared" si="2"/>
      </c>
      <c r="O41" s="523"/>
      <c r="P41" s="25">
        <f t="shared" si="3"/>
      </c>
      <c r="Q41" s="592">
        <f t="shared" si="4"/>
      </c>
      <c r="R41" s="25">
        <f t="shared" si="5"/>
      </c>
      <c r="S41" s="336">
        <f t="shared" si="6"/>
        <v>3</v>
      </c>
      <c r="T41" s="340" t="str">
        <f t="shared" si="7"/>
        <v>--</v>
      </c>
      <c r="U41" s="346" t="str">
        <f t="shared" si="8"/>
        <v>--</v>
      </c>
      <c r="V41" s="355" t="str">
        <f t="shared" si="9"/>
        <v>--</v>
      </c>
      <c r="W41" s="356" t="str">
        <f t="shared" si="10"/>
        <v>--</v>
      </c>
      <c r="X41" s="364" t="str">
        <f t="shared" si="11"/>
        <v>--</v>
      </c>
      <c r="Y41" s="365" t="str">
        <f t="shared" si="12"/>
        <v>--</v>
      </c>
      <c r="Z41" s="370" t="str">
        <f t="shared" si="13"/>
        <v>--</v>
      </c>
      <c r="AA41" s="376" t="str">
        <f t="shared" si="14"/>
        <v>--</v>
      </c>
      <c r="AB41" s="25">
        <f t="shared" si="16"/>
      </c>
      <c r="AC41" s="62">
        <f t="shared" si="15"/>
      </c>
      <c r="AD41" s="37"/>
    </row>
    <row r="42" spans="1:30" s="10" customFormat="1" ht="16.5" customHeight="1">
      <c r="A42" s="168"/>
      <c r="B42" s="174"/>
      <c r="C42" s="518"/>
      <c r="D42" s="518"/>
      <c r="E42" s="518"/>
      <c r="F42" s="497"/>
      <c r="G42" s="496"/>
      <c r="H42" s="519"/>
      <c r="I42" s="520"/>
      <c r="J42" s="266">
        <f t="shared" si="0"/>
        <v>0</v>
      </c>
      <c r="K42" s="522"/>
      <c r="L42" s="522"/>
      <c r="M42" s="26">
        <f t="shared" si="1"/>
      </c>
      <c r="N42" s="27">
        <f t="shared" si="2"/>
      </c>
      <c r="O42" s="523"/>
      <c r="P42" s="25">
        <f t="shared" si="3"/>
      </c>
      <c r="Q42" s="592">
        <f t="shared" si="4"/>
      </c>
      <c r="R42" s="25">
        <f t="shared" si="5"/>
      </c>
      <c r="S42" s="336">
        <f t="shared" si="6"/>
        <v>3</v>
      </c>
      <c r="T42" s="340" t="str">
        <f t="shared" si="7"/>
        <v>--</v>
      </c>
      <c r="U42" s="346" t="str">
        <f t="shared" si="8"/>
        <v>--</v>
      </c>
      <c r="V42" s="355" t="str">
        <f t="shared" si="9"/>
        <v>--</v>
      </c>
      <c r="W42" s="356" t="str">
        <f t="shared" si="10"/>
        <v>--</v>
      </c>
      <c r="X42" s="364" t="str">
        <f t="shared" si="11"/>
        <v>--</v>
      </c>
      <c r="Y42" s="365" t="str">
        <f t="shared" si="12"/>
        <v>--</v>
      </c>
      <c r="Z42" s="370" t="str">
        <f t="shared" si="13"/>
        <v>--</v>
      </c>
      <c r="AA42" s="376" t="str">
        <f t="shared" si="14"/>
        <v>--</v>
      </c>
      <c r="AB42" s="25">
        <f t="shared" si="16"/>
      </c>
      <c r="AC42" s="62">
        <f t="shared" si="15"/>
      </c>
      <c r="AD42" s="37"/>
    </row>
    <row r="43" spans="1:30" s="10" customFormat="1" ht="16.5" customHeight="1">
      <c r="A43" s="168"/>
      <c r="B43" s="174"/>
      <c r="C43" s="518"/>
      <c r="D43" s="518"/>
      <c r="E43" s="518"/>
      <c r="F43" s="497"/>
      <c r="G43" s="496"/>
      <c r="H43" s="519"/>
      <c r="I43" s="520"/>
      <c r="J43" s="266">
        <f t="shared" si="0"/>
        <v>0</v>
      </c>
      <c r="K43" s="522"/>
      <c r="L43" s="522"/>
      <c r="M43" s="26">
        <f t="shared" si="1"/>
      </c>
      <c r="N43" s="27">
        <f t="shared" si="2"/>
      </c>
      <c r="O43" s="523"/>
      <c r="P43" s="25">
        <f t="shared" si="3"/>
      </c>
      <c r="Q43" s="592">
        <f t="shared" si="4"/>
      </c>
      <c r="R43" s="25">
        <f t="shared" si="5"/>
      </c>
      <c r="S43" s="336">
        <f t="shared" si="6"/>
        <v>3</v>
      </c>
      <c r="T43" s="340" t="str">
        <f t="shared" si="7"/>
        <v>--</v>
      </c>
      <c r="U43" s="346" t="str">
        <f t="shared" si="8"/>
        <v>--</v>
      </c>
      <c r="V43" s="355" t="str">
        <f t="shared" si="9"/>
        <v>--</v>
      </c>
      <c r="W43" s="356" t="str">
        <f t="shared" si="10"/>
        <v>--</v>
      </c>
      <c r="X43" s="364" t="str">
        <f t="shared" si="11"/>
        <v>--</v>
      </c>
      <c r="Y43" s="365" t="str">
        <f t="shared" si="12"/>
        <v>--</v>
      </c>
      <c r="Z43" s="370" t="str">
        <f t="shared" si="13"/>
        <v>--</v>
      </c>
      <c r="AA43" s="376" t="str">
        <f t="shared" si="14"/>
        <v>--</v>
      </c>
      <c r="AB43" s="25">
        <f t="shared" si="16"/>
      </c>
      <c r="AC43" s="62">
        <f t="shared" si="15"/>
      </c>
      <c r="AD43" s="37"/>
    </row>
    <row r="44" spans="1:30" s="10" customFormat="1" ht="16.5" customHeight="1" thickBot="1">
      <c r="A44" s="168"/>
      <c r="B44" s="174"/>
      <c r="C44" s="521"/>
      <c r="D44" s="521"/>
      <c r="E44" s="521"/>
      <c r="F44" s="521"/>
      <c r="G44" s="521"/>
      <c r="H44" s="521"/>
      <c r="I44" s="521"/>
      <c r="J44" s="270"/>
      <c r="K44" s="521"/>
      <c r="L44" s="521"/>
      <c r="M44" s="29"/>
      <c r="N44" s="29"/>
      <c r="O44" s="521"/>
      <c r="P44" s="521"/>
      <c r="Q44" s="521"/>
      <c r="R44" s="521"/>
      <c r="S44" s="337"/>
      <c r="T44" s="341"/>
      <c r="U44" s="347"/>
      <c r="V44" s="379"/>
      <c r="W44" s="380"/>
      <c r="X44" s="381"/>
      <c r="Y44" s="382"/>
      <c r="Z44" s="371"/>
      <c r="AA44" s="377"/>
      <c r="AB44" s="29"/>
      <c r="AC44" s="213"/>
      <c r="AD44" s="37"/>
    </row>
    <row r="45" spans="1:30" s="10" customFormat="1" ht="16.5" customHeight="1" thickBot="1" thickTop="1">
      <c r="A45" s="168"/>
      <c r="B45" s="174"/>
      <c r="C45" s="609" t="s">
        <v>247</v>
      </c>
      <c r="D45" s="608" t="s">
        <v>246</v>
      </c>
      <c r="E45" s="576"/>
      <c r="F45" s="2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2">
        <f aca="true" t="shared" si="17" ref="T45:AA45">SUM(T22:T44)</f>
        <v>185.852025</v>
      </c>
      <c r="U45" s="348">
        <f t="shared" si="17"/>
        <v>0</v>
      </c>
      <c r="V45" s="357">
        <f t="shared" si="17"/>
        <v>220.275</v>
      </c>
      <c r="W45" s="357">
        <f t="shared" si="17"/>
        <v>153.792</v>
      </c>
      <c r="X45" s="366">
        <f t="shared" si="17"/>
        <v>0</v>
      </c>
      <c r="Y45" s="366">
        <f t="shared" si="17"/>
        <v>0</v>
      </c>
      <c r="Z45" s="372">
        <f t="shared" si="17"/>
        <v>0</v>
      </c>
      <c r="AA45" s="378">
        <f t="shared" si="17"/>
        <v>0</v>
      </c>
      <c r="AB45" s="31"/>
      <c r="AC45" s="254">
        <f>ROUND(SUM(AC22:AC44),2)</f>
        <v>559.92</v>
      </c>
      <c r="AD45" s="37"/>
    </row>
    <row r="46" spans="1:30" s="256" customFormat="1" ht="9.75" thickTop="1">
      <c r="A46" s="257"/>
      <c r="B46" s="258"/>
      <c r="C46" s="240"/>
      <c r="D46" s="240"/>
      <c r="E46" s="240"/>
      <c r="F46" s="241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60"/>
      <c r="U46" s="260"/>
      <c r="V46" s="260"/>
      <c r="W46" s="260"/>
      <c r="X46" s="260"/>
      <c r="Y46" s="260"/>
      <c r="Z46" s="260"/>
      <c r="AA46" s="260"/>
      <c r="AB46" s="259"/>
      <c r="AC46" s="261"/>
      <c r="AD46" s="262"/>
    </row>
    <row r="47" spans="1:30" s="10" customFormat="1" ht="16.5" customHeight="1" thickBot="1">
      <c r="A47" s="168"/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3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2" right="0.36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zoomScale="70" zoomScaleNormal="70" zoomScalePageLayoutView="0" workbookViewId="0" topLeftCell="A1">
      <selection activeCell="F50" sqref="F50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2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8" customFormat="1" ht="26.25">
      <c r="W1" s="402"/>
    </row>
    <row r="2" spans="2:23" s="108" customFormat="1" ht="26.25">
      <c r="B2" s="109" t="str">
        <f>+'TOT-0812'!B2</f>
        <v>ANEXO II al Memorándum  D.T.E.E.  N°             / 2013</v>
      </c>
      <c r="C2" s="110"/>
      <c r="D2" s="110"/>
      <c r="E2" s="110"/>
      <c r="F2" s="110"/>
      <c r="G2" s="109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="10" customFormat="1" ht="12.75"/>
    <row r="4" spans="1:4" s="111" customFormat="1" ht="11.25">
      <c r="A4" s="578" t="s">
        <v>16</v>
      </c>
      <c r="C4" s="577"/>
      <c r="D4" s="577"/>
    </row>
    <row r="5" spans="1:4" s="111" customFormat="1" ht="11.25">
      <c r="A5" s="578" t="s">
        <v>202</v>
      </c>
      <c r="C5" s="577"/>
      <c r="D5" s="577"/>
    </row>
    <row r="6" s="10" customFormat="1" ht="13.5" thickBot="1"/>
    <row r="7" spans="2:23" s="10" customFormat="1" ht="13.5" thickTop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</row>
    <row r="8" spans="2:23" s="113" customFormat="1" ht="20.25">
      <c r="B8" s="112"/>
      <c r="C8" s="44"/>
      <c r="D8" s="44"/>
      <c r="E8" s="44"/>
      <c r="F8" s="21" t="s">
        <v>31</v>
      </c>
      <c r="P8" s="44"/>
      <c r="Q8" s="44"/>
      <c r="R8" s="44"/>
      <c r="S8" s="44"/>
      <c r="T8" s="44"/>
      <c r="U8" s="44"/>
      <c r="V8" s="44"/>
      <c r="W8" s="114"/>
    </row>
    <row r="9" spans="2:23" s="10" customFormat="1" ht="12.75">
      <c r="B9" s="43"/>
      <c r="C9" s="8"/>
      <c r="D9" s="8"/>
      <c r="E9" s="8"/>
      <c r="F9" s="8"/>
      <c r="G9" s="8"/>
      <c r="H9" s="8"/>
      <c r="I9" s="122"/>
      <c r="J9" s="122"/>
      <c r="K9" s="122"/>
      <c r="L9" s="122"/>
      <c r="M9" s="122"/>
      <c r="P9" s="8"/>
      <c r="Q9" s="8"/>
      <c r="R9" s="8"/>
      <c r="S9" s="8"/>
      <c r="T9" s="8"/>
      <c r="U9" s="8"/>
      <c r="V9" s="8"/>
      <c r="W9" s="11"/>
    </row>
    <row r="10" spans="2:23" s="113" customFormat="1" ht="20.25">
      <c r="B10" s="112"/>
      <c r="C10" s="44"/>
      <c r="D10" s="44"/>
      <c r="E10" s="44"/>
      <c r="F10" s="21" t="s">
        <v>256</v>
      </c>
      <c r="G10" s="21"/>
      <c r="H10" s="44"/>
      <c r="I10" s="21"/>
      <c r="J10" s="21"/>
      <c r="K10" s="21"/>
      <c r="L10" s="21"/>
      <c r="M10" s="21"/>
      <c r="P10" s="44"/>
      <c r="Q10" s="44"/>
      <c r="R10" s="44"/>
      <c r="S10" s="44"/>
      <c r="T10" s="44"/>
      <c r="U10" s="44"/>
      <c r="V10" s="44"/>
      <c r="W10" s="114"/>
    </row>
    <row r="11" spans="2:23" s="10" customFormat="1" ht="12.75">
      <c r="B11" s="43"/>
      <c r="C11" s="8"/>
      <c r="D11" s="8"/>
      <c r="E11" s="8"/>
      <c r="F11" s="124"/>
      <c r="G11" s="122"/>
      <c r="H11" s="8"/>
      <c r="I11" s="122"/>
      <c r="J11" s="122"/>
      <c r="K11" s="122"/>
      <c r="L11" s="122"/>
      <c r="M11" s="122"/>
      <c r="P11" s="8"/>
      <c r="Q11" s="8"/>
      <c r="R11" s="8"/>
      <c r="S11" s="8"/>
      <c r="T11" s="8"/>
      <c r="U11" s="8"/>
      <c r="V11" s="8"/>
      <c r="W11" s="11"/>
    </row>
    <row r="12" spans="2:23" s="120" customFormat="1" ht="19.5">
      <c r="B12" s="86" t="str">
        <f>+'TOT-0812'!B14</f>
        <v>Desde el 01 al 31 de agosto de 2012</v>
      </c>
      <c r="C12" s="116"/>
      <c r="D12" s="116"/>
      <c r="E12" s="116"/>
      <c r="F12" s="116"/>
      <c r="G12" s="116"/>
      <c r="H12" s="85"/>
      <c r="I12" s="116"/>
      <c r="J12" s="117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9"/>
    </row>
    <row r="13" spans="2:23" s="120" customFormat="1" ht="7.5" customHeight="1">
      <c r="B13" s="86"/>
      <c r="C13" s="116"/>
      <c r="D13" s="116"/>
      <c r="E13" s="116"/>
      <c r="F13" s="116"/>
      <c r="G13" s="116"/>
      <c r="H13" s="85"/>
      <c r="I13" s="116"/>
      <c r="J13" s="117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9"/>
    </row>
    <row r="14" spans="2:23" s="10" customFormat="1" ht="7.5" customHeight="1" thickBot="1">
      <c r="B14" s="43"/>
      <c r="C14" s="8"/>
      <c r="D14" s="8"/>
      <c r="E14" s="8"/>
      <c r="I14" s="121"/>
      <c r="K14" s="8"/>
      <c r="L14" s="8"/>
      <c r="M14" s="8"/>
      <c r="N14" s="121"/>
      <c r="O14" s="121"/>
      <c r="P14" s="121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3"/>
      <c r="C15" s="8"/>
      <c r="D15" s="8"/>
      <c r="E15" s="8"/>
      <c r="F15" s="218" t="s">
        <v>66</v>
      </c>
      <c r="G15" s="219">
        <v>14.849</v>
      </c>
      <c r="H15" s="92">
        <f>60*'TOT-0812'!B13</f>
        <v>60</v>
      </c>
      <c r="I15" s="121"/>
      <c r="J15" s="234" t="str">
        <f>IF(H15=60," ",IF(H15=120,"Coeficiente duplicado por tasa de falla &gt;4 Sal. x año/100 km.","REVISAR COEFICIENTE"))</f>
        <v> </v>
      </c>
      <c r="K15" s="8"/>
      <c r="L15" s="8"/>
      <c r="M15" s="8"/>
      <c r="N15" s="121"/>
      <c r="O15" s="121"/>
      <c r="P15" s="121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3"/>
      <c r="C16" s="8"/>
      <c r="D16" s="8"/>
      <c r="E16" s="8"/>
      <c r="F16" s="218" t="s">
        <v>67</v>
      </c>
      <c r="G16" s="219">
        <v>5.938</v>
      </c>
      <c r="H16" s="92">
        <f>50*'TOT-0812'!B13</f>
        <v>50</v>
      </c>
      <c r="J16" s="234" t="str">
        <f>IF(H16=50," ",IF(H16=100,"Coeficiente duplicado por tasa de falla &gt;4 Sal. x año/100 km.","REVISAR COEFICIENTE"))</f>
        <v> </v>
      </c>
      <c r="Q16" s="272"/>
      <c r="S16" s="8"/>
      <c r="T16" s="8"/>
      <c r="U16" s="8"/>
      <c r="V16" s="215"/>
      <c r="W16" s="11"/>
    </row>
    <row r="17" spans="2:23" s="10" customFormat="1" ht="16.5" customHeight="1" thickBot="1" thickTop="1">
      <c r="B17" s="43"/>
      <c r="C17" s="8"/>
      <c r="D17" s="8"/>
      <c r="E17" s="8"/>
      <c r="F17" s="220" t="s">
        <v>68</v>
      </c>
      <c r="G17" s="221">
        <v>4.456</v>
      </c>
      <c r="H17" s="222">
        <f>25*'TOT-0812'!B13</f>
        <v>25</v>
      </c>
      <c r="J17" s="234" t="str">
        <f>IF(H17=25," ",IF(H17=50,"Coeficiente duplicado por tasa de falla &gt;4 Sal. x año/100 km.","REVISAR COEFICIENTE"))</f>
        <v> </v>
      </c>
      <c r="K17" s="166"/>
      <c r="L17" s="166"/>
      <c r="M17" s="8"/>
      <c r="P17" s="216"/>
      <c r="Q17" s="217"/>
      <c r="R17" s="36"/>
      <c r="S17" s="8"/>
      <c r="T17" s="8"/>
      <c r="U17" s="8"/>
      <c r="V17" s="215"/>
      <c r="W17" s="11"/>
    </row>
    <row r="18" spans="2:23" s="10" customFormat="1" ht="16.5" customHeight="1" thickBot="1" thickTop="1">
      <c r="B18" s="43"/>
      <c r="C18" s="8"/>
      <c r="D18" s="8"/>
      <c r="E18" s="8"/>
      <c r="F18" s="223" t="s">
        <v>69</v>
      </c>
      <c r="G18" s="221">
        <v>4.456</v>
      </c>
      <c r="H18" s="224">
        <f>20*'TOT-0812'!B13</f>
        <v>20</v>
      </c>
      <c r="J18" s="234" t="str">
        <f>IF(H18=20," ",IF(H18=40,"Coeficiente duplicado por tasa de falla &gt;4 Sal. x año/100 km.","REVISAR COEFICIENTE"))</f>
        <v> </v>
      </c>
      <c r="K18" s="166"/>
      <c r="L18" s="166"/>
      <c r="M18" s="8"/>
      <c r="P18" s="216"/>
      <c r="Q18" s="217"/>
      <c r="R18" s="36"/>
      <c r="S18" s="8"/>
      <c r="T18" s="8"/>
      <c r="U18" s="8"/>
      <c r="V18" s="215"/>
      <c r="W18" s="11"/>
    </row>
    <row r="19" spans="2:23" s="10" customFormat="1" ht="7.5" customHeight="1" thickTop="1">
      <c r="B19" s="43"/>
      <c r="C19" s="8"/>
      <c r="D19" s="8"/>
      <c r="E19" s="8"/>
      <c r="F19" s="97"/>
      <c r="G19" s="555"/>
      <c r="H19" s="556"/>
      <c r="J19" s="234"/>
      <c r="K19" s="166"/>
      <c r="L19" s="166"/>
      <c r="M19" s="8"/>
      <c r="P19" s="216"/>
      <c r="Q19" s="217"/>
      <c r="R19" s="36"/>
      <c r="S19" s="8"/>
      <c r="T19" s="8"/>
      <c r="U19" s="8"/>
      <c r="V19" s="215"/>
      <c r="W19" s="11"/>
    </row>
    <row r="20" spans="2:23" s="600" customFormat="1" ht="15" customHeight="1" thickBot="1">
      <c r="B20" s="597"/>
      <c r="C20" s="596">
        <v>3</v>
      </c>
      <c r="D20" s="596">
        <v>4</v>
      </c>
      <c r="E20" s="596">
        <v>5</v>
      </c>
      <c r="F20" s="596">
        <v>6</v>
      </c>
      <c r="G20" s="596">
        <v>7</v>
      </c>
      <c r="H20" s="596">
        <v>8</v>
      </c>
      <c r="I20" s="596">
        <v>9</v>
      </c>
      <c r="J20" s="596">
        <v>10</v>
      </c>
      <c r="K20" s="596">
        <v>11</v>
      </c>
      <c r="L20" s="596">
        <v>12</v>
      </c>
      <c r="M20" s="596">
        <v>13</v>
      </c>
      <c r="N20" s="596">
        <v>14</v>
      </c>
      <c r="O20" s="596">
        <v>15</v>
      </c>
      <c r="P20" s="596">
        <v>16</v>
      </c>
      <c r="Q20" s="596">
        <v>17</v>
      </c>
      <c r="R20" s="596">
        <v>18</v>
      </c>
      <c r="S20" s="596">
        <v>19</v>
      </c>
      <c r="T20" s="596">
        <v>20</v>
      </c>
      <c r="U20" s="596">
        <v>21</v>
      </c>
      <c r="V20" s="596">
        <v>22</v>
      </c>
      <c r="W20" s="599"/>
    </row>
    <row r="21" spans="2:23" s="10" customFormat="1" ht="33.75" customHeight="1" thickBot="1" thickTop="1">
      <c r="B21" s="43"/>
      <c r="C21" s="211" t="s">
        <v>35</v>
      </c>
      <c r="D21" s="100" t="s">
        <v>201</v>
      </c>
      <c r="E21" s="100" t="s">
        <v>200</v>
      </c>
      <c r="F21" s="209" t="s">
        <v>55</v>
      </c>
      <c r="G21" s="225" t="s">
        <v>14</v>
      </c>
      <c r="H21" s="228" t="s">
        <v>36</v>
      </c>
      <c r="I21" s="263" t="s">
        <v>38</v>
      </c>
      <c r="J21" s="205" t="s">
        <v>39</v>
      </c>
      <c r="K21" s="225" t="s">
        <v>40</v>
      </c>
      <c r="L21" s="227" t="s">
        <v>59</v>
      </c>
      <c r="M21" s="227" t="s">
        <v>60</v>
      </c>
      <c r="N21" s="104" t="s">
        <v>43</v>
      </c>
      <c r="O21" s="210" t="s">
        <v>61</v>
      </c>
      <c r="P21" s="384" t="s">
        <v>70</v>
      </c>
      <c r="Q21" s="318" t="s">
        <v>45</v>
      </c>
      <c r="R21" s="358" t="s">
        <v>65</v>
      </c>
      <c r="S21" s="359"/>
      <c r="T21" s="394" t="s">
        <v>49</v>
      </c>
      <c r="U21" s="207" t="s">
        <v>51</v>
      </c>
      <c r="V21" s="207" t="s">
        <v>52</v>
      </c>
      <c r="W21" s="37"/>
    </row>
    <row r="22" spans="2:23" s="10" customFormat="1" ht="16.5" customHeight="1" thickTop="1">
      <c r="B22" s="43"/>
      <c r="C22" s="20"/>
      <c r="D22" s="18"/>
      <c r="E22" s="18"/>
      <c r="F22" s="32"/>
      <c r="G22" s="32"/>
      <c r="H22" s="12"/>
      <c r="I22" s="271"/>
      <c r="J22" s="33"/>
      <c r="K22" s="34"/>
      <c r="L22" s="35"/>
      <c r="M22" s="63"/>
      <c r="N22" s="386"/>
      <c r="O22" s="386"/>
      <c r="P22" s="387"/>
      <c r="Q22" s="389"/>
      <c r="R22" s="391"/>
      <c r="S22" s="392"/>
      <c r="T22" s="395"/>
      <c r="U22" s="393"/>
      <c r="V22" s="388"/>
      <c r="W22" s="37"/>
    </row>
    <row r="23" spans="2:23" s="10" customFormat="1" ht="16.5" customHeight="1">
      <c r="B23" s="43"/>
      <c r="C23" s="20"/>
      <c r="D23" s="18"/>
      <c r="E23" s="18"/>
      <c r="F23" s="32"/>
      <c r="G23" s="32"/>
      <c r="H23" s="12"/>
      <c r="I23" s="271"/>
      <c r="J23" s="33"/>
      <c r="K23" s="34"/>
      <c r="L23" s="35"/>
      <c r="M23" s="63"/>
      <c r="N23" s="28"/>
      <c r="O23" s="28"/>
      <c r="P23" s="385"/>
      <c r="Q23" s="390"/>
      <c r="R23" s="364"/>
      <c r="S23" s="365"/>
      <c r="T23" s="396"/>
      <c r="U23" s="25"/>
      <c r="V23" s="226"/>
      <c r="W23" s="37"/>
    </row>
    <row r="24" spans="2:23" s="10" customFormat="1" ht="16.5" customHeight="1">
      <c r="B24" s="43"/>
      <c r="C24" s="527">
        <v>11</v>
      </c>
      <c r="D24" s="518">
        <v>250240</v>
      </c>
      <c r="E24" s="518">
        <v>1755</v>
      </c>
      <c r="F24" s="518" t="s">
        <v>232</v>
      </c>
      <c r="G24" s="518" t="s">
        <v>233</v>
      </c>
      <c r="H24" s="607">
        <v>33</v>
      </c>
      <c r="I24" s="271">
        <f aca="true" t="shared" si="0" ref="I24:I43">IF(H24=330,$G$15,IF(AND(H24&lt;=132,H24&gt;=66),$G$16,IF(AND(H24&lt;66,H24&gt;=33),$G$17,$G$18)))</f>
        <v>4.456</v>
      </c>
      <c r="J24" s="529">
        <v>41122.56041666667</v>
      </c>
      <c r="K24" s="530">
        <v>41122.61041666667</v>
      </c>
      <c r="L24" s="35">
        <f aca="true" t="shared" si="1" ref="L24:L43">IF(F24="","",(K24-J24)*24)</f>
        <v>1.2000000000698492</v>
      </c>
      <c r="M24" s="63">
        <f aca="true" t="shared" si="2" ref="M24:M43">IF(F24="","",ROUND((K24-J24)*24*60,0))</f>
        <v>72</v>
      </c>
      <c r="N24" s="531" t="s">
        <v>222</v>
      </c>
      <c r="O24" s="28" t="str">
        <f aca="true" t="shared" si="3" ref="O24:O43">IF(F24="","",IF(N24="P","--","NO"))</f>
        <v>NO</v>
      </c>
      <c r="P24" s="385">
        <f aca="true" t="shared" si="4" ref="P24:P43">IF(H24=330,$H$15,IF(AND(H24&lt;=132,H24&gt;=66),$H$16,IF(AND(H24&lt;66,H24&gt;13.2),$H$17,$H$18)))</f>
        <v>25</v>
      </c>
      <c r="Q24" s="593" t="str">
        <f aca="true" t="shared" si="5" ref="Q24:Q43">IF(N24="P",I24*P24*ROUND(M24/60,2)*0.1,"--")</f>
        <v>--</v>
      </c>
      <c r="R24" s="364">
        <f aca="true" t="shared" si="6" ref="R24:R43">IF(AND(N24="F",O24="NO"),I24*P24,"--")</f>
        <v>111.4</v>
      </c>
      <c r="S24" s="365">
        <f aca="true" t="shared" si="7" ref="S24:S43">IF(N24="F",I24*P24*ROUND(M24/60,2),"--")</f>
        <v>133.68</v>
      </c>
      <c r="T24" s="396" t="str">
        <f aca="true" t="shared" si="8" ref="T24:T43">IF(N24="RF",I24*P24*ROUND(M24/60,2),"--")</f>
        <v>--</v>
      </c>
      <c r="U24" s="25" t="str">
        <f aca="true" t="shared" si="9" ref="U24:U43">IF(F24="","","SI")</f>
        <v>SI</v>
      </c>
      <c r="V24" s="64">
        <f aca="true" t="shared" si="10" ref="V24:V43">IF(F24="","",SUM(Q24:T24)*IF(U24="SI",1,2)*IF(H24="500/220",0,1))</f>
        <v>245.08</v>
      </c>
      <c r="W24" s="37"/>
    </row>
    <row r="25" spans="2:23" s="10" customFormat="1" ht="16.5" customHeight="1">
      <c r="B25" s="43"/>
      <c r="C25" s="527">
        <v>12</v>
      </c>
      <c r="D25" s="518">
        <v>250684</v>
      </c>
      <c r="E25" s="518">
        <v>1774</v>
      </c>
      <c r="F25" s="518" t="s">
        <v>13</v>
      </c>
      <c r="G25" s="518" t="s">
        <v>234</v>
      </c>
      <c r="H25" s="607">
        <v>13.2</v>
      </c>
      <c r="I25" s="271">
        <f t="shared" si="0"/>
        <v>4.456</v>
      </c>
      <c r="J25" s="529">
        <v>41135.60555555556</v>
      </c>
      <c r="K25" s="530">
        <v>41135.82083333333</v>
      </c>
      <c r="L25" s="35">
        <f t="shared" si="1"/>
        <v>5.166666666569654</v>
      </c>
      <c r="M25" s="63">
        <f t="shared" si="2"/>
        <v>310</v>
      </c>
      <c r="N25" s="531" t="s">
        <v>226</v>
      </c>
      <c r="O25" s="28" t="str">
        <f t="shared" si="3"/>
        <v>--</v>
      </c>
      <c r="P25" s="385">
        <f t="shared" si="4"/>
        <v>20</v>
      </c>
      <c r="Q25" s="593">
        <f t="shared" si="5"/>
        <v>46.07504</v>
      </c>
      <c r="R25" s="364" t="str">
        <f t="shared" si="6"/>
        <v>--</v>
      </c>
      <c r="S25" s="365" t="str">
        <f t="shared" si="7"/>
        <v>--</v>
      </c>
      <c r="T25" s="396" t="str">
        <f t="shared" si="8"/>
        <v>--</v>
      </c>
      <c r="U25" s="25" t="str">
        <f t="shared" si="9"/>
        <v>SI</v>
      </c>
      <c r="V25" s="64">
        <f t="shared" si="10"/>
        <v>46.07504</v>
      </c>
      <c r="W25" s="37"/>
    </row>
    <row r="26" spans="2:23" s="10" customFormat="1" ht="16.5" customHeight="1">
      <c r="B26" s="43"/>
      <c r="C26" s="527">
        <v>13</v>
      </c>
      <c r="D26" s="518">
        <v>250685</v>
      </c>
      <c r="E26" s="518">
        <v>1773</v>
      </c>
      <c r="F26" s="518" t="s">
        <v>13</v>
      </c>
      <c r="G26" s="518" t="s">
        <v>235</v>
      </c>
      <c r="H26" s="607">
        <v>13.2</v>
      </c>
      <c r="I26" s="271">
        <f t="shared" si="0"/>
        <v>4.456</v>
      </c>
      <c r="J26" s="529">
        <v>41136.35</v>
      </c>
      <c r="K26" s="530">
        <v>41136.509722222225</v>
      </c>
      <c r="L26" s="35">
        <f t="shared" si="1"/>
        <v>3.833333333430346</v>
      </c>
      <c r="M26" s="63">
        <f t="shared" si="2"/>
        <v>230</v>
      </c>
      <c r="N26" s="531" t="s">
        <v>226</v>
      </c>
      <c r="O26" s="28" t="str">
        <f t="shared" si="3"/>
        <v>--</v>
      </c>
      <c r="P26" s="385">
        <f t="shared" si="4"/>
        <v>20</v>
      </c>
      <c r="Q26" s="593">
        <f t="shared" si="5"/>
        <v>34.132960000000004</v>
      </c>
      <c r="R26" s="364" t="str">
        <f t="shared" si="6"/>
        <v>--</v>
      </c>
      <c r="S26" s="365" t="str">
        <f t="shared" si="7"/>
        <v>--</v>
      </c>
      <c r="T26" s="396" t="str">
        <f t="shared" si="8"/>
        <v>--</v>
      </c>
      <c r="U26" s="25" t="str">
        <f t="shared" si="9"/>
        <v>SI</v>
      </c>
      <c r="V26" s="64">
        <f t="shared" si="10"/>
        <v>34.132960000000004</v>
      </c>
      <c r="W26" s="37"/>
    </row>
    <row r="27" spans="2:23" s="10" customFormat="1" ht="16.5" customHeight="1">
      <c r="B27" s="43"/>
      <c r="C27" s="527">
        <v>14</v>
      </c>
      <c r="D27" s="518">
        <v>250686</v>
      </c>
      <c r="E27" s="518">
        <v>1772</v>
      </c>
      <c r="F27" s="518" t="s">
        <v>13</v>
      </c>
      <c r="G27" s="518" t="s">
        <v>236</v>
      </c>
      <c r="H27" s="607">
        <v>13.2</v>
      </c>
      <c r="I27" s="271">
        <f t="shared" si="0"/>
        <v>4.456</v>
      </c>
      <c r="J27" s="529">
        <v>41136.549305555556</v>
      </c>
      <c r="K27" s="530">
        <v>41136.70416666667</v>
      </c>
      <c r="L27" s="35">
        <f t="shared" si="1"/>
        <v>3.7166666667326353</v>
      </c>
      <c r="M27" s="63">
        <f t="shared" si="2"/>
        <v>223</v>
      </c>
      <c r="N27" s="531" t="s">
        <v>226</v>
      </c>
      <c r="O27" s="28" t="str">
        <f t="shared" si="3"/>
        <v>--</v>
      </c>
      <c r="P27" s="385">
        <f t="shared" si="4"/>
        <v>20</v>
      </c>
      <c r="Q27" s="593">
        <f t="shared" si="5"/>
        <v>33.152640000000005</v>
      </c>
      <c r="R27" s="364" t="str">
        <f t="shared" si="6"/>
        <v>--</v>
      </c>
      <c r="S27" s="365" t="str">
        <f t="shared" si="7"/>
        <v>--</v>
      </c>
      <c r="T27" s="396" t="str">
        <f t="shared" si="8"/>
        <v>--</v>
      </c>
      <c r="U27" s="25" t="str">
        <f t="shared" si="9"/>
        <v>SI</v>
      </c>
      <c r="V27" s="64">
        <f t="shared" si="10"/>
        <v>33.152640000000005</v>
      </c>
      <c r="W27" s="37"/>
    </row>
    <row r="28" spans="2:23" s="10" customFormat="1" ht="16.5" customHeight="1">
      <c r="B28" s="43"/>
      <c r="C28" s="527">
        <v>15</v>
      </c>
      <c r="D28" s="518">
        <v>251372</v>
      </c>
      <c r="E28" s="518">
        <v>1750</v>
      </c>
      <c r="F28" s="518" t="s">
        <v>237</v>
      </c>
      <c r="G28" s="518" t="s">
        <v>238</v>
      </c>
      <c r="H28" s="607">
        <v>33</v>
      </c>
      <c r="I28" s="271">
        <f t="shared" si="0"/>
        <v>4.456</v>
      </c>
      <c r="J28" s="529">
        <v>41150.404861111114</v>
      </c>
      <c r="K28" s="530">
        <v>41150.76180555556</v>
      </c>
      <c r="L28" s="35">
        <f t="shared" si="1"/>
        <v>8.566666666651145</v>
      </c>
      <c r="M28" s="63">
        <f t="shared" si="2"/>
        <v>514</v>
      </c>
      <c r="N28" s="531" t="s">
        <v>226</v>
      </c>
      <c r="O28" s="28" t="str">
        <f t="shared" si="3"/>
        <v>--</v>
      </c>
      <c r="P28" s="385">
        <f t="shared" si="4"/>
        <v>25</v>
      </c>
      <c r="Q28" s="593">
        <f t="shared" si="5"/>
        <v>95.46980000000002</v>
      </c>
      <c r="R28" s="364" t="str">
        <f t="shared" si="6"/>
        <v>--</v>
      </c>
      <c r="S28" s="365" t="str">
        <f t="shared" si="7"/>
        <v>--</v>
      </c>
      <c r="T28" s="396" t="str">
        <f t="shared" si="8"/>
        <v>--</v>
      </c>
      <c r="U28" s="25" t="str">
        <f t="shared" si="9"/>
        <v>SI</v>
      </c>
      <c r="V28" s="64">
        <f t="shared" si="10"/>
        <v>95.46980000000002</v>
      </c>
      <c r="W28" s="37"/>
    </row>
    <row r="29" spans="2:23" s="10" customFormat="1" ht="16.5" customHeight="1">
      <c r="B29" s="43"/>
      <c r="C29" s="527">
        <v>16</v>
      </c>
      <c r="D29" s="518">
        <v>251375</v>
      </c>
      <c r="E29" s="518">
        <v>1750</v>
      </c>
      <c r="F29" s="518" t="s">
        <v>237</v>
      </c>
      <c r="G29" s="518" t="s">
        <v>238</v>
      </c>
      <c r="H29" s="607">
        <v>33</v>
      </c>
      <c r="I29" s="271">
        <f t="shared" si="0"/>
        <v>4.456</v>
      </c>
      <c r="J29" s="529">
        <v>41151.47361111111</v>
      </c>
      <c r="K29" s="530">
        <v>41151.50069444445</v>
      </c>
      <c r="L29" s="35">
        <f t="shared" si="1"/>
        <v>0.6500000000232831</v>
      </c>
      <c r="M29" s="63">
        <f t="shared" si="2"/>
        <v>39</v>
      </c>
      <c r="N29" s="531" t="s">
        <v>222</v>
      </c>
      <c r="O29" s="28" t="str">
        <f t="shared" si="3"/>
        <v>NO</v>
      </c>
      <c r="P29" s="385">
        <f t="shared" si="4"/>
        <v>25</v>
      </c>
      <c r="Q29" s="593" t="str">
        <f t="shared" si="5"/>
        <v>--</v>
      </c>
      <c r="R29" s="364">
        <f t="shared" si="6"/>
        <v>111.4</v>
      </c>
      <c r="S29" s="365">
        <f t="shared" si="7"/>
        <v>72.41000000000001</v>
      </c>
      <c r="T29" s="396" t="str">
        <f t="shared" si="8"/>
        <v>--</v>
      </c>
      <c r="U29" s="25" t="str">
        <f t="shared" si="9"/>
        <v>SI</v>
      </c>
      <c r="V29" s="64">
        <f t="shared" si="10"/>
        <v>183.81</v>
      </c>
      <c r="W29" s="37"/>
    </row>
    <row r="30" spans="2:23" s="10" customFormat="1" ht="16.5" customHeight="1">
      <c r="B30" s="43"/>
      <c r="C30" s="527"/>
      <c r="D30" s="518"/>
      <c r="E30" s="518"/>
      <c r="F30" s="528"/>
      <c r="G30" s="528"/>
      <c r="H30" s="534"/>
      <c r="I30" s="271">
        <f t="shared" si="0"/>
        <v>4.456</v>
      </c>
      <c r="J30" s="529"/>
      <c r="K30" s="530"/>
      <c r="L30" s="35">
        <f t="shared" si="1"/>
      </c>
      <c r="M30" s="63">
        <f t="shared" si="2"/>
      </c>
      <c r="N30" s="531"/>
      <c r="O30" s="28">
        <f t="shared" si="3"/>
      </c>
      <c r="P30" s="385">
        <f t="shared" si="4"/>
        <v>20</v>
      </c>
      <c r="Q30" s="593" t="str">
        <f t="shared" si="5"/>
        <v>--</v>
      </c>
      <c r="R30" s="364" t="str">
        <f t="shared" si="6"/>
        <v>--</v>
      </c>
      <c r="S30" s="365" t="str">
        <f t="shared" si="7"/>
        <v>--</v>
      </c>
      <c r="T30" s="396" t="str">
        <f t="shared" si="8"/>
        <v>--</v>
      </c>
      <c r="U30" s="25">
        <f t="shared" si="9"/>
      </c>
      <c r="V30" s="64">
        <f t="shared" si="10"/>
      </c>
      <c r="W30" s="37"/>
    </row>
    <row r="31" spans="2:23" s="10" customFormat="1" ht="16.5" customHeight="1">
      <c r="B31" s="43"/>
      <c r="C31" s="527"/>
      <c r="D31" s="518"/>
      <c r="E31" s="518"/>
      <c r="F31" s="528"/>
      <c r="G31" s="528"/>
      <c r="H31" s="534"/>
      <c r="I31" s="271">
        <f t="shared" si="0"/>
        <v>4.456</v>
      </c>
      <c r="J31" s="529"/>
      <c r="K31" s="530"/>
      <c r="L31" s="35">
        <f t="shared" si="1"/>
      </c>
      <c r="M31" s="63">
        <f t="shared" si="2"/>
      </c>
      <c r="N31" s="531"/>
      <c r="O31" s="28">
        <f t="shared" si="3"/>
      </c>
      <c r="P31" s="385">
        <f t="shared" si="4"/>
        <v>20</v>
      </c>
      <c r="Q31" s="593" t="str">
        <f t="shared" si="5"/>
        <v>--</v>
      </c>
      <c r="R31" s="364" t="str">
        <f t="shared" si="6"/>
        <v>--</v>
      </c>
      <c r="S31" s="365" t="str">
        <f t="shared" si="7"/>
        <v>--</v>
      </c>
      <c r="T31" s="396" t="str">
        <f t="shared" si="8"/>
        <v>--</v>
      </c>
      <c r="U31" s="25">
        <f t="shared" si="9"/>
      </c>
      <c r="V31" s="64">
        <f t="shared" si="10"/>
      </c>
      <c r="W31" s="37"/>
    </row>
    <row r="32" spans="2:23" s="10" customFormat="1" ht="16.5" customHeight="1">
      <c r="B32" s="43"/>
      <c r="C32" s="527"/>
      <c r="D32" s="518"/>
      <c r="E32" s="518"/>
      <c r="F32" s="528"/>
      <c r="G32" s="528"/>
      <c r="H32" s="534"/>
      <c r="I32" s="271">
        <f t="shared" si="0"/>
        <v>4.456</v>
      </c>
      <c r="J32" s="529"/>
      <c r="K32" s="530"/>
      <c r="L32" s="35">
        <f t="shared" si="1"/>
      </c>
      <c r="M32" s="63">
        <f t="shared" si="2"/>
      </c>
      <c r="N32" s="531"/>
      <c r="O32" s="28">
        <f t="shared" si="3"/>
      </c>
      <c r="P32" s="385">
        <f t="shared" si="4"/>
        <v>20</v>
      </c>
      <c r="Q32" s="593" t="str">
        <f t="shared" si="5"/>
        <v>--</v>
      </c>
      <c r="R32" s="364" t="str">
        <f t="shared" si="6"/>
        <v>--</v>
      </c>
      <c r="S32" s="365" t="str">
        <f t="shared" si="7"/>
        <v>--</v>
      </c>
      <c r="T32" s="396" t="str">
        <f t="shared" si="8"/>
        <v>--</v>
      </c>
      <c r="U32" s="25">
        <f t="shared" si="9"/>
      </c>
      <c r="V32" s="64">
        <f t="shared" si="10"/>
      </c>
      <c r="W32" s="37"/>
    </row>
    <row r="33" spans="2:23" s="10" customFormat="1" ht="16.5" customHeight="1">
      <c r="B33" s="43"/>
      <c r="C33" s="527"/>
      <c r="D33" s="518"/>
      <c r="E33" s="518"/>
      <c r="F33" s="528"/>
      <c r="G33" s="528"/>
      <c r="H33" s="534"/>
      <c r="I33" s="271">
        <f t="shared" si="0"/>
        <v>4.456</v>
      </c>
      <c r="J33" s="529"/>
      <c r="K33" s="530"/>
      <c r="L33" s="35">
        <f t="shared" si="1"/>
      </c>
      <c r="M33" s="63">
        <f t="shared" si="2"/>
      </c>
      <c r="N33" s="531"/>
      <c r="O33" s="28">
        <f t="shared" si="3"/>
      </c>
      <c r="P33" s="385">
        <f t="shared" si="4"/>
        <v>20</v>
      </c>
      <c r="Q33" s="593" t="str">
        <f t="shared" si="5"/>
        <v>--</v>
      </c>
      <c r="R33" s="364" t="str">
        <f t="shared" si="6"/>
        <v>--</v>
      </c>
      <c r="S33" s="365" t="str">
        <f t="shared" si="7"/>
        <v>--</v>
      </c>
      <c r="T33" s="396" t="str">
        <f t="shared" si="8"/>
        <v>--</v>
      </c>
      <c r="U33" s="25">
        <f t="shared" si="9"/>
      </c>
      <c r="V33" s="64">
        <f t="shared" si="10"/>
      </c>
      <c r="W33" s="37"/>
    </row>
    <row r="34" spans="2:23" s="10" customFormat="1" ht="16.5" customHeight="1">
      <c r="B34" s="43"/>
      <c r="C34" s="527"/>
      <c r="D34" s="518"/>
      <c r="E34" s="518"/>
      <c r="F34" s="528"/>
      <c r="G34" s="528"/>
      <c r="H34" s="534"/>
      <c r="I34" s="271">
        <f t="shared" si="0"/>
        <v>4.456</v>
      </c>
      <c r="J34" s="529"/>
      <c r="K34" s="530"/>
      <c r="L34" s="35">
        <f t="shared" si="1"/>
      </c>
      <c r="M34" s="63">
        <f t="shared" si="2"/>
      </c>
      <c r="N34" s="531"/>
      <c r="O34" s="28">
        <f t="shared" si="3"/>
      </c>
      <c r="P34" s="385">
        <f t="shared" si="4"/>
        <v>20</v>
      </c>
      <c r="Q34" s="593" t="str">
        <f t="shared" si="5"/>
        <v>--</v>
      </c>
      <c r="R34" s="364" t="str">
        <f t="shared" si="6"/>
        <v>--</v>
      </c>
      <c r="S34" s="365" t="str">
        <f t="shared" si="7"/>
        <v>--</v>
      </c>
      <c r="T34" s="396" t="str">
        <f t="shared" si="8"/>
        <v>--</v>
      </c>
      <c r="U34" s="25">
        <f t="shared" si="9"/>
      </c>
      <c r="V34" s="64">
        <f t="shared" si="10"/>
      </c>
      <c r="W34" s="37"/>
    </row>
    <row r="35" spans="2:23" s="10" customFormat="1" ht="16.5" customHeight="1">
      <c r="B35" s="43"/>
      <c r="C35" s="527"/>
      <c r="D35" s="518"/>
      <c r="E35" s="518"/>
      <c r="F35" s="528"/>
      <c r="G35" s="528"/>
      <c r="H35" s="534"/>
      <c r="I35" s="271">
        <f t="shared" si="0"/>
        <v>4.456</v>
      </c>
      <c r="J35" s="529"/>
      <c r="K35" s="530"/>
      <c r="L35" s="35">
        <f t="shared" si="1"/>
      </c>
      <c r="M35" s="63">
        <f t="shared" si="2"/>
      </c>
      <c r="N35" s="531"/>
      <c r="O35" s="28">
        <f t="shared" si="3"/>
      </c>
      <c r="P35" s="385">
        <f t="shared" si="4"/>
        <v>20</v>
      </c>
      <c r="Q35" s="593" t="str">
        <f t="shared" si="5"/>
        <v>--</v>
      </c>
      <c r="R35" s="364" t="str">
        <f t="shared" si="6"/>
        <v>--</v>
      </c>
      <c r="S35" s="365" t="str">
        <f t="shared" si="7"/>
        <v>--</v>
      </c>
      <c r="T35" s="396" t="str">
        <f t="shared" si="8"/>
        <v>--</v>
      </c>
      <c r="U35" s="25">
        <f t="shared" si="9"/>
      </c>
      <c r="V35" s="64">
        <f t="shared" si="10"/>
      </c>
      <c r="W35" s="37"/>
    </row>
    <row r="36" spans="2:23" s="10" customFormat="1" ht="16.5" customHeight="1">
      <c r="B36" s="43"/>
      <c r="C36" s="527"/>
      <c r="D36" s="518"/>
      <c r="E36" s="518"/>
      <c r="F36" s="528"/>
      <c r="G36" s="528"/>
      <c r="H36" s="534"/>
      <c r="I36" s="271">
        <f t="shared" si="0"/>
        <v>4.456</v>
      </c>
      <c r="J36" s="529"/>
      <c r="K36" s="530"/>
      <c r="L36" s="35">
        <f t="shared" si="1"/>
      </c>
      <c r="M36" s="63">
        <f t="shared" si="2"/>
      </c>
      <c r="N36" s="531"/>
      <c r="O36" s="28">
        <f t="shared" si="3"/>
      </c>
      <c r="P36" s="385">
        <f t="shared" si="4"/>
        <v>20</v>
      </c>
      <c r="Q36" s="593" t="str">
        <f t="shared" si="5"/>
        <v>--</v>
      </c>
      <c r="R36" s="364" t="str">
        <f t="shared" si="6"/>
        <v>--</v>
      </c>
      <c r="S36" s="365" t="str">
        <f t="shared" si="7"/>
        <v>--</v>
      </c>
      <c r="T36" s="396" t="str">
        <f t="shared" si="8"/>
        <v>--</v>
      </c>
      <c r="U36" s="25">
        <f t="shared" si="9"/>
      </c>
      <c r="V36" s="64">
        <f t="shared" si="10"/>
      </c>
      <c r="W36" s="37"/>
    </row>
    <row r="37" spans="2:23" s="10" customFormat="1" ht="16.5" customHeight="1">
      <c r="B37" s="43"/>
      <c r="C37" s="527"/>
      <c r="D37" s="518"/>
      <c r="E37" s="518"/>
      <c r="F37" s="528"/>
      <c r="G37" s="528"/>
      <c r="H37" s="534"/>
      <c r="I37" s="271">
        <f t="shared" si="0"/>
        <v>4.456</v>
      </c>
      <c r="J37" s="529"/>
      <c r="K37" s="530"/>
      <c r="L37" s="35">
        <f t="shared" si="1"/>
      </c>
      <c r="M37" s="63">
        <f t="shared" si="2"/>
      </c>
      <c r="N37" s="531"/>
      <c r="O37" s="28">
        <f t="shared" si="3"/>
      </c>
      <c r="P37" s="385">
        <f t="shared" si="4"/>
        <v>20</v>
      </c>
      <c r="Q37" s="593" t="str">
        <f t="shared" si="5"/>
        <v>--</v>
      </c>
      <c r="R37" s="364" t="str">
        <f t="shared" si="6"/>
        <v>--</v>
      </c>
      <c r="S37" s="365" t="str">
        <f t="shared" si="7"/>
        <v>--</v>
      </c>
      <c r="T37" s="396" t="str">
        <f t="shared" si="8"/>
        <v>--</v>
      </c>
      <c r="U37" s="25">
        <f t="shared" si="9"/>
      </c>
      <c r="V37" s="64">
        <f t="shared" si="10"/>
      </c>
      <c r="W37" s="37"/>
    </row>
    <row r="38" spans="2:23" s="10" customFormat="1" ht="16.5" customHeight="1">
      <c r="B38" s="43"/>
      <c r="C38" s="527"/>
      <c r="D38" s="518"/>
      <c r="E38" s="518"/>
      <c r="F38" s="528"/>
      <c r="G38" s="528"/>
      <c r="H38" s="534"/>
      <c r="I38" s="271">
        <f t="shared" si="0"/>
        <v>4.456</v>
      </c>
      <c r="J38" s="529"/>
      <c r="K38" s="530"/>
      <c r="L38" s="35">
        <f t="shared" si="1"/>
      </c>
      <c r="M38" s="63">
        <f t="shared" si="2"/>
      </c>
      <c r="N38" s="531"/>
      <c r="O38" s="28">
        <f t="shared" si="3"/>
      </c>
      <c r="P38" s="385">
        <f t="shared" si="4"/>
        <v>20</v>
      </c>
      <c r="Q38" s="593" t="str">
        <f t="shared" si="5"/>
        <v>--</v>
      </c>
      <c r="R38" s="364" t="str">
        <f t="shared" si="6"/>
        <v>--</v>
      </c>
      <c r="S38" s="365" t="str">
        <f t="shared" si="7"/>
        <v>--</v>
      </c>
      <c r="T38" s="396" t="str">
        <f t="shared" si="8"/>
        <v>--</v>
      </c>
      <c r="U38" s="25">
        <f t="shared" si="9"/>
      </c>
      <c r="V38" s="64">
        <f t="shared" si="10"/>
      </c>
      <c r="W38" s="37"/>
    </row>
    <row r="39" spans="2:23" s="10" customFormat="1" ht="16.5" customHeight="1">
      <c r="B39" s="43"/>
      <c r="C39" s="527"/>
      <c r="D39" s="518"/>
      <c r="E39" s="518"/>
      <c r="F39" s="528"/>
      <c r="G39" s="528"/>
      <c r="H39" s="534"/>
      <c r="I39" s="271">
        <f t="shared" si="0"/>
        <v>4.456</v>
      </c>
      <c r="J39" s="529"/>
      <c r="K39" s="530"/>
      <c r="L39" s="35">
        <f t="shared" si="1"/>
      </c>
      <c r="M39" s="63">
        <f t="shared" si="2"/>
      </c>
      <c r="N39" s="531"/>
      <c r="O39" s="28">
        <f t="shared" si="3"/>
      </c>
      <c r="P39" s="385">
        <f t="shared" si="4"/>
        <v>20</v>
      </c>
      <c r="Q39" s="593" t="str">
        <f t="shared" si="5"/>
        <v>--</v>
      </c>
      <c r="R39" s="364" t="str">
        <f t="shared" si="6"/>
        <v>--</v>
      </c>
      <c r="S39" s="365" t="str">
        <f t="shared" si="7"/>
        <v>--</v>
      </c>
      <c r="T39" s="396" t="str">
        <f t="shared" si="8"/>
        <v>--</v>
      </c>
      <c r="U39" s="25">
        <f t="shared" si="9"/>
      </c>
      <c r="V39" s="64">
        <f t="shared" si="10"/>
      </c>
      <c r="W39" s="37"/>
    </row>
    <row r="40" spans="2:23" s="10" customFormat="1" ht="16.5" customHeight="1">
      <c r="B40" s="43"/>
      <c r="C40" s="527"/>
      <c r="D40" s="518"/>
      <c r="E40" s="518"/>
      <c r="F40" s="528"/>
      <c r="G40" s="528"/>
      <c r="H40" s="534"/>
      <c r="I40" s="271">
        <f t="shared" si="0"/>
        <v>4.456</v>
      </c>
      <c r="J40" s="529"/>
      <c r="K40" s="530"/>
      <c r="L40" s="35">
        <f t="shared" si="1"/>
      </c>
      <c r="M40" s="63">
        <f t="shared" si="2"/>
      </c>
      <c r="N40" s="531"/>
      <c r="O40" s="28">
        <f t="shared" si="3"/>
      </c>
      <c r="P40" s="385">
        <f t="shared" si="4"/>
        <v>20</v>
      </c>
      <c r="Q40" s="593" t="str">
        <f t="shared" si="5"/>
        <v>--</v>
      </c>
      <c r="R40" s="364" t="str">
        <f t="shared" si="6"/>
        <v>--</v>
      </c>
      <c r="S40" s="365" t="str">
        <f t="shared" si="7"/>
        <v>--</v>
      </c>
      <c r="T40" s="396" t="str">
        <f t="shared" si="8"/>
        <v>--</v>
      </c>
      <c r="U40" s="25">
        <f t="shared" si="9"/>
      </c>
      <c r="V40" s="64">
        <f t="shared" si="10"/>
      </c>
      <c r="W40" s="37"/>
    </row>
    <row r="41" spans="2:23" s="10" customFormat="1" ht="16.5" customHeight="1">
      <c r="B41" s="43"/>
      <c r="C41" s="527"/>
      <c r="D41" s="518"/>
      <c r="E41" s="518"/>
      <c r="F41" s="528"/>
      <c r="G41" s="528"/>
      <c r="H41" s="534"/>
      <c r="I41" s="271">
        <f t="shared" si="0"/>
        <v>4.456</v>
      </c>
      <c r="J41" s="529"/>
      <c r="K41" s="530"/>
      <c r="L41" s="35">
        <f t="shared" si="1"/>
      </c>
      <c r="M41" s="63">
        <f t="shared" si="2"/>
      </c>
      <c r="N41" s="531"/>
      <c r="O41" s="28">
        <f t="shared" si="3"/>
      </c>
      <c r="P41" s="385">
        <f t="shared" si="4"/>
        <v>20</v>
      </c>
      <c r="Q41" s="593" t="str">
        <f t="shared" si="5"/>
        <v>--</v>
      </c>
      <c r="R41" s="364" t="str">
        <f t="shared" si="6"/>
        <v>--</v>
      </c>
      <c r="S41" s="365" t="str">
        <f t="shared" si="7"/>
        <v>--</v>
      </c>
      <c r="T41" s="396" t="str">
        <f t="shared" si="8"/>
        <v>--</v>
      </c>
      <c r="U41" s="25">
        <f t="shared" si="9"/>
      </c>
      <c r="V41" s="64">
        <f t="shared" si="10"/>
      </c>
      <c r="W41" s="37"/>
    </row>
    <row r="42" spans="2:23" s="10" customFormat="1" ht="16.5" customHeight="1">
      <c r="B42" s="43"/>
      <c r="C42" s="527"/>
      <c r="D42" s="518"/>
      <c r="E42" s="518"/>
      <c r="F42" s="528"/>
      <c r="G42" s="528"/>
      <c r="H42" s="534"/>
      <c r="I42" s="271">
        <f t="shared" si="0"/>
        <v>4.456</v>
      </c>
      <c r="J42" s="529"/>
      <c r="K42" s="530"/>
      <c r="L42" s="35">
        <f t="shared" si="1"/>
      </c>
      <c r="M42" s="63">
        <f t="shared" si="2"/>
      </c>
      <c r="N42" s="531"/>
      <c r="O42" s="28">
        <f t="shared" si="3"/>
      </c>
      <c r="P42" s="385">
        <f t="shared" si="4"/>
        <v>20</v>
      </c>
      <c r="Q42" s="593" t="str">
        <f t="shared" si="5"/>
        <v>--</v>
      </c>
      <c r="R42" s="364" t="str">
        <f t="shared" si="6"/>
        <v>--</v>
      </c>
      <c r="S42" s="365" t="str">
        <f t="shared" si="7"/>
        <v>--</v>
      </c>
      <c r="T42" s="396" t="str">
        <f t="shared" si="8"/>
        <v>--</v>
      </c>
      <c r="U42" s="25">
        <f t="shared" si="9"/>
      </c>
      <c r="V42" s="64">
        <f t="shared" si="10"/>
      </c>
      <c r="W42" s="37"/>
    </row>
    <row r="43" spans="2:23" s="10" customFormat="1" ht="16.5" customHeight="1">
      <c r="B43" s="43"/>
      <c r="C43" s="527"/>
      <c r="D43" s="518"/>
      <c r="E43" s="518"/>
      <c r="F43" s="528"/>
      <c r="G43" s="528"/>
      <c r="H43" s="534"/>
      <c r="I43" s="271">
        <f t="shared" si="0"/>
        <v>4.456</v>
      </c>
      <c r="J43" s="529"/>
      <c r="K43" s="530"/>
      <c r="L43" s="35">
        <f t="shared" si="1"/>
      </c>
      <c r="M43" s="63">
        <f t="shared" si="2"/>
      </c>
      <c r="N43" s="531"/>
      <c r="O43" s="28">
        <f t="shared" si="3"/>
      </c>
      <c r="P43" s="385">
        <f t="shared" si="4"/>
        <v>20</v>
      </c>
      <c r="Q43" s="593" t="str">
        <f t="shared" si="5"/>
        <v>--</v>
      </c>
      <c r="R43" s="364" t="str">
        <f t="shared" si="6"/>
        <v>--</v>
      </c>
      <c r="S43" s="365" t="str">
        <f t="shared" si="7"/>
        <v>--</v>
      </c>
      <c r="T43" s="396" t="str">
        <f t="shared" si="8"/>
        <v>--</v>
      </c>
      <c r="U43" s="25">
        <f t="shared" si="9"/>
      </c>
      <c r="V43" s="64">
        <f t="shared" si="10"/>
      </c>
      <c r="W43" s="37"/>
    </row>
    <row r="44" spans="2:23" s="10" customFormat="1" ht="16.5" customHeight="1" thickBot="1">
      <c r="B44" s="43"/>
      <c r="C44" s="521"/>
      <c r="D44" s="521"/>
      <c r="E44" s="521"/>
      <c r="F44" s="521"/>
      <c r="G44" s="521"/>
      <c r="H44" s="521"/>
      <c r="I44" s="270"/>
      <c r="J44" s="521"/>
      <c r="K44" s="521"/>
      <c r="L44" s="29"/>
      <c r="M44" s="29"/>
      <c r="N44" s="521"/>
      <c r="O44" s="521"/>
      <c r="P44" s="532"/>
      <c r="Q44" s="533"/>
      <c r="R44" s="525"/>
      <c r="S44" s="526"/>
      <c r="T44" s="524"/>
      <c r="U44" s="521"/>
      <c r="V44" s="213"/>
      <c r="W44" s="37"/>
    </row>
    <row r="45" spans="2:23" s="10" customFormat="1" ht="16.5" customHeight="1" thickBot="1" thickTop="1">
      <c r="B45" s="43"/>
      <c r="C45" s="609" t="s">
        <v>247</v>
      </c>
      <c r="D45" s="608" t="s">
        <v>246</v>
      </c>
      <c r="E45" s="576"/>
      <c r="F45" s="2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7">
        <f>ROUND(SUM(Q22:Q44),2)</f>
        <v>208.83</v>
      </c>
      <c r="R45" s="325">
        <f>SUM(R22:R44)</f>
        <v>222.8</v>
      </c>
      <c r="S45" s="325">
        <f>SUM(S22:S44)</f>
        <v>206.09000000000003</v>
      </c>
      <c r="T45" s="398">
        <f>SUM(T22:T44)</f>
        <v>0</v>
      </c>
      <c r="U45" s="65"/>
      <c r="V45" s="254">
        <f>SUM(V22:V44)</f>
        <v>637.72044</v>
      </c>
      <c r="W45" s="37"/>
    </row>
    <row r="46" spans="2:23" s="256" customFormat="1" ht="9.75" thickTop="1">
      <c r="B46" s="255"/>
      <c r="C46" s="240"/>
      <c r="D46" s="240"/>
      <c r="E46" s="240"/>
      <c r="F46" s="241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60"/>
      <c r="V46" s="261"/>
      <c r="W46" s="262"/>
    </row>
    <row r="47" spans="1:23" s="10" customFormat="1" ht="16.5" customHeight="1" thickBot="1">
      <c r="A47" s="1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3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2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B91"/>
  <sheetViews>
    <sheetView zoomScale="70" zoomScaleNormal="70" zoomScalePageLayoutView="0" workbookViewId="0" topLeftCell="A1">
      <selection activeCell="F50" sqref="F50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7" width="9.7109375" style="0" customWidth="1"/>
    <col min="8" max="8" width="6.00390625" style="0" bestFit="1" customWidth="1"/>
    <col min="9" max="9" width="6.4218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8" customFormat="1" ht="26.25">
      <c r="AB1" s="402"/>
    </row>
    <row r="2" spans="2:28" s="108" customFormat="1" ht="26.25">
      <c r="B2" s="109" t="str">
        <f>+'TOT-0812'!B2</f>
        <v>ANEXO II al Memorándum  D.T.E.E.  N°             / 2013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="10" customFormat="1" ht="12.75"/>
    <row r="4" spans="1:4" s="111" customFormat="1" ht="11.25">
      <c r="A4" s="578" t="s">
        <v>16</v>
      </c>
      <c r="C4" s="577"/>
      <c r="D4" s="577"/>
    </row>
    <row r="5" spans="1:4" s="111" customFormat="1" ht="11.25">
      <c r="A5" s="578" t="s">
        <v>202</v>
      </c>
      <c r="C5" s="577"/>
      <c r="D5" s="577"/>
    </row>
    <row r="6" s="10" customFormat="1" ht="13.5" thickBot="1"/>
    <row r="7" spans="1:28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s="113" customFormat="1" ht="20.25">
      <c r="A8" s="44"/>
      <c r="B8" s="112"/>
      <c r="C8" s="44"/>
      <c r="D8" s="44"/>
      <c r="E8" s="44"/>
      <c r="F8" s="21" t="s">
        <v>31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114"/>
    </row>
    <row r="9" spans="1:28" s="10" customFormat="1" ht="12.75">
      <c r="A9" s="8"/>
      <c r="B9" s="43"/>
      <c r="C9" s="8"/>
      <c r="D9" s="8"/>
      <c r="E9" s="8"/>
      <c r="F9" s="125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3" customFormat="1" ht="20.25">
      <c r="A10" s="44"/>
      <c r="B10" s="112"/>
      <c r="C10" s="44"/>
      <c r="D10" s="44"/>
      <c r="E10" s="44"/>
      <c r="F10" s="21" t="s">
        <v>257</v>
      </c>
      <c r="G10" s="21"/>
      <c r="H10" s="44"/>
      <c r="I10" s="115"/>
      <c r="J10" s="115"/>
      <c r="K10" s="115"/>
      <c r="L10" s="115"/>
      <c r="M10" s="115"/>
      <c r="N10" s="115"/>
      <c r="O10" s="115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14"/>
    </row>
    <row r="11" spans="1:28" s="10" customFormat="1" ht="12.75">
      <c r="A11" s="8"/>
      <c r="B11" s="43"/>
      <c r="C11" s="8"/>
      <c r="D11" s="8"/>
      <c r="E11" s="8"/>
      <c r="F11" s="124"/>
      <c r="G11" s="122"/>
      <c r="H11" s="8"/>
      <c r="I11" s="121"/>
      <c r="J11" s="121"/>
      <c r="K11" s="121"/>
      <c r="L11" s="121"/>
      <c r="M11" s="121"/>
      <c r="N11" s="121"/>
      <c r="O11" s="12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0" customFormat="1" ht="19.5">
      <c r="A12" s="46"/>
      <c r="B12" s="86" t="str">
        <f>+'TOT-0812'!B14</f>
        <v>Desde el 01 al 31 de agosto de 2012</v>
      </c>
      <c r="C12" s="116"/>
      <c r="D12" s="116"/>
      <c r="E12" s="116"/>
      <c r="F12" s="116"/>
      <c r="G12" s="117"/>
      <c r="H12" s="117"/>
      <c r="I12" s="118"/>
      <c r="J12" s="118"/>
      <c r="K12" s="118"/>
      <c r="L12" s="118"/>
      <c r="M12" s="118"/>
      <c r="N12" s="118"/>
      <c r="O12" s="118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9"/>
    </row>
    <row r="13" spans="1:28" s="120" customFormat="1" ht="7.5" customHeight="1">
      <c r="A13" s="46"/>
      <c r="B13" s="86"/>
      <c r="C13" s="116"/>
      <c r="D13" s="116"/>
      <c r="E13" s="116"/>
      <c r="F13" s="116"/>
      <c r="G13" s="117"/>
      <c r="H13" s="117"/>
      <c r="I13" s="118"/>
      <c r="J13" s="118"/>
      <c r="K13" s="118"/>
      <c r="L13" s="118"/>
      <c r="M13" s="118"/>
      <c r="N13" s="118"/>
      <c r="O13" s="118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9"/>
    </row>
    <row r="14" spans="1:28" s="10" customFormat="1" ht="7.5" customHeight="1" thickBot="1">
      <c r="A14" s="8"/>
      <c r="B14" s="43"/>
      <c r="C14" s="8"/>
      <c r="D14" s="8"/>
      <c r="E14" s="8"/>
      <c r="F14" s="8"/>
      <c r="G14" s="122"/>
      <c r="H14" s="123"/>
      <c r="I14" s="121"/>
      <c r="J14" s="121"/>
      <c r="K14" s="121"/>
      <c r="L14" s="121"/>
      <c r="M14" s="121"/>
      <c r="N14" s="121"/>
      <c r="O14" s="12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4" customFormat="1" ht="16.5" customHeight="1" thickBot="1" thickTop="1">
      <c r="A15" s="90"/>
      <c r="B15" s="91"/>
      <c r="C15" s="90"/>
      <c r="D15" s="90"/>
      <c r="E15" s="90"/>
      <c r="F15" s="494" t="s">
        <v>32</v>
      </c>
      <c r="G15" s="495" t="s">
        <v>245</v>
      </c>
      <c r="H15" s="237"/>
      <c r="I15" s="95"/>
      <c r="J15" s="95"/>
      <c r="K15" s="95"/>
      <c r="L15" s="95"/>
      <c r="M15" s="95"/>
      <c r="N15" s="95"/>
      <c r="O15" s="95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3"/>
    </row>
    <row r="16" spans="1:28" s="94" customFormat="1" ht="16.5" customHeight="1" thickBot="1" thickTop="1">
      <c r="A16" s="90"/>
      <c r="B16" s="91"/>
      <c r="C16" s="90"/>
      <c r="D16" s="90"/>
      <c r="E16" s="90"/>
      <c r="F16" s="494" t="s">
        <v>33</v>
      </c>
      <c r="G16" s="495">
        <v>127.709</v>
      </c>
      <c r="H16" s="238"/>
      <c r="I16" s="90"/>
      <c r="K16" s="96" t="s">
        <v>34</v>
      </c>
      <c r="L16" s="97">
        <f>30*'TOT-0812'!B13</f>
        <v>30</v>
      </c>
      <c r="M16" s="234" t="str">
        <f>IF(L16=30," ",IF(L16=60,"Coeficiente duplicado por tasa de falla &gt;4 Sal. x año/100 km.","REVISAR COEFICIENTE"))</f>
        <v> 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3"/>
    </row>
    <row r="17" spans="1:28" s="94" customFormat="1" ht="7.5" customHeight="1" thickTop="1">
      <c r="A17" s="90"/>
      <c r="B17" s="91"/>
      <c r="C17" s="90"/>
      <c r="D17" s="90"/>
      <c r="E17" s="90"/>
      <c r="F17" s="552"/>
      <c r="G17" s="553"/>
      <c r="H17" s="554"/>
      <c r="I17" s="90"/>
      <c r="K17" s="96"/>
      <c r="L17" s="97"/>
      <c r="M17" s="234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3"/>
    </row>
    <row r="18" spans="1:28" s="600" customFormat="1" ht="15" customHeight="1" thickBot="1">
      <c r="A18" s="596"/>
      <c r="B18" s="597"/>
      <c r="C18" s="598">
        <v>3</v>
      </c>
      <c r="D18" s="598">
        <v>4</v>
      </c>
      <c r="E18" s="598">
        <v>5</v>
      </c>
      <c r="F18" s="598">
        <v>6</v>
      </c>
      <c r="G18" s="598">
        <v>7</v>
      </c>
      <c r="H18" s="598">
        <v>8</v>
      </c>
      <c r="I18" s="598">
        <v>9</v>
      </c>
      <c r="J18" s="598">
        <v>10</v>
      </c>
      <c r="K18" s="598">
        <v>11</v>
      </c>
      <c r="L18" s="598">
        <v>12</v>
      </c>
      <c r="M18" s="598">
        <v>13</v>
      </c>
      <c r="N18" s="598">
        <v>14</v>
      </c>
      <c r="O18" s="598">
        <v>15</v>
      </c>
      <c r="P18" s="598">
        <v>16</v>
      </c>
      <c r="Q18" s="598">
        <v>17</v>
      </c>
      <c r="R18" s="598">
        <v>18</v>
      </c>
      <c r="S18" s="598">
        <v>19</v>
      </c>
      <c r="T18" s="598">
        <v>20</v>
      </c>
      <c r="U18" s="598">
        <v>21</v>
      </c>
      <c r="V18" s="598">
        <v>22</v>
      </c>
      <c r="W18" s="598">
        <v>23</v>
      </c>
      <c r="X18" s="598">
        <v>24</v>
      </c>
      <c r="Y18" s="598">
        <v>25</v>
      </c>
      <c r="Z18" s="598">
        <v>26</v>
      </c>
      <c r="AA18" s="598">
        <v>27</v>
      </c>
      <c r="AB18" s="599"/>
    </row>
    <row r="19" spans="1:28" s="107" customFormat="1" ht="33.75" customHeight="1" thickBot="1" thickTop="1">
      <c r="A19" s="98"/>
      <c r="B19" s="99"/>
      <c r="C19" s="100" t="s">
        <v>35</v>
      </c>
      <c r="D19" s="100" t="s">
        <v>201</v>
      </c>
      <c r="E19" s="100" t="s">
        <v>200</v>
      </c>
      <c r="F19" s="101" t="s">
        <v>19</v>
      </c>
      <c r="G19" s="102" t="s">
        <v>36</v>
      </c>
      <c r="H19" s="103" t="s">
        <v>37</v>
      </c>
      <c r="I19" s="263" t="s">
        <v>38</v>
      </c>
      <c r="J19" s="101" t="s">
        <v>39</v>
      </c>
      <c r="K19" s="101" t="s">
        <v>40</v>
      </c>
      <c r="L19" s="102" t="s">
        <v>41</v>
      </c>
      <c r="M19" s="102" t="s">
        <v>42</v>
      </c>
      <c r="N19" s="104" t="s">
        <v>43</v>
      </c>
      <c r="O19" s="102" t="s">
        <v>44</v>
      </c>
      <c r="P19" s="292" t="s">
        <v>45</v>
      </c>
      <c r="Q19" s="295" t="s">
        <v>46</v>
      </c>
      <c r="R19" s="298" t="s">
        <v>47</v>
      </c>
      <c r="S19" s="299"/>
      <c r="T19" s="300"/>
      <c r="U19" s="309" t="s">
        <v>48</v>
      </c>
      <c r="V19" s="310"/>
      <c r="W19" s="311"/>
      <c r="X19" s="319" t="s">
        <v>49</v>
      </c>
      <c r="Y19" s="322" t="s">
        <v>50</v>
      </c>
      <c r="Z19" s="105" t="s">
        <v>51</v>
      </c>
      <c r="AA19" s="105" t="s">
        <v>52</v>
      </c>
      <c r="AB19" s="106"/>
    </row>
    <row r="20" spans="1:28" ht="16.5" customHeight="1" thickTop="1">
      <c r="A20" s="1"/>
      <c r="B20" s="2"/>
      <c r="C20" s="50"/>
      <c r="D20" s="87"/>
      <c r="E20" s="87"/>
      <c r="F20" s="51"/>
      <c r="G20" s="52"/>
      <c r="H20" s="52"/>
      <c r="I20" s="264"/>
      <c r="J20" s="52"/>
      <c r="K20" s="53"/>
      <c r="L20" s="53"/>
      <c r="M20" s="53"/>
      <c r="N20" s="51"/>
      <c r="O20" s="52"/>
      <c r="P20" s="293"/>
      <c r="Q20" s="296"/>
      <c r="R20" s="301"/>
      <c r="S20" s="302"/>
      <c r="T20" s="303"/>
      <c r="U20" s="312"/>
      <c r="V20" s="313"/>
      <c r="W20" s="314"/>
      <c r="X20" s="320"/>
      <c r="Y20" s="323"/>
      <c r="Z20" s="307"/>
      <c r="AA20" s="53"/>
      <c r="AB20" s="3"/>
    </row>
    <row r="21" spans="1:28" ht="16.5" customHeight="1">
      <c r="A21" s="1"/>
      <c r="B21" s="2"/>
      <c r="C21" s="50"/>
      <c r="D21" s="50"/>
      <c r="E21" s="50"/>
      <c r="F21" s="50"/>
      <c r="G21" s="88"/>
      <c r="H21" s="88"/>
      <c r="I21" s="265"/>
      <c r="J21" s="50"/>
      <c r="K21" s="89"/>
      <c r="L21" s="89"/>
      <c r="M21" s="89"/>
      <c r="N21" s="87"/>
      <c r="O21" s="50"/>
      <c r="P21" s="294"/>
      <c r="Q21" s="297"/>
      <c r="R21" s="304"/>
      <c r="S21" s="305"/>
      <c r="T21" s="306"/>
      <c r="U21" s="315"/>
      <c r="V21" s="316"/>
      <c r="W21" s="317"/>
      <c r="X21" s="321"/>
      <c r="Y21" s="324"/>
      <c r="Z21" s="308"/>
      <c r="AA21" s="89"/>
      <c r="AB21" s="3"/>
    </row>
    <row r="22" spans="1:28" ht="16.5" customHeight="1">
      <c r="A22" s="1"/>
      <c r="B22" s="2"/>
      <c r="C22" s="496">
        <v>17</v>
      </c>
      <c r="D22" s="496">
        <v>250951</v>
      </c>
      <c r="E22" s="496">
        <v>3512</v>
      </c>
      <c r="F22" s="497" t="s">
        <v>124</v>
      </c>
      <c r="G22" s="498">
        <v>132</v>
      </c>
      <c r="H22" s="499">
        <v>41</v>
      </c>
      <c r="I22" s="266">
        <f aca="true" t="shared" si="0" ref="I22:I41">IF(H22&gt;25,H22,25)*IF(G22=330,$G$15,$G$16)/100</f>
        <v>52.360690000000005</v>
      </c>
      <c r="J22" s="504">
        <v>41146.36041666667</v>
      </c>
      <c r="K22" s="504">
        <v>41146.525</v>
      </c>
      <c r="L22" s="13">
        <f aca="true" t="shared" si="1" ref="L22:L41">IF(F22="","",(K22-J22)*24)</f>
        <v>3.949999999953434</v>
      </c>
      <c r="M22" s="14">
        <f aca="true" t="shared" si="2" ref="M22:M41">IF(F22="","",ROUND((K22-J22)*24*60,0))</f>
        <v>237</v>
      </c>
      <c r="N22" s="505" t="s">
        <v>226</v>
      </c>
      <c r="O22" s="580" t="str">
        <f aca="true" t="shared" si="3" ref="O22:O41">IF(F22="","","--")</f>
        <v>--</v>
      </c>
      <c r="P22" s="581">
        <f aca="true" t="shared" si="4" ref="P22:P41">IF(N22="P",ROUND(M22/60,2)*I22*$L$16*0.01,"--")</f>
        <v>62.04741765000001</v>
      </c>
      <c r="Q22" s="582" t="str">
        <f aca="true" t="shared" si="5" ref="Q22:Q41">IF(N22="RP",ROUND(M22/60,2)*I22*$L$16*0.01*O22/100,"--")</f>
        <v>--</v>
      </c>
      <c r="R22" s="583" t="str">
        <f aca="true" t="shared" si="6" ref="R22:R41">IF(N22="F",I22*$L$16,"--")</f>
        <v>--</v>
      </c>
      <c r="S22" s="584" t="str">
        <f aca="true" t="shared" si="7" ref="S22:S41">IF(AND(M22&gt;10,N22="F"),I22*$L$16*IF(M22&gt;180,3,ROUND(M22/60,2)),"--")</f>
        <v>--</v>
      </c>
      <c r="T22" s="585" t="str">
        <f aca="true" t="shared" si="8" ref="T22:T41">IF(AND(M22&gt;180,N22="F"),(ROUND(M22/60,2)-3)*I22*$L$16*0.1,"--")</f>
        <v>--</v>
      </c>
      <c r="U22" s="586" t="str">
        <f aca="true" t="shared" si="9" ref="U22:U41">IF(N22="R",I22*$L$16*O22/100,"--")</f>
        <v>--</v>
      </c>
      <c r="V22" s="587" t="str">
        <f aca="true" t="shared" si="10" ref="V22:V41">IF(AND(M22&gt;10,N22="R"),I22*$L$16*O22/100*IF(M22&gt;180,3,ROUND(M22/60,2)),"--")</f>
        <v>--</v>
      </c>
      <c r="W22" s="588" t="str">
        <f aca="true" t="shared" si="11" ref="W22:W41">IF(AND(M22&gt;180,N22="R"),(ROUND(M22/60,2)-3)*O22/100*I22*$L$16*0.1,"--")</f>
        <v>--</v>
      </c>
      <c r="X22" s="589" t="str">
        <f aca="true" t="shared" si="12" ref="X22:X41">IF(N22="RF",ROUND(M22/60,2)*I22*$L$16*0.1,"--")</f>
        <v>--</v>
      </c>
      <c r="Y22" s="590" t="str">
        <f aca="true" t="shared" si="13" ref="Y22:Y41">IF(N22="RR",ROUND(M22/60,2)*O22/100*I22*$L$16*0.1,"--")</f>
        <v>--</v>
      </c>
      <c r="Z22" s="591" t="str">
        <f aca="true" t="shared" si="14" ref="Z22:Z41">IF(F22="","","SI")</f>
        <v>SI</v>
      </c>
      <c r="AA22" s="54">
        <f aca="true" t="shared" si="15" ref="AA22:AA41">IF(F22="","",SUM(P22:Y22)*IF(Z22="SI",1,2))</f>
        <v>62.04741765000001</v>
      </c>
      <c r="AB22" s="3"/>
    </row>
    <row r="23" spans="1:28" ht="16.5" customHeight="1">
      <c r="A23" s="1"/>
      <c r="B23" s="2"/>
      <c r="C23" s="496"/>
      <c r="D23" s="496"/>
      <c r="E23" s="496"/>
      <c r="F23" s="497"/>
      <c r="G23" s="498"/>
      <c r="H23" s="499"/>
      <c r="I23" s="266">
        <f t="shared" si="0"/>
        <v>31.92725</v>
      </c>
      <c r="J23" s="504"/>
      <c r="K23" s="504"/>
      <c r="L23" s="13">
        <f t="shared" si="1"/>
      </c>
      <c r="M23" s="14">
        <f t="shared" si="2"/>
      </c>
      <c r="N23" s="505"/>
      <c r="O23" s="580">
        <f t="shared" si="3"/>
      </c>
      <c r="P23" s="581" t="str">
        <f t="shared" si="4"/>
        <v>--</v>
      </c>
      <c r="Q23" s="582" t="str">
        <f t="shared" si="5"/>
        <v>--</v>
      </c>
      <c r="R23" s="583" t="str">
        <f t="shared" si="6"/>
        <v>--</v>
      </c>
      <c r="S23" s="584" t="str">
        <f t="shared" si="7"/>
        <v>--</v>
      </c>
      <c r="T23" s="585" t="str">
        <f t="shared" si="8"/>
        <v>--</v>
      </c>
      <c r="U23" s="586" t="str">
        <f t="shared" si="9"/>
        <v>--</v>
      </c>
      <c r="V23" s="587" t="str">
        <f t="shared" si="10"/>
        <v>--</v>
      </c>
      <c r="W23" s="588" t="str">
        <f t="shared" si="11"/>
        <v>--</v>
      </c>
      <c r="X23" s="589" t="str">
        <f t="shared" si="12"/>
        <v>--</v>
      </c>
      <c r="Y23" s="590" t="str">
        <f t="shared" si="13"/>
        <v>--</v>
      </c>
      <c r="Z23" s="591">
        <f t="shared" si="14"/>
      </c>
      <c r="AA23" s="54">
        <f t="shared" si="15"/>
      </c>
      <c r="AB23" s="3"/>
    </row>
    <row r="24" spans="1:28" ht="16.5" customHeight="1">
      <c r="A24" s="1"/>
      <c r="B24" s="2"/>
      <c r="C24" s="496"/>
      <c r="D24" s="496"/>
      <c r="E24" s="496"/>
      <c r="F24" s="497"/>
      <c r="G24" s="498"/>
      <c r="H24" s="499"/>
      <c r="I24" s="266">
        <f t="shared" si="0"/>
        <v>31.92725</v>
      </c>
      <c r="J24" s="504"/>
      <c r="K24" s="504"/>
      <c r="L24" s="13">
        <f t="shared" si="1"/>
      </c>
      <c r="M24" s="14">
        <f t="shared" si="2"/>
      </c>
      <c r="N24" s="505"/>
      <c r="O24" s="580">
        <f t="shared" si="3"/>
      </c>
      <c r="P24" s="581" t="str">
        <f t="shared" si="4"/>
        <v>--</v>
      </c>
      <c r="Q24" s="582" t="str">
        <f t="shared" si="5"/>
        <v>--</v>
      </c>
      <c r="R24" s="583" t="str">
        <f t="shared" si="6"/>
        <v>--</v>
      </c>
      <c r="S24" s="584" t="str">
        <f t="shared" si="7"/>
        <v>--</v>
      </c>
      <c r="T24" s="585" t="str">
        <f t="shared" si="8"/>
        <v>--</v>
      </c>
      <c r="U24" s="586" t="str">
        <f t="shared" si="9"/>
        <v>--</v>
      </c>
      <c r="V24" s="587" t="str">
        <f t="shared" si="10"/>
        <v>--</v>
      </c>
      <c r="W24" s="588" t="str">
        <f t="shared" si="11"/>
        <v>--</v>
      </c>
      <c r="X24" s="589" t="str">
        <f t="shared" si="12"/>
        <v>--</v>
      </c>
      <c r="Y24" s="590" t="str">
        <f t="shared" si="13"/>
        <v>--</v>
      </c>
      <c r="Z24" s="591">
        <f t="shared" si="14"/>
      </c>
      <c r="AA24" s="54">
        <f t="shared" si="15"/>
      </c>
      <c r="AB24" s="3"/>
    </row>
    <row r="25" spans="1:28" ht="16.5" customHeight="1">
      <c r="A25" s="1"/>
      <c r="B25" s="2"/>
      <c r="C25" s="496"/>
      <c r="D25" s="496"/>
      <c r="E25" s="496"/>
      <c r="F25" s="497"/>
      <c r="G25" s="498"/>
      <c r="H25" s="499"/>
      <c r="I25" s="266">
        <f t="shared" si="0"/>
        <v>31.92725</v>
      </c>
      <c r="J25" s="504"/>
      <c r="K25" s="504"/>
      <c r="L25" s="13">
        <f t="shared" si="1"/>
      </c>
      <c r="M25" s="14">
        <f t="shared" si="2"/>
      </c>
      <c r="N25" s="505"/>
      <c r="O25" s="580">
        <f t="shared" si="3"/>
      </c>
      <c r="P25" s="581" t="str">
        <f t="shared" si="4"/>
        <v>--</v>
      </c>
      <c r="Q25" s="582" t="str">
        <f t="shared" si="5"/>
        <v>--</v>
      </c>
      <c r="R25" s="583" t="str">
        <f t="shared" si="6"/>
        <v>--</v>
      </c>
      <c r="S25" s="584" t="str">
        <f t="shared" si="7"/>
        <v>--</v>
      </c>
      <c r="T25" s="585" t="str">
        <f t="shared" si="8"/>
        <v>--</v>
      </c>
      <c r="U25" s="586" t="str">
        <f t="shared" si="9"/>
        <v>--</v>
      </c>
      <c r="V25" s="587" t="str">
        <f t="shared" si="10"/>
        <v>--</v>
      </c>
      <c r="W25" s="588" t="str">
        <f t="shared" si="11"/>
        <v>--</v>
      </c>
      <c r="X25" s="589" t="str">
        <f t="shared" si="12"/>
        <v>--</v>
      </c>
      <c r="Y25" s="590" t="str">
        <f t="shared" si="13"/>
        <v>--</v>
      </c>
      <c r="Z25" s="591">
        <f t="shared" si="14"/>
      </c>
      <c r="AA25" s="54">
        <f t="shared" si="15"/>
      </c>
      <c r="AB25" s="3"/>
    </row>
    <row r="26" spans="1:28" ht="16.5" customHeight="1">
      <c r="A26" s="1"/>
      <c r="B26" s="2"/>
      <c r="C26" s="496"/>
      <c r="D26" s="496"/>
      <c r="E26" s="496"/>
      <c r="F26" s="497"/>
      <c r="G26" s="498"/>
      <c r="H26" s="499"/>
      <c r="I26" s="266">
        <f t="shared" si="0"/>
        <v>31.92725</v>
      </c>
      <c r="J26" s="504"/>
      <c r="K26" s="504"/>
      <c r="L26" s="13">
        <f t="shared" si="1"/>
      </c>
      <c r="M26" s="14">
        <f t="shared" si="2"/>
      </c>
      <c r="N26" s="505"/>
      <c r="O26" s="580">
        <f t="shared" si="3"/>
      </c>
      <c r="P26" s="581" t="str">
        <f t="shared" si="4"/>
        <v>--</v>
      </c>
      <c r="Q26" s="582" t="str">
        <f t="shared" si="5"/>
        <v>--</v>
      </c>
      <c r="R26" s="583" t="str">
        <f t="shared" si="6"/>
        <v>--</v>
      </c>
      <c r="S26" s="584" t="str">
        <f t="shared" si="7"/>
        <v>--</v>
      </c>
      <c r="T26" s="585" t="str">
        <f t="shared" si="8"/>
        <v>--</v>
      </c>
      <c r="U26" s="586" t="str">
        <f t="shared" si="9"/>
        <v>--</v>
      </c>
      <c r="V26" s="587" t="str">
        <f t="shared" si="10"/>
        <v>--</v>
      </c>
      <c r="W26" s="588" t="str">
        <f t="shared" si="11"/>
        <v>--</v>
      </c>
      <c r="X26" s="589" t="str">
        <f t="shared" si="12"/>
        <v>--</v>
      </c>
      <c r="Y26" s="590" t="str">
        <f t="shared" si="13"/>
        <v>--</v>
      </c>
      <c r="Z26" s="591">
        <f t="shared" si="14"/>
      </c>
      <c r="AA26" s="54">
        <f t="shared" si="15"/>
      </c>
      <c r="AB26" s="3"/>
    </row>
    <row r="27" spans="1:28" ht="16.5" customHeight="1">
      <c r="A27" s="1"/>
      <c r="B27" s="2"/>
      <c r="C27" s="496"/>
      <c r="D27" s="496"/>
      <c r="E27" s="496"/>
      <c r="F27" s="497"/>
      <c r="G27" s="498"/>
      <c r="H27" s="499"/>
      <c r="I27" s="266">
        <f t="shared" si="0"/>
        <v>31.92725</v>
      </c>
      <c r="J27" s="504"/>
      <c r="K27" s="504"/>
      <c r="L27" s="13">
        <f t="shared" si="1"/>
      </c>
      <c r="M27" s="14">
        <f t="shared" si="2"/>
      </c>
      <c r="N27" s="505"/>
      <c r="O27" s="580">
        <f t="shared" si="3"/>
      </c>
      <c r="P27" s="581" t="str">
        <f t="shared" si="4"/>
        <v>--</v>
      </c>
      <c r="Q27" s="582" t="str">
        <f t="shared" si="5"/>
        <v>--</v>
      </c>
      <c r="R27" s="583" t="str">
        <f t="shared" si="6"/>
        <v>--</v>
      </c>
      <c r="S27" s="584" t="str">
        <f t="shared" si="7"/>
        <v>--</v>
      </c>
      <c r="T27" s="585" t="str">
        <f t="shared" si="8"/>
        <v>--</v>
      </c>
      <c r="U27" s="586" t="str">
        <f t="shared" si="9"/>
        <v>--</v>
      </c>
      <c r="V27" s="587" t="str">
        <f t="shared" si="10"/>
        <v>--</v>
      </c>
      <c r="W27" s="588" t="str">
        <f t="shared" si="11"/>
        <v>--</v>
      </c>
      <c r="X27" s="589" t="str">
        <f t="shared" si="12"/>
        <v>--</v>
      </c>
      <c r="Y27" s="590" t="str">
        <f t="shared" si="13"/>
        <v>--</v>
      </c>
      <c r="Z27" s="591">
        <f t="shared" si="14"/>
      </c>
      <c r="AA27" s="54">
        <f t="shared" si="15"/>
      </c>
      <c r="AB27" s="3"/>
    </row>
    <row r="28" spans="1:28" ht="16.5" customHeight="1">
      <c r="A28" s="1"/>
      <c r="B28" s="2"/>
      <c r="C28" s="496"/>
      <c r="D28" s="496"/>
      <c r="E28" s="496"/>
      <c r="F28" s="497"/>
      <c r="G28" s="498"/>
      <c r="H28" s="499"/>
      <c r="I28" s="266">
        <f t="shared" si="0"/>
        <v>31.92725</v>
      </c>
      <c r="J28" s="504"/>
      <c r="K28" s="504"/>
      <c r="L28" s="13">
        <f t="shared" si="1"/>
      </c>
      <c r="M28" s="14">
        <f t="shared" si="2"/>
      </c>
      <c r="N28" s="505"/>
      <c r="O28" s="580">
        <f t="shared" si="3"/>
      </c>
      <c r="P28" s="581" t="str">
        <f t="shared" si="4"/>
        <v>--</v>
      </c>
      <c r="Q28" s="582" t="str">
        <f t="shared" si="5"/>
        <v>--</v>
      </c>
      <c r="R28" s="583" t="str">
        <f t="shared" si="6"/>
        <v>--</v>
      </c>
      <c r="S28" s="584" t="str">
        <f t="shared" si="7"/>
        <v>--</v>
      </c>
      <c r="T28" s="585" t="str">
        <f t="shared" si="8"/>
        <v>--</v>
      </c>
      <c r="U28" s="586" t="str">
        <f t="shared" si="9"/>
        <v>--</v>
      </c>
      <c r="V28" s="587" t="str">
        <f t="shared" si="10"/>
        <v>--</v>
      </c>
      <c r="W28" s="588" t="str">
        <f t="shared" si="11"/>
        <v>--</v>
      </c>
      <c r="X28" s="589" t="str">
        <f t="shared" si="12"/>
        <v>--</v>
      </c>
      <c r="Y28" s="590" t="str">
        <f t="shared" si="13"/>
        <v>--</v>
      </c>
      <c r="Z28" s="591">
        <f t="shared" si="14"/>
      </c>
      <c r="AA28" s="54">
        <f t="shared" si="15"/>
      </c>
      <c r="AB28" s="3"/>
    </row>
    <row r="29" spans="1:28" ht="16.5" customHeight="1">
      <c r="A29" s="1"/>
      <c r="B29" s="2"/>
      <c r="C29" s="496"/>
      <c r="D29" s="496"/>
      <c r="E29" s="496"/>
      <c r="F29" s="497"/>
      <c r="G29" s="498"/>
      <c r="H29" s="499"/>
      <c r="I29" s="266">
        <f t="shared" si="0"/>
        <v>31.92725</v>
      </c>
      <c r="J29" s="504"/>
      <c r="K29" s="504"/>
      <c r="L29" s="13">
        <f t="shared" si="1"/>
      </c>
      <c r="M29" s="14">
        <f t="shared" si="2"/>
      </c>
      <c r="N29" s="505"/>
      <c r="O29" s="580">
        <f t="shared" si="3"/>
      </c>
      <c r="P29" s="581" t="str">
        <f t="shared" si="4"/>
        <v>--</v>
      </c>
      <c r="Q29" s="582" t="str">
        <f t="shared" si="5"/>
        <v>--</v>
      </c>
      <c r="R29" s="583" t="str">
        <f t="shared" si="6"/>
        <v>--</v>
      </c>
      <c r="S29" s="584" t="str">
        <f t="shared" si="7"/>
        <v>--</v>
      </c>
      <c r="T29" s="585" t="str">
        <f t="shared" si="8"/>
        <v>--</v>
      </c>
      <c r="U29" s="586" t="str">
        <f t="shared" si="9"/>
        <v>--</v>
      </c>
      <c r="V29" s="587" t="str">
        <f t="shared" si="10"/>
        <v>--</v>
      </c>
      <c r="W29" s="588" t="str">
        <f t="shared" si="11"/>
        <v>--</v>
      </c>
      <c r="X29" s="589" t="str">
        <f t="shared" si="12"/>
        <v>--</v>
      </c>
      <c r="Y29" s="590" t="str">
        <f t="shared" si="13"/>
        <v>--</v>
      </c>
      <c r="Z29" s="591">
        <f t="shared" si="14"/>
      </c>
      <c r="AA29" s="54">
        <f t="shared" si="15"/>
      </c>
      <c r="AB29" s="3"/>
    </row>
    <row r="30" spans="1:28" ht="16.5" customHeight="1">
      <c r="A30" s="1"/>
      <c r="B30" s="2"/>
      <c r="C30" s="496"/>
      <c r="D30" s="496"/>
      <c r="E30" s="496"/>
      <c r="F30" s="497"/>
      <c r="G30" s="498"/>
      <c r="H30" s="499"/>
      <c r="I30" s="266">
        <f t="shared" si="0"/>
        <v>31.92725</v>
      </c>
      <c r="J30" s="504"/>
      <c r="K30" s="504"/>
      <c r="L30" s="13">
        <f t="shared" si="1"/>
      </c>
      <c r="M30" s="14">
        <f t="shared" si="2"/>
      </c>
      <c r="N30" s="505"/>
      <c r="O30" s="580">
        <f t="shared" si="3"/>
      </c>
      <c r="P30" s="581" t="str">
        <f t="shared" si="4"/>
        <v>--</v>
      </c>
      <c r="Q30" s="582" t="str">
        <f t="shared" si="5"/>
        <v>--</v>
      </c>
      <c r="R30" s="583" t="str">
        <f t="shared" si="6"/>
        <v>--</v>
      </c>
      <c r="S30" s="584" t="str">
        <f t="shared" si="7"/>
        <v>--</v>
      </c>
      <c r="T30" s="585" t="str">
        <f t="shared" si="8"/>
        <v>--</v>
      </c>
      <c r="U30" s="586" t="str">
        <f t="shared" si="9"/>
        <v>--</v>
      </c>
      <c r="V30" s="587" t="str">
        <f t="shared" si="10"/>
        <v>--</v>
      </c>
      <c r="W30" s="588" t="str">
        <f t="shared" si="11"/>
        <v>--</v>
      </c>
      <c r="X30" s="589" t="str">
        <f t="shared" si="12"/>
        <v>--</v>
      </c>
      <c r="Y30" s="590" t="str">
        <f t="shared" si="13"/>
        <v>--</v>
      </c>
      <c r="Z30" s="591">
        <f t="shared" si="14"/>
      </c>
      <c r="AA30" s="54">
        <f t="shared" si="15"/>
      </c>
      <c r="AB30" s="3"/>
    </row>
    <row r="31" spans="1:28" ht="16.5" customHeight="1">
      <c r="A31" s="1"/>
      <c r="B31" s="2"/>
      <c r="C31" s="496"/>
      <c r="D31" s="496"/>
      <c r="E31" s="496"/>
      <c r="F31" s="497"/>
      <c r="G31" s="498"/>
      <c r="H31" s="499"/>
      <c r="I31" s="266">
        <f t="shared" si="0"/>
        <v>31.92725</v>
      </c>
      <c r="J31" s="504"/>
      <c r="K31" s="504"/>
      <c r="L31" s="13">
        <f t="shared" si="1"/>
      </c>
      <c r="M31" s="14">
        <f t="shared" si="2"/>
      </c>
      <c r="N31" s="505"/>
      <c r="O31" s="580">
        <f t="shared" si="3"/>
      </c>
      <c r="P31" s="581" t="str">
        <f t="shared" si="4"/>
        <v>--</v>
      </c>
      <c r="Q31" s="582" t="str">
        <f t="shared" si="5"/>
        <v>--</v>
      </c>
      <c r="R31" s="583" t="str">
        <f t="shared" si="6"/>
        <v>--</v>
      </c>
      <c r="S31" s="584" t="str">
        <f t="shared" si="7"/>
        <v>--</v>
      </c>
      <c r="T31" s="585" t="str">
        <f t="shared" si="8"/>
        <v>--</v>
      </c>
      <c r="U31" s="586" t="str">
        <f t="shared" si="9"/>
        <v>--</v>
      </c>
      <c r="V31" s="587" t="str">
        <f t="shared" si="10"/>
        <v>--</v>
      </c>
      <c r="W31" s="588" t="str">
        <f t="shared" si="11"/>
        <v>--</v>
      </c>
      <c r="X31" s="589" t="str">
        <f t="shared" si="12"/>
        <v>--</v>
      </c>
      <c r="Y31" s="590" t="str">
        <f t="shared" si="13"/>
        <v>--</v>
      </c>
      <c r="Z31" s="591">
        <f t="shared" si="14"/>
      </c>
      <c r="AA31" s="54">
        <f t="shared" si="15"/>
      </c>
      <c r="AB31" s="3"/>
    </row>
    <row r="32" spans="1:28" ht="16.5" customHeight="1">
      <c r="A32" s="1"/>
      <c r="B32" s="2"/>
      <c r="C32" s="496"/>
      <c r="D32" s="496"/>
      <c r="E32" s="496"/>
      <c r="F32" s="497"/>
      <c r="G32" s="498"/>
      <c r="H32" s="499"/>
      <c r="I32" s="266">
        <f t="shared" si="0"/>
        <v>31.92725</v>
      </c>
      <c r="J32" s="504"/>
      <c r="K32" s="504"/>
      <c r="L32" s="13">
        <f t="shared" si="1"/>
      </c>
      <c r="M32" s="14">
        <f t="shared" si="2"/>
      </c>
      <c r="N32" s="505"/>
      <c r="O32" s="580">
        <f t="shared" si="3"/>
      </c>
      <c r="P32" s="581" t="str">
        <f t="shared" si="4"/>
        <v>--</v>
      </c>
      <c r="Q32" s="582" t="str">
        <f t="shared" si="5"/>
        <v>--</v>
      </c>
      <c r="R32" s="583" t="str">
        <f t="shared" si="6"/>
        <v>--</v>
      </c>
      <c r="S32" s="584" t="str">
        <f t="shared" si="7"/>
        <v>--</v>
      </c>
      <c r="T32" s="585" t="str">
        <f t="shared" si="8"/>
        <v>--</v>
      </c>
      <c r="U32" s="586" t="str">
        <f t="shared" si="9"/>
        <v>--</v>
      </c>
      <c r="V32" s="587" t="str">
        <f t="shared" si="10"/>
        <v>--</v>
      </c>
      <c r="W32" s="588" t="str">
        <f t="shared" si="11"/>
        <v>--</v>
      </c>
      <c r="X32" s="589" t="str">
        <f t="shared" si="12"/>
        <v>--</v>
      </c>
      <c r="Y32" s="590" t="str">
        <f t="shared" si="13"/>
        <v>--</v>
      </c>
      <c r="Z32" s="591">
        <f t="shared" si="14"/>
      </c>
      <c r="AA32" s="54">
        <f t="shared" si="15"/>
      </c>
      <c r="AB32" s="3"/>
    </row>
    <row r="33" spans="1:28" ht="16.5" customHeight="1">
      <c r="A33" s="1"/>
      <c r="B33" s="2"/>
      <c r="C33" s="496"/>
      <c r="D33" s="496"/>
      <c r="E33" s="496"/>
      <c r="F33" s="497"/>
      <c r="G33" s="498"/>
      <c r="H33" s="499"/>
      <c r="I33" s="266">
        <f t="shared" si="0"/>
        <v>31.92725</v>
      </c>
      <c r="J33" s="504"/>
      <c r="K33" s="504"/>
      <c r="L33" s="13">
        <f t="shared" si="1"/>
      </c>
      <c r="M33" s="14">
        <f t="shared" si="2"/>
      </c>
      <c r="N33" s="505"/>
      <c r="O33" s="580">
        <f t="shared" si="3"/>
      </c>
      <c r="P33" s="581" t="str">
        <f t="shared" si="4"/>
        <v>--</v>
      </c>
      <c r="Q33" s="582" t="str">
        <f t="shared" si="5"/>
        <v>--</v>
      </c>
      <c r="R33" s="583" t="str">
        <f t="shared" si="6"/>
        <v>--</v>
      </c>
      <c r="S33" s="584" t="str">
        <f t="shared" si="7"/>
        <v>--</v>
      </c>
      <c r="T33" s="585" t="str">
        <f t="shared" si="8"/>
        <v>--</v>
      </c>
      <c r="U33" s="586" t="str">
        <f t="shared" si="9"/>
        <v>--</v>
      </c>
      <c r="V33" s="587" t="str">
        <f t="shared" si="10"/>
        <v>--</v>
      </c>
      <c r="W33" s="588" t="str">
        <f t="shared" si="11"/>
        <v>--</v>
      </c>
      <c r="X33" s="589" t="str">
        <f t="shared" si="12"/>
        <v>--</v>
      </c>
      <c r="Y33" s="590" t="str">
        <f t="shared" si="13"/>
        <v>--</v>
      </c>
      <c r="Z33" s="591">
        <f t="shared" si="14"/>
      </c>
      <c r="AA33" s="54">
        <f t="shared" si="15"/>
      </c>
      <c r="AB33" s="3"/>
    </row>
    <row r="34" spans="1:28" ht="16.5" customHeight="1">
      <c r="A34" s="1"/>
      <c r="B34" s="2"/>
      <c r="C34" s="496"/>
      <c r="D34" s="496"/>
      <c r="E34" s="496"/>
      <c r="F34" s="497"/>
      <c r="G34" s="498"/>
      <c r="H34" s="499"/>
      <c r="I34" s="266">
        <f t="shared" si="0"/>
        <v>31.92725</v>
      </c>
      <c r="J34" s="504"/>
      <c r="K34" s="504"/>
      <c r="L34" s="13">
        <f t="shared" si="1"/>
      </c>
      <c r="M34" s="14">
        <f t="shared" si="2"/>
      </c>
      <c r="N34" s="505"/>
      <c r="O34" s="580">
        <f t="shared" si="3"/>
      </c>
      <c r="P34" s="581" t="str">
        <f t="shared" si="4"/>
        <v>--</v>
      </c>
      <c r="Q34" s="582" t="str">
        <f t="shared" si="5"/>
        <v>--</v>
      </c>
      <c r="R34" s="583" t="str">
        <f t="shared" si="6"/>
        <v>--</v>
      </c>
      <c r="S34" s="584" t="str">
        <f t="shared" si="7"/>
        <v>--</v>
      </c>
      <c r="T34" s="585" t="str">
        <f t="shared" si="8"/>
        <v>--</v>
      </c>
      <c r="U34" s="586" t="str">
        <f t="shared" si="9"/>
        <v>--</v>
      </c>
      <c r="V34" s="587" t="str">
        <f t="shared" si="10"/>
        <v>--</v>
      </c>
      <c r="W34" s="588" t="str">
        <f t="shared" si="11"/>
        <v>--</v>
      </c>
      <c r="X34" s="589" t="str">
        <f t="shared" si="12"/>
        <v>--</v>
      </c>
      <c r="Y34" s="590" t="str">
        <f t="shared" si="13"/>
        <v>--</v>
      </c>
      <c r="Z34" s="591">
        <f t="shared" si="14"/>
      </c>
      <c r="AA34" s="54">
        <f t="shared" si="15"/>
      </c>
      <c r="AB34" s="3"/>
    </row>
    <row r="35" spans="1:28" ht="16.5" customHeight="1">
      <c r="A35" s="1"/>
      <c r="B35" s="2"/>
      <c r="C35" s="496"/>
      <c r="D35" s="496"/>
      <c r="E35" s="496"/>
      <c r="F35" s="497"/>
      <c r="G35" s="498"/>
      <c r="H35" s="499"/>
      <c r="I35" s="266">
        <f t="shared" si="0"/>
        <v>31.92725</v>
      </c>
      <c r="J35" s="504"/>
      <c r="K35" s="504"/>
      <c r="L35" s="13">
        <f t="shared" si="1"/>
      </c>
      <c r="M35" s="14">
        <f t="shared" si="2"/>
      </c>
      <c r="N35" s="505"/>
      <c r="O35" s="580">
        <f t="shared" si="3"/>
      </c>
      <c r="P35" s="581" t="str">
        <f t="shared" si="4"/>
        <v>--</v>
      </c>
      <c r="Q35" s="582" t="str">
        <f t="shared" si="5"/>
        <v>--</v>
      </c>
      <c r="R35" s="583" t="str">
        <f t="shared" si="6"/>
        <v>--</v>
      </c>
      <c r="S35" s="584" t="str">
        <f t="shared" si="7"/>
        <v>--</v>
      </c>
      <c r="T35" s="585" t="str">
        <f t="shared" si="8"/>
        <v>--</v>
      </c>
      <c r="U35" s="586" t="str">
        <f t="shared" si="9"/>
        <v>--</v>
      </c>
      <c r="V35" s="587" t="str">
        <f t="shared" si="10"/>
        <v>--</v>
      </c>
      <c r="W35" s="588" t="str">
        <f t="shared" si="11"/>
        <v>--</v>
      </c>
      <c r="X35" s="589" t="str">
        <f t="shared" si="12"/>
        <v>--</v>
      </c>
      <c r="Y35" s="590" t="str">
        <f t="shared" si="13"/>
        <v>--</v>
      </c>
      <c r="Z35" s="591">
        <f t="shared" si="14"/>
      </c>
      <c r="AA35" s="54">
        <f t="shared" si="15"/>
      </c>
      <c r="AB35" s="3"/>
    </row>
    <row r="36" spans="1:28" ht="16.5" customHeight="1">
      <c r="A36" s="1"/>
      <c r="B36" s="2"/>
      <c r="C36" s="496"/>
      <c r="D36" s="496"/>
      <c r="E36" s="496"/>
      <c r="F36" s="497"/>
      <c r="G36" s="498"/>
      <c r="H36" s="499"/>
      <c r="I36" s="266">
        <f t="shared" si="0"/>
        <v>31.92725</v>
      </c>
      <c r="J36" s="504"/>
      <c r="K36" s="504"/>
      <c r="L36" s="13">
        <f t="shared" si="1"/>
      </c>
      <c r="M36" s="14">
        <f t="shared" si="2"/>
      </c>
      <c r="N36" s="505"/>
      <c r="O36" s="580">
        <f t="shared" si="3"/>
      </c>
      <c r="P36" s="581" t="str">
        <f t="shared" si="4"/>
        <v>--</v>
      </c>
      <c r="Q36" s="582" t="str">
        <f t="shared" si="5"/>
        <v>--</v>
      </c>
      <c r="R36" s="583" t="str">
        <f t="shared" si="6"/>
        <v>--</v>
      </c>
      <c r="S36" s="584" t="str">
        <f t="shared" si="7"/>
        <v>--</v>
      </c>
      <c r="T36" s="585" t="str">
        <f t="shared" si="8"/>
        <v>--</v>
      </c>
      <c r="U36" s="586" t="str">
        <f t="shared" si="9"/>
        <v>--</v>
      </c>
      <c r="V36" s="587" t="str">
        <f t="shared" si="10"/>
        <v>--</v>
      </c>
      <c r="W36" s="588" t="str">
        <f t="shared" si="11"/>
        <v>--</v>
      </c>
      <c r="X36" s="589" t="str">
        <f t="shared" si="12"/>
        <v>--</v>
      </c>
      <c r="Y36" s="590" t="str">
        <f t="shared" si="13"/>
        <v>--</v>
      </c>
      <c r="Z36" s="591">
        <f t="shared" si="14"/>
      </c>
      <c r="AA36" s="54">
        <f t="shared" si="15"/>
      </c>
      <c r="AB36" s="3"/>
    </row>
    <row r="37" spans="1:28" ht="16.5" customHeight="1">
      <c r="A37" s="1"/>
      <c r="B37" s="2"/>
      <c r="C37" s="496"/>
      <c r="D37" s="496"/>
      <c r="E37" s="496"/>
      <c r="F37" s="497"/>
      <c r="G37" s="498"/>
      <c r="H37" s="499"/>
      <c r="I37" s="266">
        <f t="shared" si="0"/>
        <v>31.92725</v>
      </c>
      <c r="J37" s="504"/>
      <c r="K37" s="504"/>
      <c r="L37" s="13">
        <f t="shared" si="1"/>
      </c>
      <c r="M37" s="14">
        <f t="shared" si="2"/>
      </c>
      <c r="N37" s="505"/>
      <c r="O37" s="580">
        <f t="shared" si="3"/>
      </c>
      <c r="P37" s="581" t="str">
        <f t="shared" si="4"/>
        <v>--</v>
      </c>
      <c r="Q37" s="582" t="str">
        <f t="shared" si="5"/>
        <v>--</v>
      </c>
      <c r="R37" s="583" t="str">
        <f t="shared" si="6"/>
        <v>--</v>
      </c>
      <c r="S37" s="584" t="str">
        <f t="shared" si="7"/>
        <v>--</v>
      </c>
      <c r="T37" s="585" t="str">
        <f t="shared" si="8"/>
        <v>--</v>
      </c>
      <c r="U37" s="586" t="str">
        <f t="shared" si="9"/>
        <v>--</v>
      </c>
      <c r="V37" s="587" t="str">
        <f t="shared" si="10"/>
        <v>--</v>
      </c>
      <c r="W37" s="588" t="str">
        <f t="shared" si="11"/>
        <v>--</v>
      </c>
      <c r="X37" s="589" t="str">
        <f t="shared" si="12"/>
        <v>--</v>
      </c>
      <c r="Y37" s="590" t="str">
        <f t="shared" si="13"/>
        <v>--</v>
      </c>
      <c r="Z37" s="591">
        <f t="shared" si="14"/>
      </c>
      <c r="AA37" s="54">
        <f t="shared" si="15"/>
      </c>
      <c r="AB37" s="3"/>
    </row>
    <row r="38" spans="2:28" ht="16.5" customHeight="1">
      <c r="B38" s="55"/>
      <c r="C38" s="496"/>
      <c r="D38" s="496"/>
      <c r="E38" s="496"/>
      <c r="F38" s="497"/>
      <c r="G38" s="498"/>
      <c r="H38" s="499"/>
      <c r="I38" s="266">
        <f t="shared" si="0"/>
        <v>31.92725</v>
      </c>
      <c r="J38" s="504"/>
      <c r="K38" s="504"/>
      <c r="L38" s="13">
        <f t="shared" si="1"/>
      </c>
      <c r="M38" s="14">
        <f t="shared" si="2"/>
      </c>
      <c r="N38" s="505"/>
      <c r="O38" s="580">
        <f t="shared" si="3"/>
      </c>
      <c r="P38" s="581" t="str">
        <f t="shared" si="4"/>
        <v>--</v>
      </c>
      <c r="Q38" s="582" t="str">
        <f t="shared" si="5"/>
        <v>--</v>
      </c>
      <c r="R38" s="583" t="str">
        <f t="shared" si="6"/>
        <v>--</v>
      </c>
      <c r="S38" s="584" t="str">
        <f t="shared" si="7"/>
        <v>--</v>
      </c>
      <c r="T38" s="585" t="str">
        <f t="shared" si="8"/>
        <v>--</v>
      </c>
      <c r="U38" s="586" t="str">
        <f t="shared" si="9"/>
        <v>--</v>
      </c>
      <c r="V38" s="587" t="str">
        <f t="shared" si="10"/>
        <v>--</v>
      </c>
      <c r="W38" s="588" t="str">
        <f t="shared" si="11"/>
        <v>--</v>
      </c>
      <c r="X38" s="589" t="str">
        <f t="shared" si="12"/>
        <v>--</v>
      </c>
      <c r="Y38" s="590" t="str">
        <f t="shared" si="13"/>
        <v>--</v>
      </c>
      <c r="Z38" s="591">
        <f t="shared" si="14"/>
      </c>
      <c r="AA38" s="54">
        <f t="shared" si="15"/>
      </c>
      <c r="AB38" s="3"/>
    </row>
    <row r="39" spans="2:28" ht="16.5" customHeight="1">
      <c r="B39" s="55"/>
      <c r="C39" s="496"/>
      <c r="D39" s="496"/>
      <c r="E39" s="496"/>
      <c r="F39" s="497"/>
      <c r="G39" s="498"/>
      <c r="H39" s="499"/>
      <c r="I39" s="266">
        <f t="shared" si="0"/>
        <v>31.92725</v>
      </c>
      <c r="J39" s="504"/>
      <c r="K39" s="504"/>
      <c r="L39" s="13">
        <f t="shared" si="1"/>
      </c>
      <c r="M39" s="14">
        <f t="shared" si="2"/>
      </c>
      <c r="N39" s="505"/>
      <c r="O39" s="580">
        <f t="shared" si="3"/>
      </c>
      <c r="P39" s="581" t="str">
        <f t="shared" si="4"/>
        <v>--</v>
      </c>
      <c r="Q39" s="582" t="str">
        <f t="shared" si="5"/>
        <v>--</v>
      </c>
      <c r="R39" s="583" t="str">
        <f t="shared" si="6"/>
        <v>--</v>
      </c>
      <c r="S39" s="584" t="str">
        <f t="shared" si="7"/>
        <v>--</v>
      </c>
      <c r="T39" s="585" t="str">
        <f t="shared" si="8"/>
        <v>--</v>
      </c>
      <c r="U39" s="586" t="str">
        <f t="shared" si="9"/>
        <v>--</v>
      </c>
      <c r="V39" s="587" t="str">
        <f t="shared" si="10"/>
        <v>--</v>
      </c>
      <c r="W39" s="588" t="str">
        <f t="shared" si="11"/>
        <v>--</v>
      </c>
      <c r="X39" s="589" t="str">
        <f t="shared" si="12"/>
        <v>--</v>
      </c>
      <c r="Y39" s="590" t="str">
        <f t="shared" si="13"/>
        <v>--</v>
      </c>
      <c r="Z39" s="591">
        <f t="shared" si="14"/>
      </c>
      <c r="AA39" s="54">
        <f t="shared" si="15"/>
      </c>
      <c r="AB39" s="3"/>
    </row>
    <row r="40" spans="2:28" ht="16.5" customHeight="1">
      <c r="B40" s="55"/>
      <c r="C40" s="496"/>
      <c r="D40" s="496"/>
      <c r="E40" s="496"/>
      <c r="F40" s="497"/>
      <c r="G40" s="498"/>
      <c r="H40" s="499"/>
      <c r="I40" s="266">
        <f t="shared" si="0"/>
        <v>31.92725</v>
      </c>
      <c r="J40" s="504"/>
      <c r="K40" s="504"/>
      <c r="L40" s="13">
        <f t="shared" si="1"/>
      </c>
      <c r="M40" s="14">
        <f t="shared" si="2"/>
      </c>
      <c r="N40" s="505"/>
      <c r="O40" s="580">
        <f t="shared" si="3"/>
      </c>
      <c r="P40" s="581" t="str">
        <f t="shared" si="4"/>
        <v>--</v>
      </c>
      <c r="Q40" s="582" t="str">
        <f t="shared" si="5"/>
        <v>--</v>
      </c>
      <c r="R40" s="583" t="str">
        <f t="shared" si="6"/>
        <v>--</v>
      </c>
      <c r="S40" s="584" t="str">
        <f t="shared" si="7"/>
        <v>--</v>
      </c>
      <c r="T40" s="585" t="str">
        <f t="shared" si="8"/>
        <v>--</v>
      </c>
      <c r="U40" s="586" t="str">
        <f t="shared" si="9"/>
        <v>--</v>
      </c>
      <c r="V40" s="587" t="str">
        <f t="shared" si="10"/>
        <v>--</v>
      </c>
      <c r="W40" s="588" t="str">
        <f t="shared" si="11"/>
        <v>--</v>
      </c>
      <c r="X40" s="589" t="str">
        <f t="shared" si="12"/>
        <v>--</v>
      </c>
      <c r="Y40" s="590" t="str">
        <f t="shared" si="13"/>
        <v>--</v>
      </c>
      <c r="Z40" s="591">
        <f t="shared" si="14"/>
      </c>
      <c r="AA40" s="54">
        <f t="shared" si="15"/>
      </c>
      <c r="AB40" s="3"/>
    </row>
    <row r="41" spans="2:28" ht="16.5" customHeight="1">
      <c r="B41" s="55"/>
      <c r="C41" s="496"/>
      <c r="D41" s="496"/>
      <c r="E41" s="496"/>
      <c r="F41" s="497"/>
      <c r="G41" s="498"/>
      <c r="H41" s="499"/>
      <c r="I41" s="266">
        <f t="shared" si="0"/>
        <v>31.92725</v>
      </c>
      <c r="J41" s="504"/>
      <c r="K41" s="504"/>
      <c r="L41" s="13">
        <f t="shared" si="1"/>
      </c>
      <c r="M41" s="14">
        <f t="shared" si="2"/>
      </c>
      <c r="N41" s="505"/>
      <c r="O41" s="580">
        <f t="shared" si="3"/>
      </c>
      <c r="P41" s="581" t="str">
        <f t="shared" si="4"/>
        <v>--</v>
      </c>
      <c r="Q41" s="582" t="str">
        <f t="shared" si="5"/>
        <v>--</v>
      </c>
      <c r="R41" s="583" t="str">
        <f t="shared" si="6"/>
        <v>--</v>
      </c>
      <c r="S41" s="584" t="str">
        <f t="shared" si="7"/>
        <v>--</v>
      </c>
      <c r="T41" s="585" t="str">
        <f t="shared" si="8"/>
        <v>--</v>
      </c>
      <c r="U41" s="586" t="str">
        <f t="shared" si="9"/>
        <v>--</v>
      </c>
      <c r="V41" s="587" t="str">
        <f t="shared" si="10"/>
        <v>--</v>
      </c>
      <c r="W41" s="588" t="str">
        <f t="shared" si="11"/>
        <v>--</v>
      </c>
      <c r="X41" s="589" t="str">
        <f t="shared" si="12"/>
        <v>--</v>
      </c>
      <c r="Y41" s="590" t="str">
        <f t="shared" si="13"/>
        <v>--</v>
      </c>
      <c r="Z41" s="591">
        <f t="shared" si="14"/>
      </c>
      <c r="AA41" s="54">
        <f t="shared" si="15"/>
      </c>
      <c r="AB41" s="3"/>
    </row>
    <row r="42" spans="1:28" ht="16.5" customHeight="1" thickBot="1">
      <c r="A42" s="1"/>
      <c r="B42" s="2"/>
      <c r="C42" s="500"/>
      <c r="D42" s="500"/>
      <c r="E42" s="500"/>
      <c r="F42" s="501"/>
      <c r="G42" s="502"/>
      <c r="H42" s="503"/>
      <c r="I42" s="267"/>
      <c r="J42" s="503"/>
      <c r="K42" s="503"/>
      <c r="L42" s="15"/>
      <c r="M42" s="15"/>
      <c r="N42" s="503"/>
      <c r="O42" s="506"/>
      <c r="P42" s="507"/>
      <c r="Q42" s="508"/>
      <c r="R42" s="509"/>
      <c r="S42" s="510"/>
      <c r="T42" s="511"/>
      <c r="U42" s="512"/>
      <c r="V42" s="513"/>
      <c r="W42" s="514"/>
      <c r="X42" s="515"/>
      <c r="Y42" s="516"/>
      <c r="Z42" s="517"/>
      <c r="AA42" s="56"/>
      <c r="AB42" s="3"/>
    </row>
    <row r="43" spans="1:28" ht="16.5" customHeight="1" thickBot="1" thickTop="1">
      <c r="A43" s="1"/>
      <c r="B43" s="2"/>
      <c r="C43" s="609" t="s">
        <v>247</v>
      </c>
      <c r="D43" s="608" t="s">
        <v>248</v>
      </c>
      <c r="E43" s="576"/>
      <c r="F43" s="239"/>
      <c r="G43" s="16"/>
      <c r="H43" s="17"/>
      <c r="I43" s="57"/>
      <c r="J43" s="57"/>
      <c r="K43" s="57"/>
      <c r="L43" s="57"/>
      <c r="M43" s="57"/>
      <c r="N43" s="57"/>
      <c r="O43" s="58"/>
      <c r="P43" s="325">
        <f aca="true" t="shared" si="16" ref="P43:Y43">ROUND(SUM(P20:P42),2)</f>
        <v>62.05</v>
      </c>
      <c r="Q43" s="326">
        <f t="shared" si="16"/>
        <v>0</v>
      </c>
      <c r="R43" s="327">
        <f t="shared" si="16"/>
        <v>0</v>
      </c>
      <c r="S43" s="327">
        <f t="shared" si="16"/>
        <v>0</v>
      </c>
      <c r="T43" s="328">
        <f t="shared" si="16"/>
        <v>0</v>
      </c>
      <c r="U43" s="329">
        <f t="shared" si="16"/>
        <v>0</v>
      </c>
      <c r="V43" s="329">
        <f t="shared" si="16"/>
        <v>0</v>
      </c>
      <c r="W43" s="330">
        <f t="shared" si="16"/>
        <v>0</v>
      </c>
      <c r="X43" s="331">
        <f t="shared" si="16"/>
        <v>0</v>
      </c>
      <c r="Y43" s="332">
        <f t="shared" si="16"/>
        <v>0</v>
      </c>
      <c r="Z43" s="59"/>
      <c r="AA43" s="579">
        <f>ROUND(SUM(AA20:AA42),2)</f>
        <v>62.05</v>
      </c>
      <c r="AB43" s="60"/>
    </row>
    <row r="44" spans="1:28" s="253" customFormat="1" ht="9.75" thickTop="1">
      <c r="A44" s="242"/>
      <c r="B44" s="243"/>
      <c r="C44" s="240"/>
      <c r="D44" s="240"/>
      <c r="E44" s="240"/>
      <c r="F44" s="241"/>
      <c r="G44" s="244"/>
      <c r="H44" s="245"/>
      <c r="I44" s="246"/>
      <c r="J44" s="246"/>
      <c r="K44" s="246"/>
      <c r="L44" s="246"/>
      <c r="M44" s="246"/>
      <c r="N44" s="246"/>
      <c r="O44" s="247"/>
      <c r="P44" s="248"/>
      <c r="Q44" s="248"/>
      <c r="R44" s="249"/>
      <c r="S44" s="249"/>
      <c r="T44" s="250"/>
      <c r="U44" s="250"/>
      <c r="V44" s="250"/>
      <c r="W44" s="250"/>
      <c r="X44" s="250"/>
      <c r="Y44" s="250"/>
      <c r="Z44" s="250"/>
      <c r="AA44" s="251"/>
      <c r="AB44" s="252"/>
    </row>
    <row r="45" spans="1:28" s="10" customFormat="1" ht="16.5" customHeight="1" thickBot="1">
      <c r="A45" s="8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7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W49"/>
  <sheetViews>
    <sheetView zoomScale="70" zoomScaleNormal="70" zoomScalePageLayoutView="0" workbookViewId="0" topLeftCell="A1">
      <selection activeCell="F50" sqref="F50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8" customFormat="1" ht="26.25">
      <c r="W1" s="402"/>
    </row>
    <row r="2" spans="2:23" s="108" customFormat="1" ht="26.25">
      <c r="B2" s="109" t="str">
        <f>+'TOT-0812'!B2</f>
        <v>ANEXO II al Memorándum  D.T.E.E.  N°             / 2013</v>
      </c>
      <c r="C2" s="110"/>
      <c r="D2" s="110"/>
      <c r="E2" s="110"/>
      <c r="F2" s="110"/>
      <c r="G2" s="109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="10" customFormat="1" ht="12.75"/>
    <row r="4" spans="1:4" s="111" customFormat="1" ht="11.25">
      <c r="A4" s="578" t="s">
        <v>16</v>
      </c>
      <c r="C4" s="577"/>
      <c r="D4" s="577"/>
    </row>
    <row r="5" spans="1:4" s="111" customFormat="1" ht="11.25">
      <c r="A5" s="578" t="s">
        <v>202</v>
      </c>
      <c r="C5" s="577"/>
      <c r="D5" s="577"/>
    </row>
    <row r="6" s="10" customFormat="1" ht="13.5" thickBot="1"/>
    <row r="7" spans="2:23" s="10" customFormat="1" ht="13.5" thickTop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</row>
    <row r="8" spans="2:23" s="113" customFormat="1" ht="20.25">
      <c r="B8" s="112"/>
      <c r="C8" s="44"/>
      <c r="D8" s="44"/>
      <c r="E8" s="44"/>
      <c r="F8" s="21" t="s">
        <v>31</v>
      </c>
      <c r="P8" s="44"/>
      <c r="Q8" s="44"/>
      <c r="R8" s="44"/>
      <c r="S8" s="44"/>
      <c r="T8" s="44"/>
      <c r="U8" s="44"/>
      <c r="V8" s="44"/>
      <c r="W8" s="114"/>
    </row>
    <row r="9" spans="2:23" s="10" customFormat="1" ht="12.75">
      <c r="B9" s="43"/>
      <c r="C9" s="8"/>
      <c r="D9" s="8"/>
      <c r="E9" s="8"/>
      <c r="F9" s="8"/>
      <c r="G9" s="8"/>
      <c r="H9" s="8"/>
      <c r="I9" s="122"/>
      <c r="J9" s="122"/>
      <c r="K9" s="122"/>
      <c r="L9" s="122"/>
      <c r="M9" s="122"/>
      <c r="P9" s="8"/>
      <c r="Q9" s="8"/>
      <c r="R9" s="8"/>
      <c r="S9" s="8"/>
      <c r="T9" s="8"/>
      <c r="U9" s="8"/>
      <c r="V9" s="8"/>
      <c r="W9" s="11"/>
    </row>
    <row r="10" spans="2:23" s="113" customFormat="1" ht="20.25">
      <c r="B10" s="112"/>
      <c r="C10" s="44"/>
      <c r="D10" s="44"/>
      <c r="E10" s="44"/>
      <c r="F10" s="21" t="s">
        <v>258</v>
      </c>
      <c r="G10" s="21"/>
      <c r="H10" s="44"/>
      <c r="I10" s="21"/>
      <c r="J10" s="21"/>
      <c r="K10" s="21"/>
      <c r="L10" s="21"/>
      <c r="M10" s="21"/>
      <c r="P10" s="44"/>
      <c r="Q10" s="44"/>
      <c r="R10" s="44"/>
      <c r="S10" s="44"/>
      <c r="T10" s="44"/>
      <c r="U10" s="44"/>
      <c r="V10" s="44"/>
      <c r="W10" s="114"/>
    </row>
    <row r="11" spans="2:23" s="10" customFormat="1" ht="12.75">
      <c r="B11" s="43"/>
      <c r="C11" s="8"/>
      <c r="D11" s="8"/>
      <c r="E11" s="8"/>
      <c r="F11" s="124"/>
      <c r="G11" s="122"/>
      <c r="H11" s="8"/>
      <c r="I11" s="122"/>
      <c r="J11" s="122"/>
      <c r="K11" s="122"/>
      <c r="L11" s="122"/>
      <c r="M11" s="122"/>
      <c r="P11" s="8"/>
      <c r="Q11" s="8"/>
      <c r="R11" s="8"/>
      <c r="S11" s="8"/>
      <c r="T11" s="8"/>
      <c r="U11" s="8"/>
      <c r="V11" s="8"/>
      <c r="W11" s="11"/>
    </row>
    <row r="12" spans="2:23" s="120" customFormat="1" ht="19.5">
      <c r="B12" s="86" t="str">
        <f>+'TOT-0812'!B14</f>
        <v>Desde el 01 al 31 de agosto de 2012</v>
      </c>
      <c r="C12" s="116"/>
      <c r="D12" s="116"/>
      <c r="E12" s="116"/>
      <c r="F12" s="116"/>
      <c r="G12" s="116"/>
      <c r="H12" s="85"/>
      <c r="I12" s="116"/>
      <c r="J12" s="117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9"/>
    </row>
    <row r="13" spans="2:23" s="120" customFormat="1" ht="7.5" customHeight="1">
      <c r="B13" s="86"/>
      <c r="C13" s="116"/>
      <c r="D13" s="116"/>
      <c r="E13" s="116"/>
      <c r="F13" s="116"/>
      <c r="G13" s="116"/>
      <c r="H13" s="85"/>
      <c r="I13" s="116"/>
      <c r="J13" s="117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9"/>
    </row>
    <row r="14" spans="2:23" s="10" customFormat="1" ht="7.5" customHeight="1" thickBot="1">
      <c r="B14" s="43"/>
      <c r="C14" s="8"/>
      <c r="D14" s="8"/>
      <c r="E14" s="8"/>
      <c r="I14" s="121"/>
      <c r="K14" s="8"/>
      <c r="L14" s="8"/>
      <c r="M14" s="8"/>
      <c r="N14" s="121"/>
      <c r="O14" s="121"/>
      <c r="P14" s="121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3"/>
      <c r="C15" s="8"/>
      <c r="D15" s="8"/>
      <c r="E15" s="8"/>
      <c r="F15" s="218" t="s">
        <v>66</v>
      </c>
      <c r="G15" s="219">
        <v>14.839</v>
      </c>
      <c r="H15" s="92">
        <f>60*'TOT-0812'!B13</f>
        <v>60</v>
      </c>
      <c r="I15" s="121"/>
      <c r="J15" s="234" t="str">
        <f>IF(H15=60," ",IF(H15=120,"Coeficiente duplicado por tasa de falla &gt;4 Sal. x año/100 km.","REVISAR COEFICIENTE"))</f>
        <v> </v>
      </c>
      <c r="K15" s="8"/>
      <c r="L15" s="8"/>
      <c r="M15" s="8"/>
      <c r="N15" s="121"/>
      <c r="O15" s="121"/>
      <c r="P15" s="121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3"/>
      <c r="C16" s="8"/>
      <c r="D16" s="8"/>
      <c r="E16" s="8"/>
      <c r="F16" s="218" t="s">
        <v>67</v>
      </c>
      <c r="G16" s="219">
        <v>5.938</v>
      </c>
      <c r="H16" s="92">
        <f>50*'TOT-0812'!B13</f>
        <v>50</v>
      </c>
      <c r="J16" s="234" t="str">
        <f>IF(H16=50," ",IF(H16=100,"Coeficiente duplicado por tasa de falla &gt;4 Sal. x año/100 km.","REVISAR COEFICIENTE"))</f>
        <v> </v>
      </c>
      <c r="Q16" s="272"/>
      <c r="S16" s="8"/>
      <c r="T16" s="8"/>
      <c r="U16" s="8"/>
      <c r="V16" s="215"/>
      <c r="W16" s="11"/>
    </row>
    <row r="17" spans="2:23" s="10" customFormat="1" ht="16.5" customHeight="1" thickBot="1" thickTop="1">
      <c r="B17" s="43"/>
      <c r="C17" s="8"/>
      <c r="D17" s="8"/>
      <c r="E17" s="8"/>
      <c r="F17" s="220" t="s">
        <v>68</v>
      </c>
      <c r="G17" s="221">
        <v>4.456</v>
      </c>
      <c r="H17" s="222">
        <f>25*'TOT-0812'!B13</f>
        <v>25</v>
      </c>
      <c r="J17" s="234" t="str">
        <f>IF(H17=25," ",IF(H17=50,"Coeficiente duplicado por tasa de falla &gt;4 Sal. x año/100 km.","REVISAR COEFICIENTE"))</f>
        <v> </v>
      </c>
      <c r="K17" s="166"/>
      <c r="L17" s="166"/>
      <c r="M17" s="8"/>
      <c r="P17" s="216"/>
      <c r="Q17" s="217"/>
      <c r="R17" s="36"/>
      <c r="S17" s="8"/>
      <c r="T17" s="8"/>
      <c r="U17" s="8"/>
      <c r="V17" s="215"/>
      <c r="W17" s="11"/>
    </row>
    <row r="18" spans="2:23" s="10" customFormat="1" ht="16.5" customHeight="1" thickBot="1" thickTop="1">
      <c r="B18" s="43"/>
      <c r="C18" s="8"/>
      <c r="D18" s="8"/>
      <c r="E18" s="8"/>
      <c r="F18" s="223" t="s">
        <v>69</v>
      </c>
      <c r="G18" s="221">
        <v>4.456</v>
      </c>
      <c r="H18" s="224">
        <f>20*'TOT-0812'!B13</f>
        <v>20</v>
      </c>
      <c r="J18" s="234" t="str">
        <f>IF(H18=20," ",IF(H18=40,"Coeficiente duplicado por tasa de falla &gt;4 Sal. x año/100 km.","REVISAR COEFICIENTE"))</f>
        <v> </v>
      </c>
      <c r="K18" s="166"/>
      <c r="L18" s="166"/>
      <c r="M18" s="8"/>
      <c r="P18" s="216"/>
      <c r="Q18" s="217"/>
      <c r="R18" s="36"/>
      <c r="S18" s="8"/>
      <c r="T18" s="8"/>
      <c r="U18" s="8"/>
      <c r="V18" s="215"/>
      <c r="W18" s="11"/>
    </row>
    <row r="19" spans="2:23" s="10" customFormat="1" ht="7.5" customHeight="1" thickTop="1">
      <c r="B19" s="43"/>
      <c r="C19" s="8"/>
      <c r="D19" s="8"/>
      <c r="E19" s="8"/>
      <c r="F19" s="97"/>
      <c r="G19" s="555"/>
      <c r="H19" s="556"/>
      <c r="J19" s="234"/>
      <c r="K19" s="166"/>
      <c r="L19" s="166"/>
      <c r="M19" s="8"/>
      <c r="P19" s="216"/>
      <c r="Q19" s="217"/>
      <c r="R19" s="36"/>
      <c r="S19" s="8"/>
      <c r="T19" s="8"/>
      <c r="U19" s="8"/>
      <c r="V19" s="215"/>
      <c r="W19" s="11"/>
    </row>
    <row r="20" spans="2:23" s="600" customFormat="1" ht="15" customHeight="1" thickBot="1">
      <c r="B20" s="597"/>
      <c r="C20" s="596">
        <v>3</v>
      </c>
      <c r="D20" s="596">
        <v>4</v>
      </c>
      <c r="E20" s="596">
        <v>5</v>
      </c>
      <c r="F20" s="596">
        <v>6</v>
      </c>
      <c r="G20" s="596">
        <v>7</v>
      </c>
      <c r="H20" s="596">
        <v>8</v>
      </c>
      <c r="I20" s="596">
        <v>9</v>
      </c>
      <c r="J20" s="596">
        <v>10</v>
      </c>
      <c r="K20" s="596">
        <v>11</v>
      </c>
      <c r="L20" s="596">
        <v>12</v>
      </c>
      <c r="M20" s="596">
        <v>13</v>
      </c>
      <c r="N20" s="596">
        <v>14</v>
      </c>
      <c r="O20" s="596">
        <v>15</v>
      </c>
      <c r="P20" s="596">
        <v>16</v>
      </c>
      <c r="Q20" s="596">
        <v>17</v>
      </c>
      <c r="R20" s="596">
        <v>18</v>
      </c>
      <c r="S20" s="596">
        <v>19</v>
      </c>
      <c r="T20" s="596">
        <v>20</v>
      </c>
      <c r="U20" s="596">
        <v>21</v>
      </c>
      <c r="V20" s="596">
        <v>22</v>
      </c>
      <c r="W20" s="599"/>
    </row>
    <row r="21" spans="2:23" s="10" customFormat="1" ht="33.75" customHeight="1" thickBot="1" thickTop="1">
      <c r="B21" s="43"/>
      <c r="C21" s="211" t="s">
        <v>35</v>
      </c>
      <c r="D21" s="100" t="s">
        <v>201</v>
      </c>
      <c r="E21" s="100" t="s">
        <v>200</v>
      </c>
      <c r="F21" s="209" t="s">
        <v>55</v>
      </c>
      <c r="G21" s="225" t="s">
        <v>14</v>
      </c>
      <c r="H21" s="228" t="s">
        <v>36</v>
      </c>
      <c r="I21" s="263" t="s">
        <v>38</v>
      </c>
      <c r="J21" s="205" t="s">
        <v>39</v>
      </c>
      <c r="K21" s="225" t="s">
        <v>40</v>
      </c>
      <c r="L21" s="227" t="s">
        <v>59</v>
      </c>
      <c r="M21" s="227" t="s">
        <v>60</v>
      </c>
      <c r="N21" s="104" t="s">
        <v>43</v>
      </c>
      <c r="O21" s="210" t="s">
        <v>61</v>
      </c>
      <c r="P21" s="384" t="s">
        <v>70</v>
      </c>
      <c r="Q21" s="318" t="s">
        <v>45</v>
      </c>
      <c r="R21" s="358" t="s">
        <v>65</v>
      </c>
      <c r="S21" s="359"/>
      <c r="T21" s="394" t="s">
        <v>49</v>
      </c>
      <c r="U21" s="207" t="s">
        <v>51</v>
      </c>
      <c r="V21" s="207" t="s">
        <v>52</v>
      </c>
      <c r="W21" s="37"/>
    </row>
    <row r="22" spans="2:23" s="10" customFormat="1" ht="16.5" customHeight="1" thickTop="1">
      <c r="B22" s="43"/>
      <c r="C22" s="20"/>
      <c r="D22" s="18"/>
      <c r="E22" s="18"/>
      <c r="F22" s="32"/>
      <c r="G22" s="32"/>
      <c r="H22" s="12"/>
      <c r="I22" s="271"/>
      <c r="J22" s="33"/>
      <c r="K22" s="34"/>
      <c r="L22" s="35"/>
      <c r="M22" s="63"/>
      <c r="N22" s="386"/>
      <c r="O22" s="386"/>
      <c r="P22" s="387"/>
      <c r="Q22" s="389"/>
      <c r="R22" s="391"/>
      <c r="S22" s="392"/>
      <c r="T22" s="395"/>
      <c r="U22" s="393"/>
      <c r="V22" s="388"/>
      <c r="W22" s="37"/>
    </row>
    <row r="23" spans="2:23" s="10" customFormat="1" ht="16.5" customHeight="1">
      <c r="B23" s="43"/>
      <c r="C23" s="20"/>
      <c r="D23" s="18"/>
      <c r="E23" s="18"/>
      <c r="F23" s="32"/>
      <c r="G23" s="32"/>
      <c r="H23" s="12"/>
      <c r="I23" s="271"/>
      <c r="J23" s="33"/>
      <c r="K23" s="34"/>
      <c r="L23" s="35"/>
      <c r="M23" s="63"/>
      <c r="N23" s="28"/>
      <c r="O23" s="28"/>
      <c r="P23" s="385"/>
      <c r="Q23" s="390"/>
      <c r="R23" s="364"/>
      <c r="S23" s="365"/>
      <c r="T23" s="396"/>
      <c r="U23" s="25"/>
      <c r="V23" s="226"/>
      <c r="W23" s="37"/>
    </row>
    <row r="24" spans="2:23" s="10" customFormat="1" ht="16.5" customHeight="1">
      <c r="B24" s="43"/>
      <c r="C24" s="527">
        <v>18</v>
      </c>
      <c r="D24" s="518">
        <v>250952</v>
      </c>
      <c r="E24" s="518">
        <v>3515</v>
      </c>
      <c r="F24" s="518" t="s">
        <v>126</v>
      </c>
      <c r="G24" s="518" t="s">
        <v>239</v>
      </c>
      <c r="H24" s="607">
        <v>132</v>
      </c>
      <c r="I24" s="271">
        <f aca="true" t="shared" si="0" ref="I24:I43">IF(H24=330,$G$15,IF(AND(H24&lt;=132,H24&gt;=66),$G$16,IF(AND(H24&lt;66,H24&gt;=33),$G$17,$G$18)))</f>
        <v>5.938</v>
      </c>
      <c r="J24" s="529">
        <v>41146.36041666667</v>
      </c>
      <c r="K24" s="530">
        <v>41146.525</v>
      </c>
      <c r="L24" s="35">
        <f aca="true" t="shared" si="1" ref="L24:L43">IF(F24="","",(K24-J24)*24)</f>
        <v>3.949999999953434</v>
      </c>
      <c r="M24" s="63">
        <f aca="true" t="shared" si="2" ref="M24:M43">IF(F24="","",ROUND((K24-J24)*24*60,0))</f>
        <v>237</v>
      </c>
      <c r="N24" s="531" t="s">
        <v>226</v>
      </c>
      <c r="O24" s="28" t="str">
        <f aca="true" t="shared" si="3" ref="O24:O43">IF(F24="","",IF(N24="P","--","NO"))</f>
        <v>--</v>
      </c>
      <c r="P24" s="385">
        <f aca="true" t="shared" si="4" ref="P24:P43">IF(H24=330,$H$15,IF(AND(H24&lt;=132,H24&gt;=66),$H$16,IF(AND(H24&lt;66,H24&gt;13.2),$H$17,$H$18)))</f>
        <v>50</v>
      </c>
      <c r="Q24" s="593">
        <f aca="true" t="shared" si="5" ref="Q24:Q43">IF(N24="P",I24*P24*ROUND(M24/60,2)*0.1,"--")</f>
        <v>117.2755</v>
      </c>
      <c r="R24" s="364" t="str">
        <f aca="true" t="shared" si="6" ref="R24:R43">IF(AND(N24="F",O24="NO"),I24*P24,"--")</f>
        <v>--</v>
      </c>
      <c r="S24" s="365" t="str">
        <f aca="true" t="shared" si="7" ref="S24:S43">IF(N24="F",I24*P24*ROUND(M24/60,2),"--")</f>
        <v>--</v>
      </c>
      <c r="T24" s="396" t="str">
        <f aca="true" t="shared" si="8" ref="T24:T43">IF(N24="RF",I24*P24*ROUND(M24/60,2),"--")</f>
        <v>--</v>
      </c>
      <c r="U24" s="25" t="str">
        <f aca="true" t="shared" si="9" ref="U24:U43">IF(F24="","","SI")</f>
        <v>SI</v>
      </c>
      <c r="V24" s="64">
        <f aca="true" t="shared" si="10" ref="V24:V43">IF(F24="","",SUM(Q24:T24)*IF(U24="SI",1,2)*IF(H24="500/220",0,1))</f>
        <v>117.2755</v>
      </c>
      <c r="W24" s="37"/>
    </row>
    <row r="25" spans="2:23" s="10" customFormat="1" ht="16.5" customHeight="1">
      <c r="B25" s="43"/>
      <c r="C25" s="527"/>
      <c r="D25" s="518"/>
      <c r="E25" s="518"/>
      <c r="F25" s="528"/>
      <c r="G25" s="528"/>
      <c r="H25" s="534"/>
      <c r="I25" s="271">
        <f t="shared" si="0"/>
        <v>4.456</v>
      </c>
      <c r="J25" s="529"/>
      <c r="K25" s="530"/>
      <c r="L25" s="35">
        <f t="shared" si="1"/>
      </c>
      <c r="M25" s="63">
        <f t="shared" si="2"/>
      </c>
      <c r="N25" s="531"/>
      <c r="O25" s="28">
        <f t="shared" si="3"/>
      </c>
      <c r="P25" s="385">
        <f t="shared" si="4"/>
        <v>20</v>
      </c>
      <c r="Q25" s="593" t="str">
        <f t="shared" si="5"/>
        <v>--</v>
      </c>
      <c r="R25" s="364" t="str">
        <f t="shared" si="6"/>
        <v>--</v>
      </c>
      <c r="S25" s="365" t="str">
        <f t="shared" si="7"/>
        <v>--</v>
      </c>
      <c r="T25" s="396" t="str">
        <f t="shared" si="8"/>
        <v>--</v>
      </c>
      <c r="U25" s="25">
        <f t="shared" si="9"/>
      </c>
      <c r="V25" s="64">
        <f t="shared" si="10"/>
      </c>
      <c r="W25" s="37"/>
    </row>
    <row r="26" spans="2:23" s="10" customFormat="1" ht="16.5" customHeight="1">
      <c r="B26" s="43"/>
      <c r="C26" s="527"/>
      <c r="D26" s="518"/>
      <c r="E26" s="518"/>
      <c r="F26" s="528"/>
      <c r="G26" s="528"/>
      <c r="H26" s="534"/>
      <c r="I26" s="271">
        <f t="shared" si="0"/>
        <v>4.456</v>
      </c>
      <c r="J26" s="529"/>
      <c r="K26" s="530"/>
      <c r="L26" s="35">
        <f t="shared" si="1"/>
      </c>
      <c r="M26" s="63">
        <f t="shared" si="2"/>
      </c>
      <c r="N26" s="531"/>
      <c r="O26" s="28">
        <f t="shared" si="3"/>
      </c>
      <c r="P26" s="385">
        <f t="shared" si="4"/>
        <v>20</v>
      </c>
      <c r="Q26" s="593" t="str">
        <f t="shared" si="5"/>
        <v>--</v>
      </c>
      <c r="R26" s="364" t="str">
        <f t="shared" si="6"/>
        <v>--</v>
      </c>
      <c r="S26" s="365" t="str">
        <f t="shared" si="7"/>
        <v>--</v>
      </c>
      <c r="T26" s="396" t="str">
        <f t="shared" si="8"/>
        <v>--</v>
      </c>
      <c r="U26" s="25">
        <f t="shared" si="9"/>
      </c>
      <c r="V26" s="64">
        <f t="shared" si="10"/>
      </c>
      <c r="W26" s="37"/>
    </row>
    <row r="27" spans="2:23" s="10" customFormat="1" ht="16.5" customHeight="1">
      <c r="B27" s="43"/>
      <c r="C27" s="527"/>
      <c r="D27" s="518"/>
      <c r="E27" s="518"/>
      <c r="F27" s="528"/>
      <c r="G27" s="528"/>
      <c r="H27" s="534"/>
      <c r="I27" s="271">
        <f t="shared" si="0"/>
        <v>4.456</v>
      </c>
      <c r="J27" s="529"/>
      <c r="K27" s="530"/>
      <c r="L27" s="35">
        <f t="shared" si="1"/>
      </c>
      <c r="M27" s="63">
        <f t="shared" si="2"/>
      </c>
      <c r="N27" s="531"/>
      <c r="O27" s="28">
        <f t="shared" si="3"/>
      </c>
      <c r="P27" s="385">
        <f t="shared" si="4"/>
        <v>20</v>
      </c>
      <c r="Q27" s="593" t="str">
        <f t="shared" si="5"/>
        <v>--</v>
      </c>
      <c r="R27" s="364" t="str">
        <f t="shared" si="6"/>
        <v>--</v>
      </c>
      <c r="S27" s="365" t="str">
        <f t="shared" si="7"/>
        <v>--</v>
      </c>
      <c r="T27" s="396" t="str">
        <f t="shared" si="8"/>
        <v>--</v>
      </c>
      <c r="U27" s="25">
        <f t="shared" si="9"/>
      </c>
      <c r="V27" s="64">
        <f t="shared" si="10"/>
      </c>
      <c r="W27" s="37"/>
    </row>
    <row r="28" spans="2:23" s="10" customFormat="1" ht="16.5" customHeight="1">
      <c r="B28" s="43"/>
      <c r="C28" s="527"/>
      <c r="D28" s="518"/>
      <c r="E28" s="518"/>
      <c r="F28" s="528"/>
      <c r="G28" s="528"/>
      <c r="H28" s="534"/>
      <c r="I28" s="271">
        <f t="shared" si="0"/>
        <v>4.456</v>
      </c>
      <c r="J28" s="529"/>
      <c r="K28" s="530"/>
      <c r="L28" s="35">
        <f t="shared" si="1"/>
      </c>
      <c r="M28" s="63">
        <f t="shared" si="2"/>
      </c>
      <c r="N28" s="531"/>
      <c r="O28" s="28">
        <f t="shared" si="3"/>
      </c>
      <c r="P28" s="385">
        <f t="shared" si="4"/>
        <v>20</v>
      </c>
      <c r="Q28" s="593" t="str">
        <f t="shared" si="5"/>
        <v>--</v>
      </c>
      <c r="R28" s="364" t="str">
        <f t="shared" si="6"/>
        <v>--</v>
      </c>
      <c r="S28" s="365" t="str">
        <f t="shared" si="7"/>
        <v>--</v>
      </c>
      <c r="T28" s="396" t="str">
        <f t="shared" si="8"/>
        <v>--</v>
      </c>
      <c r="U28" s="25">
        <f t="shared" si="9"/>
      </c>
      <c r="V28" s="64">
        <f t="shared" si="10"/>
      </c>
      <c r="W28" s="37"/>
    </row>
    <row r="29" spans="2:23" s="10" customFormat="1" ht="16.5" customHeight="1">
      <c r="B29" s="43"/>
      <c r="C29" s="527"/>
      <c r="D29" s="518"/>
      <c r="E29" s="518"/>
      <c r="F29" s="528"/>
      <c r="G29" s="528"/>
      <c r="H29" s="534"/>
      <c r="I29" s="271">
        <f t="shared" si="0"/>
        <v>4.456</v>
      </c>
      <c r="J29" s="529"/>
      <c r="K29" s="530"/>
      <c r="L29" s="35">
        <f t="shared" si="1"/>
      </c>
      <c r="M29" s="63">
        <f t="shared" si="2"/>
      </c>
      <c r="N29" s="531"/>
      <c r="O29" s="28">
        <f t="shared" si="3"/>
      </c>
      <c r="P29" s="385">
        <f t="shared" si="4"/>
        <v>20</v>
      </c>
      <c r="Q29" s="593" t="str">
        <f t="shared" si="5"/>
        <v>--</v>
      </c>
      <c r="R29" s="364" t="str">
        <f t="shared" si="6"/>
        <v>--</v>
      </c>
      <c r="S29" s="365" t="str">
        <f t="shared" si="7"/>
        <v>--</v>
      </c>
      <c r="T29" s="396" t="str">
        <f t="shared" si="8"/>
        <v>--</v>
      </c>
      <c r="U29" s="25">
        <f t="shared" si="9"/>
      </c>
      <c r="V29" s="64">
        <f t="shared" si="10"/>
      </c>
      <c r="W29" s="37"/>
    </row>
    <row r="30" spans="2:23" s="10" customFormat="1" ht="16.5" customHeight="1">
      <c r="B30" s="43"/>
      <c r="C30" s="527"/>
      <c r="D30" s="518"/>
      <c r="E30" s="518"/>
      <c r="F30" s="528"/>
      <c r="G30" s="528"/>
      <c r="H30" s="534"/>
      <c r="I30" s="271">
        <f t="shared" si="0"/>
        <v>4.456</v>
      </c>
      <c r="J30" s="529"/>
      <c r="K30" s="530"/>
      <c r="L30" s="35">
        <f t="shared" si="1"/>
      </c>
      <c r="M30" s="63">
        <f t="shared" si="2"/>
      </c>
      <c r="N30" s="531"/>
      <c r="O30" s="28">
        <f t="shared" si="3"/>
      </c>
      <c r="P30" s="385">
        <f t="shared" si="4"/>
        <v>20</v>
      </c>
      <c r="Q30" s="593" t="str">
        <f t="shared" si="5"/>
        <v>--</v>
      </c>
      <c r="R30" s="364" t="str">
        <f t="shared" si="6"/>
        <v>--</v>
      </c>
      <c r="S30" s="365" t="str">
        <f t="shared" si="7"/>
        <v>--</v>
      </c>
      <c r="T30" s="396" t="str">
        <f t="shared" si="8"/>
        <v>--</v>
      </c>
      <c r="U30" s="25">
        <f t="shared" si="9"/>
      </c>
      <c r="V30" s="64">
        <f t="shared" si="10"/>
      </c>
      <c r="W30" s="37"/>
    </row>
    <row r="31" spans="2:23" s="10" customFormat="1" ht="16.5" customHeight="1">
      <c r="B31" s="43"/>
      <c r="C31" s="527"/>
      <c r="D31" s="518"/>
      <c r="E31" s="518"/>
      <c r="F31" s="528"/>
      <c r="G31" s="528"/>
      <c r="H31" s="534"/>
      <c r="I31" s="271">
        <f t="shared" si="0"/>
        <v>4.456</v>
      </c>
      <c r="J31" s="529"/>
      <c r="K31" s="530"/>
      <c r="L31" s="35">
        <f t="shared" si="1"/>
      </c>
      <c r="M31" s="63">
        <f t="shared" si="2"/>
      </c>
      <c r="N31" s="531"/>
      <c r="O31" s="28">
        <f t="shared" si="3"/>
      </c>
      <c r="P31" s="385">
        <f t="shared" si="4"/>
        <v>20</v>
      </c>
      <c r="Q31" s="593" t="str">
        <f t="shared" si="5"/>
        <v>--</v>
      </c>
      <c r="R31" s="364" t="str">
        <f t="shared" si="6"/>
        <v>--</v>
      </c>
      <c r="S31" s="365" t="str">
        <f t="shared" si="7"/>
        <v>--</v>
      </c>
      <c r="T31" s="396" t="str">
        <f t="shared" si="8"/>
        <v>--</v>
      </c>
      <c r="U31" s="25">
        <f t="shared" si="9"/>
      </c>
      <c r="V31" s="64">
        <f t="shared" si="10"/>
      </c>
      <c r="W31" s="37"/>
    </row>
    <row r="32" spans="2:23" s="10" customFormat="1" ht="16.5" customHeight="1">
      <c r="B32" s="43"/>
      <c r="C32" s="527"/>
      <c r="D32" s="518"/>
      <c r="E32" s="518"/>
      <c r="F32" s="528"/>
      <c r="G32" s="528"/>
      <c r="H32" s="534"/>
      <c r="I32" s="271">
        <f t="shared" si="0"/>
        <v>4.456</v>
      </c>
      <c r="J32" s="529"/>
      <c r="K32" s="530"/>
      <c r="L32" s="35">
        <f t="shared" si="1"/>
      </c>
      <c r="M32" s="63">
        <f t="shared" si="2"/>
      </c>
      <c r="N32" s="531"/>
      <c r="O32" s="28">
        <f t="shared" si="3"/>
      </c>
      <c r="P32" s="385">
        <f t="shared" si="4"/>
        <v>20</v>
      </c>
      <c r="Q32" s="593" t="str">
        <f t="shared" si="5"/>
        <v>--</v>
      </c>
      <c r="R32" s="364" t="str">
        <f t="shared" si="6"/>
        <v>--</v>
      </c>
      <c r="S32" s="365" t="str">
        <f t="shared" si="7"/>
        <v>--</v>
      </c>
      <c r="T32" s="396" t="str">
        <f t="shared" si="8"/>
        <v>--</v>
      </c>
      <c r="U32" s="25">
        <f t="shared" si="9"/>
      </c>
      <c r="V32" s="64">
        <f t="shared" si="10"/>
      </c>
      <c r="W32" s="37"/>
    </row>
    <row r="33" spans="2:23" s="10" customFormat="1" ht="16.5" customHeight="1">
      <c r="B33" s="43"/>
      <c r="C33" s="527"/>
      <c r="D33" s="518"/>
      <c r="E33" s="518"/>
      <c r="F33" s="528"/>
      <c r="G33" s="528"/>
      <c r="H33" s="534"/>
      <c r="I33" s="271">
        <f t="shared" si="0"/>
        <v>4.456</v>
      </c>
      <c r="J33" s="529"/>
      <c r="K33" s="530"/>
      <c r="L33" s="35">
        <f t="shared" si="1"/>
      </c>
      <c r="M33" s="63">
        <f t="shared" si="2"/>
      </c>
      <c r="N33" s="531"/>
      <c r="O33" s="28">
        <f t="shared" si="3"/>
      </c>
      <c r="P33" s="385">
        <f t="shared" si="4"/>
        <v>20</v>
      </c>
      <c r="Q33" s="593" t="str">
        <f t="shared" si="5"/>
        <v>--</v>
      </c>
      <c r="R33" s="364" t="str">
        <f t="shared" si="6"/>
        <v>--</v>
      </c>
      <c r="S33" s="365" t="str">
        <f t="shared" si="7"/>
        <v>--</v>
      </c>
      <c r="T33" s="396" t="str">
        <f t="shared" si="8"/>
        <v>--</v>
      </c>
      <c r="U33" s="25">
        <f t="shared" si="9"/>
      </c>
      <c r="V33" s="64">
        <f t="shared" si="10"/>
      </c>
      <c r="W33" s="37"/>
    </row>
    <row r="34" spans="2:23" s="10" customFormat="1" ht="16.5" customHeight="1">
      <c r="B34" s="43"/>
      <c r="C34" s="527"/>
      <c r="D34" s="518"/>
      <c r="E34" s="518"/>
      <c r="F34" s="528"/>
      <c r="G34" s="528"/>
      <c r="H34" s="534"/>
      <c r="I34" s="271">
        <f t="shared" si="0"/>
        <v>4.456</v>
      </c>
      <c r="J34" s="529"/>
      <c r="K34" s="530"/>
      <c r="L34" s="35">
        <f t="shared" si="1"/>
      </c>
      <c r="M34" s="63">
        <f t="shared" si="2"/>
      </c>
      <c r="N34" s="531"/>
      <c r="O34" s="28">
        <f t="shared" si="3"/>
      </c>
      <c r="P34" s="385">
        <f t="shared" si="4"/>
        <v>20</v>
      </c>
      <c r="Q34" s="593" t="str">
        <f t="shared" si="5"/>
        <v>--</v>
      </c>
      <c r="R34" s="364" t="str">
        <f t="shared" si="6"/>
        <v>--</v>
      </c>
      <c r="S34" s="365" t="str">
        <f t="shared" si="7"/>
        <v>--</v>
      </c>
      <c r="T34" s="396" t="str">
        <f t="shared" si="8"/>
        <v>--</v>
      </c>
      <c r="U34" s="25">
        <f t="shared" si="9"/>
      </c>
      <c r="V34" s="64">
        <f t="shared" si="10"/>
      </c>
      <c r="W34" s="37"/>
    </row>
    <row r="35" spans="2:23" s="10" customFormat="1" ht="16.5" customHeight="1">
      <c r="B35" s="43"/>
      <c r="C35" s="527"/>
      <c r="D35" s="518"/>
      <c r="E35" s="518"/>
      <c r="F35" s="528"/>
      <c r="G35" s="528"/>
      <c r="H35" s="534"/>
      <c r="I35" s="271">
        <f t="shared" si="0"/>
        <v>4.456</v>
      </c>
      <c r="J35" s="529"/>
      <c r="K35" s="530"/>
      <c r="L35" s="35">
        <f t="shared" si="1"/>
      </c>
      <c r="M35" s="63">
        <f t="shared" si="2"/>
      </c>
      <c r="N35" s="531"/>
      <c r="O35" s="28">
        <f t="shared" si="3"/>
      </c>
      <c r="P35" s="385">
        <f t="shared" si="4"/>
        <v>20</v>
      </c>
      <c r="Q35" s="593" t="str">
        <f t="shared" si="5"/>
        <v>--</v>
      </c>
      <c r="R35" s="364" t="str">
        <f t="shared" si="6"/>
        <v>--</v>
      </c>
      <c r="S35" s="365" t="str">
        <f t="shared" si="7"/>
        <v>--</v>
      </c>
      <c r="T35" s="396" t="str">
        <f t="shared" si="8"/>
        <v>--</v>
      </c>
      <c r="U35" s="25">
        <f t="shared" si="9"/>
      </c>
      <c r="V35" s="64">
        <f t="shared" si="10"/>
      </c>
      <c r="W35" s="37"/>
    </row>
    <row r="36" spans="2:23" s="10" customFormat="1" ht="16.5" customHeight="1">
      <c r="B36" s="43"/>
      <c r="C36" s="527"/>
      <c r="D36" s="518"/>
      <c r="E36" s="518"/>
      <c r="F36" s="528"/>
      <c r="G36" s="528"/>
      <c r="H36" s="534"/>
      <c r="I36" s="271">
        <f t="shared" si="0"/>
        <v>4.456</v>
      </c>
      <c r="J36" s="529"/>
      <c r="K36" s="530"/>
      <c r="L36" s="35">
        <f t="shared" si="1"/>
      </c>
      <c r="M36" s="63">
        <f t="shared" si="2"/>
      </c>
      <c r="N36" s="531"/>
      <c r="O36" s="28">
        <f t="shared" si="3"/>
      </c>
      <c r="P36" s="385">
        <f t="shared" si="4"/>
        <v>20</v>
      </c>
      <c r="Q36" s="593" t="str">
        <f t="shared" si="5"/>
        <v>--</v>
      </c>
      <c r="R36" s="364" t="str">
        <f t="shared" si="6"/>
        <v>--</v>
      </c>
      <c r="S36" s="365" t="str">
        <f t="shared" si="7"/>
        <v>--</v>
      </c>
      <c r="T36" s="396" t="str">
        <f t="shared" si="8"/>
        <v>--</v>
      </c>
      <c r="U36" s="25">
        <f t="shared" si="9"/>
      </c>
      <c r="V36" s="64">
        <f t="shared" si="10"/>
      </c>
      <c r="W36" s="37"/>
    </row>
    <row r="37" spans="2:23" s="10" customFormat="1" ht="16.5" customHeight="1">
      <c r="B37" s="43"/>
      <c r="C37" s="527"/>
      <c r="D37" s="518"/>
      <c r="E37" s="518"/>
      <c r="F37" s="528"/>
      <c r="G37" s="528"/>
      <c r="H37" s="534"/>
      <c r="I37" s="271">
        <f t="shared" si="0"/>
        <v>4.456</v>
      </c>
      <c r="J37" s="529"/>
      <c r="K37" s="530"/>
      <c r="L37" s="35">
        <f t="shared" si="1"/>
      </c>
      <c r="M37" s="63">
        <f t="shared" si="2"/>
      </c>
      <c r="N37" s="531"/>
      <c r="O37" s="28">
        <f t="shared" si="3"/>
      </c>
      <c r="P37" s="385">
        <f t="shared" si="4"/>
        <v>20</v>
      </c>
      <c r="Q37" s="593" t="str">
        <f t="shared" si="5"/>
        <v>--</v>
      </c>
      <c r="R37" s="364" t="str">
        <f t="shared" si="6"/>
        <v>--</v>
      </c>
      <c r="S37" s="365" t="str">
        <f t="shared" si="7"/>
        <v>--</v>
      </c>
      <c r="T37" s="396" t="str">
        <f t="shared" si="8"/>
        <v>--</v>
      </c>
      <c r="U37" s="25">
        <f t="shared" si="9"/>
      </c>
      <c r="V37" s="64">
        <f t="shared" si="10"/>
      </c>
      <c r="W37" s="37"/>
    </row>
    <row r="38" spans="2:23" s="10" customFormat="1" ht="16.5" customHeight="1">
      <c r="B38" s="43"/>
      <c r="C38" s="527"/>
      <c r="D38" s="518"/>
      <c r="E38" s="518"/>
      <c r="F38" s="528"/>
      <c r="G38" s="528"/>
      <c r="H38" s="534"/>
      <c r="I38" s="271">
        <f t="shared" si="0"/>
        <v>4.456</v>
      </c>
      <c r="J38" s="529"/>
      <c r="K38" s="530"/>
      <c r="L38" s="35">
        <f t="shared" si="1"/>
      </c>
      <c r="M38" s="63">
        <f t="shared" si="2"/>
      </c>
      <c r="N38" s="531"/>
      <c r="O38" s="28">
        <f t="shared" si="3"/>
      </c>
      <c r="P38" s="385">
        <f t="shared" si="4"/>
        <v>20</v>
      </c>
      <c r="Q38" s="593" t="str">
        <f t="shared" si="5"/>
        <v>--</v>
      </c>
      <c r="R38" s="364" t="str">
        <f t="shared" si="6"/>
        <v>--</v>
      </c>
      <c r="S38" s="365" t="str">
        <f t="shared" si="7"/>
        <v>--</v>
      </c>
      <c r="T38" s="396" t="str">
        <f t="shared" si="8"/>
        <v>--</v>
      </c>
      <c r="U38" s="25">
        <f t="shared" si="9"/>
      </c>
      <c r="V38" s="64">
        <f t="shared" si="10"/>
      </c>
      <c r="W38" s="37"/>
    </row>
    <row r="39" spans="2:23" s="10" customFormat="1" ht="16.5" customHeight="1">
      <c r="B39" s="43"/>
      <c r="C39" s="527"/>
      <c r="D39" s="518"/>
      <c r="E39" s="518"/>
      <c r="F39" s="528"/>
      <c r="G39" s="528"/>
      <c r="H39" s="534"/>
      <c r="I39" s="271">
        <f t="shared" si="0"/>
        <v>4.456</v>
      </c>
      <c r="J39" s="529"/>
      <c r="K39" s="530"/>
      <c r="L39" s="35">
        <f t="shared" si="1"/>
      </c>
      <c r="M39" s="63">
        <f t="shared" si="2"/>
      </c>
      <c r="N39" s="531"/>
      <c r="O39" s="28">
        <f t="shared" si="3"/>
      </c>
      <c r="P39" s="385">
        <f t="shared" si="4"/>
        <v>20</v>
      </c>
      <c r="Q39" s="593" t="str">
        <f t="shared" si="5"/>
        <v>--</v>
      </c>
      <c r="R39" s="364" t="str">
        <f t="shared" si="6"/>
        <v>--</v>
      </c>
      <c r="S39" s="365" t="str">
        <f t="shared" si="7"/>
        <v>--</v>
      </c>
      <c r="T39" s="396" t="str">
        <f t="shared" si="8"/>
        <v>--</v>
      </c>
      <c r="U39" s="25">
        <f t="shared" si="9"/>
      </c>
      <c r="V39" s="64">
        <f t="shared" si="10"/>
      </c>
      <c r="W39" s="37"/>
    </row>
    <row r="40" spans="2:23" s="10" customFormat="1" ht="16.5" customHeight="1">
      <c r="B40" s="43"/>
      <c r="C40" s="527"/>
      <c r="D40" s="518"/>
      <c r="E40" s="518"/>
      <c r="F40" s="528"/>
      <c r="G40" s="528"/>
      <c r="H40" s="534"/>
      <c r="I40" s="271">
        <f t="shared" si="0"/>
        <v>4.456</v>
      </c>
      <c r="J40" s="529"/>
      <c r="K40" s="530"/>
      <c r="L40" s="35">
        <f t="shared" si="1"/>
      </c>
      <c r="M40" s="63">
        <f t="shared" si="2"/>
      </c>
      <c r="N40" s="531"/>
      <c r="O40" s="28">
        <f t="shared" si="3"/>
      </c>
      <c r="P40" s="385">
        <f t="shared" si="4"/>
        <v>20</v>
      </c>
      <c r="Q40" s="593" t="str">
        <f t="shared" si="5"/>
        <v>--</v>
      </c>
      <c r="R40" s="364" t="str">
        <f t="shared" si="6"/>
        <v>--</v>
      </c>
      <c r="S40" s="365" t="str">
        <f t="shared" si="7"/>
        <v>--</v>
      </c>
      <c r="T40" s="396" t="str">
        <f t="shared" si="8"/>
        <v>--</v>
      </c>
      <c r="U40" s="25">
        <f t="shared" si="9"/>
      </c>
      <c r="V40" s="64">
        <f t="shared" si="10"/>
      </c>
      <c r="W40" s="37"/>
    </row>
    <row r="41" spans="2:23" s="10" customFormat="1" ht="16.5" customHeight="1">
      <c r="B41" s="43"/>
      <c r="C41" s="527"/>
      <c r="D41" s="518"/>
      <c r="E41" s="518"/>
      <c r="F41" s="528"/>
      <c r="G41" s="528"/>
      <c r="H41" s="534"/>
      <c r="I41" s="271">
        <f t="shared" si="0"/>
        <v>4.456</v>
      </c>
      <c r="J41" s="529"/>
      <c r="K41" s="530"/>
      <c r="L41" s="35">
        <f t="shared" si="1"/>
      </c>
      <c r="M41" s="63">
        <f t="shared" si="2"/>
      </c>
      <c r="N41" s="531"/>
      <c r="O41" s="28">
        <f t="shared" si="3"/>
      </c>
      <c r="P41" s="385">
        <f t="shared" si="4"/>
        <v>20</v>
      </c>
      <c r="Q41" s="593" t="str">
        <f t="shared" si="5"/>
        <v>--</v>
      </c>
      <c r="R41" s="364" t="str">
        <f t="shared" si="6"/>
        <v>--</v>
      </c>
      <c r="S41" s="365" t="str">
        <f t="shared" si="7"/>
        <v>--</v>
      </c>
      <c r="T41" s="396" t="str">
        <f t="shared" si="8"/>
        <v>--</v>
      </c>
      <c r="U41" s="25">
        <f t="shared" si="9"/>
      </c>
      <c r="V41" s="64">
        <f t="shared" si="10"/>
      </c>
      <c r="W41" s="37"/>
    </row>
    <row r="42" spans="2:23" s="10" customFormat="1" ht="16.5" customHeight="1">
      <c r="B42" s="43"/>
      <c r="C42" s="527"/>
      <c r="D42" s="518"/>
      <c r="E42" s="518"/>
      <c r="F42" s="528"/>
      <c r="G42" s="528"/>
      <c r="H42" s="534"/>
      <c r="I42" s="271">
        <f t="shared" si="0"/>
        <v>4.456</v>
      </c>
      <c r="J42" s="529"/>
      <c r="K42" s="530"/>
      <c r="L42" s="35">
        <f t="shared" si="1"/>
      </c>
      <c r="M42" s="63">
        <f t="shared" si="2"/>
      </c>
      <c r="N42" s="531"/>
      <c r="O42" s="28">
        <f t="shared" si="3"/>
      </c>
      <c r="P42" s="385">
        <f t="shared" si="4"/>
        <v>20</v>
      </c>
      <c r="Q42" s="593" t="str">
        <f t="shared" si="5"/>
        <v>--</v>
      </c>
      <c r="R42" s="364" t="str">
        <f t="shared" si="6"/>
        <v>--</v>
      </c>
      <c r="S42" s="365" t="str">
        <f t="shared" si="7"/>
        <v>--</v>
      </c>
      <c r="T42" s="396" t="str">
        <f t="shared" si="8"/>
        <v>--</v>
      </c>
      <c r="U42" s="25">
        <f t="shared" si="9"/>
      </c>
      <c r="V42" s="64">
        <f t="shared" si="10"/>
      </c>
      <c r="W42" s="37"/>
    </row>
    <row r="43" spans="2:23" s="10" customFormat="1" ht="16.5" customHeight="1">
      <c r="B43" s="43"/>
      <c r="C43" s="527"/>
      <c r="D43" s="518"/>
      <c r="E43" s="518"/>
      <c r="F43" s="528"/>
      <c r="G43" s="528"/>
      <c r="H43" s="534"/>
      <c r="I43" s="271">
        <f t="shared" si="0"/>
        <v>4.456</v>
      </c>
      <c r="J43" s="529"/>
      <c r="K43" s="530"/>
      <c r="L43" s="35">
        <f t="shared" si="1"/>
      </c>
      <c r="M43" s="63">
        <f t="shared" si="2"/>
      </c>
      <c r="N43" s="531"/>
      <c r="O43" s="28">
        <f t="shared" si="3"/>
      </c>
      <c r="P43" s="385">
        <f t="shared" si="4"/>
        <v>20</v>
      </c>
      <c r="Q43" s="593" t="str">
        <f t="shared" si="5"/>
        <v>--</v>
      </c>
      <c r="R43" s="364" t="str">
        <f t="shared" si="6"/>
        <v>--</v>
      </c>
      <c r="S43" s="365" t="str">
        <f t="shared" si="7"/>
        <v>--</v>
      </c>
      <c r="T43" s="396" t="str">
        <f t="shared" si="8"/>
        <v>--</v>
      </c>
      <c r="U43" s="25">
        <f t="shared" si="9"/>
      </c>
      <c r="V43" s="64">
        <f t="shared" si="10"/>
      </c>
      <c r="W43" s="37"/>
    </row>
    <row r="44" spans="2:23" s="10" customFormat="1" ht="16.5" customHeight="1" thickBot="1">
      <c r="B44" s="43"/>
      <c r="C44" s="521"/>
      <c r="D44" s="521"/>
      <c r="E44" s="521"/>
      <c r="F44" s="521"/>
      <c r="G44" s="521"/>
      <c r="H44" s="521"/>
      <c r="I44" s="270"/>
      <c r="J44" s="521"/>
      <c r="K44" s="521"/>
      <c r="L44" s="29"/>
      <c r="M44" s="29"/>
      <c r="N44" s="521"/>
      <c r="O44" s="521"/>
      <c r="P44" s="532"/>
      <c r="Q44" s="533"/>
      <c r="R44" s="525"/>
      <c r="S44" s="526"/>
      <c r="T44" s="524"/>
      <c r="U44" s="521"/>
      <c r="V44" s="213"/>
      <c r="W44" s="37"/>
    </row>
    <row r="45" spans="2:23" s="10" customFormat="1" ht="16.5" customHeight="1" thickBot="1" thickTop="1">
      <c r="B45" s="43"/>
      <c r="C45" s="609" t="s">
        <v>247</v>
      </c>
      <c r="D45" s="608" t="s">
        <v>248</v>
      </c>
      <c r="E45" s="576"/>
      <c r="F45" s="2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7">
        <f>ROUND(SUM(Q22:Q44),2)</f>
        <v>117.28</v>
      </c>
      <c r="R45" s="325">
        <f>SUM(R22:R44)</f>
        <v>0</v>
      </c>
      <c r="S45" s="325">
        <f>SUM(S22:S44)</f>
        <v>0</v>
      </c>
      <c r="T45" s="398">
        <f>SUM(T22:T44)</f>
        <v>0</v>
      </c>
      <c r="U45" s="65"/>
      <c r="V45" s="254">
        <f>SUM(V22:V44)</f>
        <v>117.2755</v>
      </c>
      <c r="W45" s="37"/>
    </row>
    <row r="46" spans="2:23" s="256" customFormat="1" ht="9.75" thickTop="1">
      <c r="B46" s="255"/>
      <c r="C46" s="240"/>
      <c r="D46" s="240"/>
      <c r="E46" s="240"/>
      <c r="F46" s="241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60"/>
      <c r="V46" s="261"/>
      <c r="W46" s="262"/>
    </row>
    <row r="47" spans="1:23" s="10" customFormat="1" ht="16.5" customHeight="1" thickBot="1">
      <c r="A47" s="1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3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7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zoomScalePageLayoutView="0" workbookViewId="0" topLeftCell="A1">
      <selection activeCell="F50" sqref="F50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11.421875" style="0" customWidth="1"/>
    <col min="8" max="8" width="24.8515625" style="0" bestFit="1" customWidth="1"/>
    <col min="9" max="9" width="19.140625" style="0" customWidth="1"/>
    <col min="10" max="10" width="14.421875" style="0" customWidth="1"/>
    <col min="11" max="11" width="8.421875" style="0" customWidth="1"/>
    <col min="12" max="12" width="33.28125" style="0" customWidth="1"/>
    <col min="13" max="13" width="10.281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8" customFormat="1" ht="39.75" customHeight="1">
      <c r="P1" s="402"/>
    </row>
    <row r="2" spans="1:16" s="108" customFormat="1" ht="26.25">
      <c r="A2" s="169"/>
      <c r="B2" s="575" t="str">
        <f>'TOT-0812'!B2</f>
        <v>ANEXO II al Memorándum  D.T.E.E.  N°             / 2013</v>
      </c>
      <c r="C2" s="575"/>
      <c r="D2" s="575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4" s="111" customFormat="1" ht="12.75">
      <c r="A3" s="578" t="s">
        <v>203</v>
      </c>
      <c r="B3" s="10"/>
      <c r="C3" s="10"/>
      <c r="D3" s="10"/>
    </row>
    <row r="4" spans="1:4" s="111" customFormat="1" ht="11.25">
      <c r="A4" s="578" t="s">
        <v>249</v>
      </c>
      <c r="B4" s="229"/>
      <c r="C4" s="229"/>
      <c r="D4" s="229"/>
    </row>
    <row r="5" spans="1:4" s="10" customFormat="1" ht="13.5" thickBot="1">
      <c r="A5" s="578"/>
      <c r="B5" s="229"/>
      <c r="C5" s="229"/>
      <c r="D5" s="229"/>
    </row>
    <row r="6" spans="1:16" s="10" customFormat="1" ht="13.5" thickTop="1">
      <c r="A6" s="8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6" s="113" customFormat="1" ht="20.25">
      <c r="A7" s="44"/>
      <c r="B7" s="112"/>
      <c r="C7" s="44"/>
      <c r="D7" s="21" t="s">
        <v>31</v>
      </c>
      <c r="G7" s="44"/>
      <c r="H7" s="44"/>
      <c r="I7" s="44"/>
      <c r="J7" s="44"/>
      <c r="K7" s="44"/>
      <c r="L7" s="44"/>
      <c r="M7" s="44"/>
      <c r="N7" s="44"/>
      <c r="O7" s="44"/>
      <c r="P7" s="114"/>
    </row>
    <row r="8" spans="1:16" ht="15">
      <c r="A8" s="1"/>
      <c r="B8" s="273"/>
      <c r="C8" s="72"/>
      <c r="D8" s="403"/>
      <c r="E8" s="72"/>
      <c r="F8" s="70"/>
      <c r="G8" s="72"/>
      <c r="H8" s="72"/>
      <c r="I8" s="72"/>
      <c r="J8" s="72"/>
      <c r="K8" s="72"/>
      <c r="L8" s="72"/>
      <c r="M8" s="72"/>
      <c r="N8" s="72"/>
      <c r="O8" s="72"/>
      <c r="P8" s="277"/>
    </row>
    <row r="9" spans="1:19" s="113" customFormat="1" ht="20.25">
      <c r="A9" s="44"/>
      <c r="B9" s="404"/>
      <c r="C9"/>
      <c r="D9" s="22" t="s">
        <v>243</v>
      </c>
      <c r="E9" s="405"/>
      <c r="F9" s="405"/>
      <c r="G9" s="405"/>
      <c r="H9" s="406"/>
      <c r="I9" s="405"/>
      <c r="J9" s="405"/>
      <c r="K9" s="405"/>
      <c r="L9" s="405"/>
      <c r="M9" s="405"/>
      <c r="N9" s="405"/>
      <c r="O9" s="405"/>
      <c r="P9" s="407"/>
      <c r="Q9" s="230"/>
      <c r="R9" s="176"/>
      <c r="S9" s="176"/>
    </row>
    <row r="10" spans="1:19" s="10" customFormat="1" ht="12.75">
      <c r="A10" s="8"/>
      <c r="B10" s="43"/>
      <c r="C10" s="8"/>
      <c r="D10" s="66"/>
      <c r="E10" s="30"/>
      <c r="F10" s="30"/>
      <c r="G10" s="30"/>
      <c r="H10" s="168"/>
      <c r="I10" s="30"/>
      <c r="J10" s="30"/>
      <c r="K10" s="30"/>
      <c r="L10" s="30"/>
      <c r="M10" s="30"/>
      <c r="N10" s="30"/>
      <c r="O10" s="30"/>
      <c r="P10" s="37"/>
      <c r="Q10" s="30"/>
      <c r="R10" s="30"/>
      <c r="S10" s="175"/>
    </row>
    <row r="11" spans="1:19" s="120" customFormat="1" ht="19.5">
      <c r="A11" s="46"/>
      <c r="B11" s="233" t="str">
        <f>+'TOT-0812'!B14</f>
        <v>Desde el 01 al 31 de agosto de 2012</v>
      </c>
      <c r="C11" s="142"/>
      <c r="D11" s="192"/>
      <c r="E11" s="192"/>
      <c r="F11" s="192"/>
      <c r="G11" s="192"/>
      <c r="H11" s="192"/>
      <c r="I11" s="142"/>
      <c r="J11" s="192"/>
      <c r="K11" s="192"/>
      <c r="L11" s="192"/>
      <c r="M11" s="192"/>
      <c r="N11" s="192"/>
      <c r="O11" s="192"/>
      <c r="P11" s="408"/>
      <c r="Q11" s="409"/>
      <c r="R11" s="409"/>
      <c r="S11" s="409"/>
    </row>
    <row r="12" spans="1:19" ht="15">
      <c r="A12" s="1"/>
      <c r="B12" s="273"/>
      <c r="C12" s="72"/>
      <c r="D12" s="68"/>
      <c r="E12" s="68"/>
      <c r="F12" s="68"/>
      <c r="G12" s="68"/>
      <c r="H12" s="410"/>
      <c r="I12" s="72"/>
      <c r="J12" s="68"/>
      <c r="K12" s="68"/>
      <c r="L12" s="68"/>
      <c r="M12" s="68"/>
      <c r="N12" s="68"/>
      <c r="O12" s="68"/>
      <c r="P12" s="69"/>
      <c r="Q12" s="4"/>
      <c r="R12" s="4"/>
      <c r="S12" s="411"/>
    </row>
    <row r="13" spans="1:19" ht="18" customHeight="1">
      <c r="A13" s="1"/>
      <c r="B13" s="273"/>
      <c r="C13" s="72"/>
      <c r="D13" s="68"/>
      <c r="E13" s="68"/>
      <c r="F13" s="68"/>
      <c r="G13" s="68"/>
      <c r="H13" s="80"/>
      <c r="I13" s="80"/>
      <c r="J13" s="68"/>
      <c r="K13" s="68"/>
      <c r="P13" s="69"/>
      <c r="Q13" s="4"/>
      <c r="R13" s="4"/>
      <c r="S13" s="411"/>
    </row>
    <row r="14" spans="1:19" ht="18" customHeight="1">
      <c r="A14" s="1"/>
      <c r="B14" s="273"/>
      <c r="C14" s="72"/>
      <c r="D14" s="67"/>
      <c r="E14" s="412"/>
      <c r="F14" s="68"/>
      <c r="G14" s="68"/>
      <c r="H14" s="80"/>
      <c r="I14" s="80"/>
      <c r="J14" s="68"/>
      <c r="K14" s="68"/>
      <c r="P14" s="69"/>
      <c r="Q14" s="4"/>
      <c r="R14" s="4"/>
      <c r="S14" s="411"/>
    </row>
    <row r="15" spans="1:16" ht="16.5" thickBot="1">
      <c r="A15" s="1"/>
      <c r="B15" s="273"/>
      <c r="C15" s="413" t="s">
        <v>71</v>
      </c>
      <c r="D15" s="70"/>
      <c r="E15" s="274"/>
      <c r="F15" s="275"/>
      <c r="G15" s="72"/>
      <c r="H15" s="72"/>
      <c r="I15" s="72"/>
      <c r="J15" s="71"/>
      <c r="K15" s="71"/>
      <c r="L15" s="276"/>
      <c r="M15" s="72"/>
      <c r="N15" s="72"/>
      <c r="O15" s="72"/>
      <c r="P15" s="277"/>
    </row>
    <row r="16" spans="1:16" ht="16.5" thickBot="1">
      <c r="A16" s="1"/>
      <c r="B16" s="273"/>
      <c r="C16" s="278"/>
      <c r="D16" s="70"/>
      <c r="E16" s="274"/>
      <c r="F16" s="275"/>
      <c r="G16" s="72"/>
      <c r="H16" s="72"/>
      <c r="L16" s="414" t="s">
        <v>67</v>
      </c>
      <c r="M16" s="415">
        <v>5.938</v>
      </c>
      <c r="N16" s="416"/>
      <c r="O16" s="72"/>
      <c r="P16" s="277"/>
    </row>
    <row r="17" spans="1:16" ht="15.75">
      <c r="A17" s="1"/>
      <c r="B17" s="273"/>
      <c r="C17" s="278"/>
      <c r="D17" s="71" t="s">
        <v>72</v>
      </c>
      <c r="E17" s="279">
        <f>MID(B11,16,2)*24</f>
        <v>744</v>
      </c>
      <c r="F17" s="72" t="s">
        <v>73</v>
      </c>
      <c r="G17" s="68"/>
      <c r="H17" s="417"/>
      <c r="I17" s="418" t="s">
        <v>74</v>
      </c>
      <c r="J17" s="419">
        <v>127.709</v>
      </c>
      <c r="K17" s="400"/>
      <c r="L17" s="420" t="s">
        <v>68</v>
      </c>
      <c r="M17" s="421">
        <v>4.456</v>
      </c>
      <c r="N17" s="422"/>
      <c r="O17" s="72"/>
      <c r="P17" s="277"/>
    </row>
    <row r="18" spans="1:16" ht="16.5" thickBot="1">
      <c r="A18" s="1"/>
      <c r="B18" s="273"/>
      <c r="C18" s="278"/>
      <c r="D18" s="71" t="s">
        <v>75</v>
      </c>
      <c r="E18" s="281">
        <v>0.025</v>
      </c>
      <c r="F18" s="68"/>
      <c r="G18" s="68"/>
      <c r="H18" s="423"/>
      <c r="I18" s="424" t="s">
        <v>76</v>
      </c>
      <c r="J18" s="425">
        <v>0.445</v>
      </c>
      <c r="K18" s="426"/>
      <c r="L18" s="427" t="s">
        <v>69</v>
      </c>
      <c r="M18" s="428">
        <v>4.456</v>
      </c>
      <c r="N18" s="429"/>
      <c r="O18" s="72"/>
      <c r="P18" s="277"/>
    </row>
    <row r="19" spans="1:16" ht="15.75">
      <c r="A19" s="1"/>
      <c r="B19" s="273"/>
      <c r="C19" s="278"/>
      <c r="D19" s="71"/>
      <c r="E19" s="281"/>
      <c r="F19" s="68"/>
      <c r="G19" s="68"/>
      <c r="H19" s="68"/>
      <c r="I19" s="68"/>
      <c r="L19" s="276"/>
      <c r="M19" s="72"/>
      <c r="N19" s="72"/>
      <c r="O19" s="72"/>
      <c r="P19" s="277"/>
    </row>
    <row r="20" spans="1:16" ht="15">
      <c r="A20" s="1"/>
      <c r="B20" s="273"/>
      <c r="C20" s="67" t="s">
        <v>77</v>
      </c>
      <c r="D20" s="75"/>
      <c r="E20" s="274"/>
      <c r="F20" s="275"/>
      <c r="G20" s="72"/>
      <c r="H20" s="72"/>
      <c r="I20" s="72"/>
      <c r="J20" s="71"/>
      <c r="K20" s="71"/>
      <c r="L20" s="276"/>
      <c r="M20" s="72"/>
      <c r="N20" s="72"/>
      <c r="O20" s="72"/>
      <c r="P20" s="277"/>
    </row>
    <row r="21" spans="1:16" ht="15">
      <c r="A21" s="1"/>
      <c r="B21" s="273"/>
      <c r="C21" s="72"/>
      <c r="D21" s="72"/>
      <c r="E21" s="72"/>
      <c r="F21" s="72"/>
      <c r="G21" s="72"/>
      <c r="H21" s="282"/>
      <c r="I21" s="72"/>
      <c r="J21" s="72"/>
      <c r="K21" s="72"/>
      <c r="L21" s="72"/>
      <c r="M21" s="72"/>
      <c r="N21" s="72"/>
      <c r="O21" s="72"/>
      <c r="P21" s="277"/>
    </row>
    <row r="22" spans="1:16" ht="15">
      <c r="A22" s="1"/>
      <c r="B22" s="273"/>
      <c r="C22" s="72"/>
      <c r="D22" s="71" t="s">
        <v>78</v>
      </c>
      <c r="E22" s="72"/>
      <c r="F22" s="282" t="s">
        <v>19</v>
      </c>
      <c r="G22" s="72"/>
      <c r="H22" s="70"/>
      <c r="I22" s="430">
        <f>'TOT-0812'!I19</f>
        <v>35777.1</v>
      </c>
      <c r="J22" s="72"/>
      <c r="K22" s="72"/>
      <c r="L22" s="431" t="s">
        <v>79</v>
      </c>
      <c r="M22" s="72"/>
      <c r="N22" s="72"/>
      <c r="O22" s="72"/>
      <c r="P22" s="277"/>
    </row>
    <row r="23" spans="1:16" ht="15">
      <c r="A23" s="1"/>
      <c r="B23" s="273"/>
      <c r="C23" s="72"/>
      <c r="D23" s="72"/>
      <c r="E23" s="72"/>
      <c r="F23" s="282" t="s">
        <v>80</v>
      </c>
      <c r="G23" s="72"/>
      <c r="H23" s="70"/>
      <c r="I23" s="430">
        <f>'TOT-0812'!I25</f>
        <v>559.92</v>
      </c>
      <c r="J23" s="72"/>
      <c r="K23" s="72"/>
      <c r="L23" s="431" t="s">
        <v>81</v>
      </c>
      <c r="M23" s="72"/>
      <c r="N23" s="72"/>
      <c r="O23" s="72"/>
      <c r="P23" s="277"/>
    </row>
    <row r="24" spans="1:16" ht="15">
      <c r="A24" s="1"/>
      <c r="B24" s="273"/>
      <c r="C24" s="72"/>
      <c r="D24" s="72"/>
      <c r="E24" s="72"/>
      <c r="F24" s="282" t="s">
        <v>3</v>
      </c>
      <c r="G24" s="72"/>
      <c r="H24" s="70"/>
      <c r="I24" s="432">
        <f>'TOT-0812'!I28</f>
        <v>637.72044</v>
      </c>
      <c r="J24" s="72"/>
      <c r="K24" s="72"/>
      <c r="L24" s="431" t="s">
        <v>82</v>
      </c>
      <c r="M24" s="72"/>
      <c r="N24" s="72"/>
      <c r="O24" s="72"/>
      <c r="P24" s="277"/>
    </row>
    <row r="25" spans="1:16" ht="15.75" thickBot="1">
      <c r="A25" s="1"/>
      <c r="B25" s="273"/>
      <c r="C25" s="72"/>
      <c r="D25" s="72"/>
      <c r="E25" s="72"/>
      <c r="F25" s="72"/>
      <c r="G25" s="72"/>
      <c r="H25" s="282"/>
      <c r="I25" s="72"/>
      <c r="J25" s="72"/>
      <c r="K25" s="72"/>
      <c r="L25" s="72"/>
      <c r="M25" s="72"/>
      <c r="N25" s="72"/>
      <c r="O25" s="72"/>
      <c r="P25" s="277"/>
    </row>
    <row r="26" spans="2:16" ht="20.25" thickBot="1" thickTop="1">
      <c r="B26" s="273"/>
      <c r="C26" s="79"/>
      <c r="H26" s="433" t="s">
        <v>83</v>
      </c>
      <c r="I26" s="155">
        <f>SUM(I22:I25)</f>
        <v>36974.740439999994</v>
      </c>
      <c r="L26" s="76"/>
      <c r="M26" s="76"/>
      <c r="N26" s="77"/>
      <c r="O26" s="78"/>
      <c r="P26" s="283"/>
    </row>
    <row r="27" spans="2:16" ht="15.75" thickTop="1">
      <c r="B27" s="273"/>
      <c r="C27" s="79"/>
      <c r="D27" s="75"/>
      <c r="E27" s="75"/>
      <c r="F27" s="81"/>
      <c r="G27" s="76"/>
      <c r="H27" s="76"/>
      <c r="I27" s="76"/>
      <c r="J27" s="76"/>
      <c r="K27" s="76"/>
      <c r="L27" s="76"/>
      <c r="M27" s="76"/>
      <c r="N27" s="77"/>
      <c r="O27" s="78"/>
      <c r="P27" s="283"/>
    </row>
    <row r="28" spans="2:16" ht="15">
      <c r="B28" s="273"/>
      <c r="C28" s="67" t="s">
        <v>84</v>
      </c>
      <c r="D28" s="75"/>
      <c r="E28" s="75"/>
      <c r="F28" s="81"/>
      <c r="G28" s="76"/>
      <c r="H28" s="76"/>
      <c r="I28" s="76"/>
      <c r="J28" s="76"/>
      <c r="K28" s="76"/>
      <c r="L28" s="76"/>
      <c r="M28" s="76"/>
      <c r="N28" s="77"/>
      <c r="O28" s="78"/>
      <c r="P28" s="283"/>
    </row>
    <row r="29" spans="2:16" ht="15">
      <c r="B29" s="273"/>
      <c r="C29" s="79"/>
      <c r="D29" s="75"/>
      <c r="E29" s="75"/>
      <c r="F29" s="81"/>
      <c r="G29" s="76"/>
      <c r="H29" s="76"/>
      <c r="I29" s="76"/>
      <c r="J29" s="76"/>
      <c r="K29" s="76"/>
      <c r="L29" s="76"/>
      <c r="M29" s="76"/>
      <c r="N29" s="77"/>
      <c r="O29" s="78"/>
      <c r="P29" s="283"/>
    </row>
    <row r="30" spans="2:16" ht="15.75">
      <c r="B30" s="273"/>
      <c r="C30" s="79"/>
      <c r="D30" s="434" t="s">
        <v>85</v>
      </c>
      <c r="E30" s="435" t="s">
        <v>15</v>
      </c>
      <c r="F30" s="436" t="s">
        <v>86</v>
      </c>
      <c r="G30" s="437"/>
      <c r="H30" s="541" t="s">
        <v>132</v>
      </c>
      <c r="I30" s="540" t="s">
        <v>131</v>
      </c>
      <c r="J30" s="536"/>
      <c r="K30" s="460"/>
      <c r="L30" s="438" t="s">
        <v>2</v>
      </c>
      <c r="N30" s="77"/>
      <c r="O30" s="78"/>
      <c r="P30" s="283"/>
    </row>
    <row r="31" spans="2:16" ht="15.75">
      <c r="B31" s="273"/>
      <c r="C31" s="79"/>
      <c r="D31" s="439" t="s">
        <v>4</v>
      </c>
      <c r="E31" s="440">
        <v>132</v>
      </c>
      <c r="F31" s="441">
        <v>31</v>
      </c>
      <c r="G31" s="442"/>
      <c r="H31" s="443">
        <f>F31*$J$17*$E$17/100</f>
        <v>29454.803760000003</v>
      </c>
      <c r="I31" s="444">
        <v>0</v>
      </c>
      <c r="J31" s="538" t="s">
        <v>204</v>
      </c>
      <c r="K31" s="446"/>
      <c r="L31" s="447">
        <f>SUM(H31:K31)</f>
        <v>29454.803760000003</v>
      </c>
      <c r="M31" s="76"/>
      <c r="N31" s="77"/>
      <c r="O31" s="78"/>
      <c r="P31" s="283"/>
    </row>
    <row r="32" spans="2:16" ht="15.75">
      <c r="B32" s="273"/>
      <c r="C32" s="79"/>
      <c r="D32" s="467" t="s">
        <v>5</v>
      </c>
      <c r="E32" s="75">
        <v>132</v>
      </c>
      <c r="F32" s="81">
        <v>110.3</v>
      </c>
      <c r="G32" s="76"/>
      <c r="H32" s="288">
        <f>F32*$J$17*$E$17/100</f>
        <v>104802.09208799999</v>
      </c>
      <c r="I32" s="484">
        <v>0</v>
      </c>
      <c r="J32" s="537" t="s">
        <v>204</v>
      </c>
      <c r="K32" s="280"/>
      <c r="L32" s="468">
        <f>SUM(H32:K32)</f>
        <v>104802.09208799999</v>
      </c>
      <c r="M32" s="76"/>
      <c r="N32" s="77"/>
      <c r="O32" s="78"/>
      <c r="P32" s="283"/>
    </row>
    <row r="33" spans="2:16" ht="15.75">
      <c r="B33" s="273"/>
      <c r="C33" s="79"/>
      <c r="D33" s="467" t="s">
        <v>6</v>
      </c>
      <c r="E33" s="75">
        <v>132</v>
      </c>
      <c r="F33" s="81">
        <v>185.6</v>
      </c>
      <c r="G33" s="76"/>
      <c r="H33" s="288">
        <f>F33*$J$17*$E$17/100</f>
        <v>176348.76057600003</v>
      </c>
      <c r="I33" s="484">
        <v>0</v>
      </c>
      <c r="J33" s="537" t="s">
        <v>204</v>
      </c>
      <c r="K33" s="280"/>
      <c r="L33" s="468">
        <f>SUM(H33:K33)</f>
        <v>176348.76057600003</v>
      </c>
      <c r="M33" s="76"/>
      <c r="N33" s="77"/>
      <c r="O33" s="78"/>
      <c r="P33" s="283"/>
    </row>
    <row r="34" spans="2:16" ht="15.75">
      <c r="B34" s="273"/>
      <c r="C34" s="79"/>
      <c r="D34" s="448" t="s">
        <v>7</v>
      </c>
      <c r="E34" s="449">
        <v>132</v>
      </c>
      <c r="F34" s="450">
        <v>7</v>
      </c>
      <c r="G34" s="451"/>
      <c r="H34" s="452">
        <f>F34*$J$17*$E$17/100</f>
        <v>6651.08472</v>
      </c>
      <c r="I34" s="453">
        <v>0</v>
      </c>
      <c r="J34" s="539" t="s">
        <v>204</v>
      </c>
      <c r="K34" s="455"/>
      <c r="L34" s="456">
        <f>SUM(H34:K34)</f>
        <v>6651.08472</v>
      </c>
      <c r="M34" s="76"/>
      <c r="N34" s="77"/>
      <c r="O34" s="78"/>
      <c r="P34" s="283"/>
    </row>
    <row r="35" spans="2:16" ht="15">
      <c r="B35" s="273"/>
      <c r="C35" s="79"/>
      <c r="D35" s="75"/>
      <c r="E35" s="75"/>
      <c r="F35" s="284"/>
      <c r="G35" s="76"/>
      <c r="I35" s="82"/>
      <c r="J35" s="280"/>
      <c r="K35" s="280"/>
      <c r="L35" s="457">
        <f>SUM(L31:L34)</f>
        <v>317256.741144</v>
      </c>
      <c r="M35" s="76"/>
      <c r="N35" s="77"/>
      <c r="O35" s="78"/>
      <c r="P35" s="283"/>
    </row>
    <row r="36" spans="2:16" ht="15">
      <c r="B36" s="273"/>
      <c r="C36" s="79"/>
      <c r="D36" s="75"/>
      <c r="E36" s="75"/>
      <c r="F36" s="284"/>
      <c r="G36" s="76"/>
      <c r="I36" s="82"/>
      <c r="J36" s="280"/>
      <c r="K36" s="280"/>
      <c r="L36" s="285"/>
      <c r="M36" s="76"/>
      <c r="N36" s="77"/>
      <c r="O36" s="78"/>
      <c r="P36" s="283"/>
    </row>
    <row r="37" spans="2:16" ht="15.75">
      <c r="B37" s="273"/>
      <c r="C37" s="79"/>
      <c r="D37" s="434" t="s">
        <v>87</v>
      </c>
      <c r="E37" s="435" t="s">
        <v>88</v>
      </c>
      <c r="F37" s="485" t="s">
        <v>98</v>
      </c>
      <c r="G37" s="486"/>
      <c r="H37" s="542" t="s">
        <v>133</v>
      </c>
      <c r="J37" s="458" t="s">
        <v>89</v>
      </c>
      <c r="K37" s="459"/>
      <c r="L37" s="460" t="s">
        <v>39</v>
      </c>
      <c r="M37" s="435" t="s">
        <v>15</v>
      </c>
      <c r="N37" s="461" t="s">
        <v>90</v>
      </c>
      <c r="O37" s="462"/>
      <c r="P37" s="283"/>
    </row>
    <row r="38" spans="2:16" ht="15">
      <c r="B38" s="273"/>
      <c r="C38" s="79"/>
      <c r="D38" s="439" t="s">
        <v>9</v>
      </c>
      <c r="E38" s="440" t="s">
        <v>99</v>
      </c>
      <c r="F38" s="487">
        <v>30</v>
      </c>
      <c r="G38" s="488"/>
      <c r="H38" s="447">
        <f>+F38*$J$18*$E$17</f>
        <v>9932.4</v>
      </c>
      <c r="J38" s="463" t="s">
        <v>100</v>
      </c>
      <c r="K38" s="445"/>
      <c r="L38" s="442" t="s">
        <v>101</v>
      </c>
      <c r="M38" s="464">
        <v>132</v>
      </c>
      <c r="N38" s="465">
        <f>M16*E17</f>
        <v>4417.871999999999</v>
      </c>
      <c r="O38" s="466"/>
      <c r="P38" s="283"/>
    </row>
    <row r="39" spans="2:16" ht="15">
      <c r="B39" s="273"/>
      <c r="C39" s="79"/>
      <c r="D39" s="467" t="s">
        <v>12</v>
      </c>
      <c r="E39" s="75" t="s">
        <v>102</v>
      </c>
      <c r="F39" s="489">
        <v>88</v>
      </c>
      <c r="G39" s="490"/>
      <c r="H39" s="468">
        <f>+F39*$J$18*$E$17</f>
        <v>29135.040000000005</v>
      </c>
      <c r="J39" s="469" t="s">
        <v>10</v>
      </c>
      <c r="K39" s="470"/>
      <c r="L39" s="76" t="s">
        <v>103</v>
      </c>
      <c r="M39" s="77">
        <v>33</v>
      </c>
      <c r="N39" s="471">
        <f>+M17*E17*2</f>
        <v>6630.528</v>
      </c>
      <c r="O39" s="472"/>
      <c r="P39" s="283"/>
    </row>
    <row r="40" spans="2:16" ht="15">
      <c r="B40" s="273"/>
      <c r="C40" s="79"/>
      <c r="D40" s="467" t="s">
        <v>10</v>
      </c>
      <c r="E40" s="75" t="s">
        <v>8</v>
      </c>
      <c r="F40" s="489">
        <v>7.5</v>
      </c>
      <c r="G40" s="490"/>
      <c r="H40" s="468">
        <f>+F40*$J$18*$E$17</f>
        <v>2483.1</v>
      </c>
      <c r="J40" s="469" t="s">
        <v>11</v>
      </c>
      <c r="K40" s="470"/>
      <c r="L40" s="76" t="s">
        <v>104</v>
      </c>
      <c r="M40" s="77">
        <v>33</v>
      </c>
      <c r="N40" s="471">
        <f>3*M17*E17</f>
        <v>9945.792000000001</v>
      </c>
      <c r="O40" s="472"/>
      <c r="P40" s="283"/>
    </row>
    <row r="41" spans="2:16" ht="15">
      <c r="B41" s="273"/>
      <c r="C41" s="79"/>
      <c r="D41" s="467" t="s">
        <v>11</v>
      </c>
      <c r="E41" s="75" t="s">
        <v>8</v>
      </c>
      <c r="F41" s="489">
        <v>15</v>
      </c>
      <c r="G41" s="490"/>
      <c r="H41" s="468">
        <f>+F41*$J$18*$E$17</f>
        <v>4966.2</v>
      </c>
      <c r="J41" s="469" t="s">
        <v>13</v>
      </c>
      <c r="K41" s="470"/>
      <c r="L41" s="76" t="s">
        <v>105</v>
      </c>
      <c r="M41" s="77">
        <v>13.2</v>
      </c>
      <c r="N41" s="471">
        <f>+M18*E17*6</f>
        <v>19891.584000000003</v>
      </c>
      <c r="O41" s="472"/>
      <c r="P41" s="283"/>
    </row>
    <row r="42" spans="2:16" ht="15">
      <c r="B42" s="273"/>
      <c r="C42" s="79"/>
      <c r="D42" s="448" t="s">
        <v>13</v>
      </c>
      <c r="E42" s="449" t="s">
        <v>106</v>
      </c>
      <c r="F42" s="491">
        <v>30</v>
      </c>
      <c r="G42" s="492"/>
      <c r="H42" s="468">
        <f>+F42*$J$18*$E$17</f>
        <v>9932.4</v>
      </c>
      <c r="J42" s="469" t="s">
        <v>9</v>
      </c>
      <c r="K42" s="470"/>
      <c r="L42" s="76" t="s">
        <v>107</v>
      </c>
      <c r="M42" s="77"/>
      <c r="N42" s="471">
        <f>+M17*E17+M18*E17*2</f>
        <v>9945.792000000001</v>
      </c>
      <c r="O42" s="472"/>
      <c r="P42" s="283"/>
    </row>
    <row r="43" spans="2:16" ht="15">
      <c r="B43" s="273"/>
      <c r="C43" s="79"/>
      <c r="D43" s="75"/>
      <c r="E43" s="75"/>
      <c r="F43" s="284"/>
      <c r="G43" s="76"/>
      <c r="H43" s="457">
        <f>SUM(H38:H42)</f>
        <v>56449.14</v>
      </c>
      <c r="J43" s="473" t="s">
        <v>12</v>
      </c>
      <c r="K43" s="454"/>
      <c r="L43" s="451" t="s">
        <v>108</v>
      </c>
      <c r="M43" s="474"/>
      <c r="N43" s="475">
        <f>(M16+M17+M18*5)*E17</f>
        <v>24309.456</v>
      </c>
      <c r="O43" s="476"/>
      <c r="P43" s="283"/>
    </row>
    <row r="44" spans="2:16" ht="15">
      <c r="B44" s="273"/>
      <c r="C44" s="79"/>
      <c r="D44" s="75"/>
      <c r="E44" s="75"/>
      <c r="F44" s="284"/>
      <c r="G44" s="76"/>
      <c r="I44" s="82"/>
      <c r="J44" s="280"/>
      <c r="K44" s="280"/>
      <c r="L44" s="285"/>
      <c r="M44" s="76"/>
      <c r="N44" s="477">
        <f>SUM(N38:N43)</f>
        <v>75141.024</v>
      </c>
      <c r="O44" s="462"/>
      <c r="P44" s="283"/>
    </row>
    <row r="45" spans="2:16" ht="12.75" customHeight="1" thickBot="1">
      <c r="B45" s="273"/>
      <c r="C45" s="79"/>
      <c r="D45" s="75"/>
      <c r="E45" s="75"/>
      <c r="F45" s="81"/>
      <c r="G45" s="76"/>
      <c r="H45" s="82"/>
      <c r="I45" s="75"/>
      <c r="J45" s="75"/>
      <c r="K45" s="75"/>
      <c r="L45" s="76"/>
      <c r="M45" s="76"/>
      <c r="N45" s="77"/>
      <c r="O45" s="78"/>
      <c r="P45" s="283"/>
    </row>
    <row r="46" spans="2:16" ht="20.25" thickBot="1" thickTop="1">
      <c r="B46" s="273"/>
      <c r="C46" s="79"/>
      <c r="D46" s="75"/>
      <c r="E46" s="75"/>
      <c r="F46" s="81"/>
      <c r="G46" s="76"/>
      <c r="H46" s="478" t="s">
        <v>91</v>
      </c>
      <c r="I46" s="479">
        <f>+H43+N44+L35</f>
        <v>448846.905144</v>
      </c>
      <c r="J46" s="75"/>
      <c r="K46" s="75"/>
      <c r="L46" s="76"/>
      <c r="M46" s="76"/>
      <c r="N46" s="77"/>
      <c r="O46" s="78"/>
      <c r="P46" s="283"/>
    </row>
    <row r="47" spans="2:16" ht="15.75" thickTop="1">
      <c r="B47" s="273"/>
      <c r="C47" s="79"/>
      <c r="D47" s="75"/>
      <c r="E47" s="75"/>
      <c r="F47" s="81"/>
      <c r="G47" s="76"/>
      <c r="H47" s="82"/>
      <c r="I47" s="75"/>
      <c r="J47" s="75"/>
      <c r="K47" s="75"/>
      <c r="L47" s="76"/>
      <c r="M47" s="76"/>
      <c r="N47" s="77"/>
      <c r="O47" s="78"/>
      <c r="P47" s="283"/>
    </row>
    <row r="48" spans="2:16" ht="15.75">
      <c r="B48" s="273"/>
      <c r="C48" s="480" t="s">
        <v>92</v>
      </c>
      <c r="D48" s="75"/>
      <c r="E48" s="75"/>
      <c r="F48" s="81"/>
      <c r="G48" s="76"/>
      <c r="H48" s="82"/>
      <c r="I48" s="75"/>
      <c r="J48" s="75"/>
      <c r="K48" s="75"/>
      <c r="L48" s="76"/>
      <c r="M48" s="76"/>
      <c r="N48" s="77"/>
      <c r="O48" s="78"/>
      <c r="P48" s="283"/>
    </row>
    <row r="49" spans="2:16" ht="15.75" thickBot="1">
      <c r="B49" s="273"/>
      <c r="C49" s="79"/>
      <c r="D49" s="75"/>
      <c r="E49" s="75"/>
      <c r="F49" s="81"/>
      <c r="G49" s="76"/>
      <c r="H49" s="82"/>
      <c r="I49" s="75"/>
      <c r="J49" s="75"/>
      <c r="K49" s="75"/>
      <c r="L49" s="76"/>
      <c r="M49" s="76"/>
      <c r="N49" s="77"/>
      <c r="O49" s="78"/>
      <c r="P49" s="283"/>
    </row>
    <row r="50" spans="2:16" ht="20.25" thickBot="1" thickTop="1">
      <c r="B50" s="273"/>
      <c r="C50" s="79"/>
      <c r="D50" s="231" t="s">
        <v>93</v>
      </c>
      <c r="F50" s="286"/>
      <c r="G50" s="72"/>
      <c r="H50" s="154" t="s">
        <v>94</v>
      </c>
      <c r="I50" s="481">
        <f>E18*I46</f>
        <v>11221.172628600001</v>
      </c>
      <c r="J50" s="68"/>
      <c r="K50" s="68"/>
      <c r="O50" s="68"/>
      <c r="P50" s="283"/>
    </row>
    <row r="51" spans="2:16" ht="21.75" thickTop="1">
      <c r="B51" s="273"/>
      <c r="C51" s="79"/>
      <c r="F51" s="287"/>
      <c r="G51" s="44"/>
      <c r="I51" s="68"/>
      <c r="J51" s="68"/>
      <c r="K51" s="68"/>
      <c r="O51" s="68"/>
      <c r="P51" s="283"/>
    </row>
    <row r="52" spans="2:16" ht="15">
      <c r="B52" s="273"/>
      <c r="C52" s="67" t="s">
        <v>95</v>
      </c>
      <c r="E52" s="68"/>
      <c r="F52" s="68"/>
      <c r="G52" s="68"/>
      <c r="H52" s="68"/>
      <c r="I52" s="76"/>
      <c r="J52" s="76"/>
      <c r="K52" s="76"/>
      <c r="L52" s="76"/>
      <c r="M52" s="76"/>
      <c r="N52" s="77"/>
      <c r="O52" s="78"/>
      <c r="P52" s="283"/>
    </row>
    <row r="53" spans="2:16" ht="15">
      <c r="B53" s="273"/>
      <c r="C53" s="79"/>
      <c r="D53" s="74" t="s">
        <v>96</v>
      </c>
      <c r="E53" s="288">
        <f>10*I26*I50/I46</f>
        <v>9243.685109999999</v>
      </c>
      <c r="F53" s="482"/>
      <c r="H53" s="68"/>
      <c r="I53" s="76"/>
      <c r="J53" s="76"/>
      <c r="K53" s="76"/>
      <c r="L53" s="76"/>
      <c r="M53" s="76"/>
      <c r="N53" s="77"/>
      <c r="O53" s="78"/>
      <c r="P53" s="283"/>
    </row>
    <row r="54" spans="2:16" ht="15">
      <c r="B54" s="273"/>
      <c r="C54" s="79"/>
      <c r="D54" s="68"/>
      <c r="E54" s="68"/>
      <c r="J54" s="76"/>
      <c r="K54" s="76"/>
      <c r="L54" s="76"/>
      <c r="M54" s="76"/>
      <c r="N54" s="77"/>
      <c r="O54" s="78"/>
      <c r="P54" s="283"/>
    </row>
    <row r="55" spans="2:16" ht="15">
      <c r="B55" s="273"/>
      <c r="C55" s="79"/>
      <c r="D55" s="68" t="s">
        <v>109</v>
      </c>
      <c r="E55" s="68"/>
      <c r="F55" s="68"/>
      <c r="G55" s="68"/>
      <c r="H55" s="68"/>
      <c r="M55" s="76"/>
      <c r="N55" s="77"/>
      <c r="O55" s="78"/>
      <c r="P55" s="283"/>
    </row>
    <row r="56" spans="2:16" ht="15.75" thickBot="1">
      <c r="B56" s="273"/>
      <c r="C56" s="79"/>
      <c r="D56" s="68"/>
      <c r="E56" s="68"/>
      <c r="F56" s="68"/>
      <c r="G56" s="68"/>
      <c r="H56" s="68"/>
      <c r="M56" s="76"/>
      <c r="N56" s="77"/>
      <c r="O56" s="78"/>
      <c r="P56" s="283"/>
    </row>
    <row r="57" spans="2:16" ht="20.25" thickBot="1" thickTop="1">
      <c r="B57" s="273"/>
      <c r="C57" s="79"/>
      <c r="D57" s="75"/>
      <c r="E57" s="75"/>
      <c r="F57" s="81"/>
      <c r="G57" s="76"/>
      <c r="H57" s="232" t="s">
        <v>97</v>
      </c>
      <c r="I57" s="483">
        <f>IF($E$53&gt;3*I50,3*I50,$E$53)</f>
        <v>9243.685109999999</v>
      </c>
      <c r="J57" s="76"/>
      <c r="K57" s="76"/>
      <c r="L57" s="76"/>
      <c r="M57" s="76"/>
      <c r="N57" s="77"/>
      <c r="O57" s="78"/>
      <c r="P57" s="283"/>
    </row>
    <row r="58" spans="2:16" ht="16.5" thickBot="1" thickTop="1">
      <c r="B58" s="289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1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21" right="0.1968503937007874" top="0.57" bottom="0.56" header="0.5118110236220472" footer="0.32"/>
  <pageSetup fitToHeight="1" fitToWidth="1" orientation="landscape" paperSize="9" scale="54" r:id="rId4"/>
  <headerFooter alignWithMargins="0">
    <oddFooter>&amp;L&amp;F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S110"/>
  <sheetViews>
    <sheetView zoomScale="55" zoomScaleNormal="55" zoomScalePageLayoutView="0" workbookViewId="0" topLeftCell="A1">
      <selection activeCell="F50" sqref="F50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10.71093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8" customFormat="1" ht="39.75" customHeight="1">
      <c r="P1" s="402"/>
    </row>
    <row r="2" spans="1:16" s="108" customFormat="1" ht="26.25">
      <c r="A2" s="169"/>
      <c r="B2" s="575" t="str">
        <f>'TOT-0812'!B2</f>
        <v>ANEXO II al Memorándum  D.T.E.E.  N°             / 2013</v>
      </c>
      <c r="C2" s="575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3" s="111" customFormat="1" ht="12.75">
      <c r="A3" s="578" t="s">
        <v>203</v>
      </c>
      <c r="B3" s="10"/>
      <c r="C3" s="10"/>
    </row>
    <row r="4" spans="1:3" s="111" customFormat="1" ht="11.25">
      <c r="A4" s="578" t="s">
        <v>250</v>
      </c>
      <c r="B4" s="229"/>
      <c r="C4" s="229"/>
    </row>
    <row r="5" s="10" customFormat="1" ht="13.5" thickBot="1"/>
    <row r="6" spans="1:16" s="10" customFormat="1" ht="13.5" thickTop="1">
      <c r="A6" s="8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6" s="113" customFormat="1" ht="20.25">
      <c r="A7" s="44"/>
      <c r="B7" s="112"/>
      <c r="C7" s="44"/>
      <c r="D7" s="21" t="s">
        <v>31</v>
      </c>
      <c r="G7" s="44"/>
      <c r="H7" s="44"/>
      <c r="I7" s="44"/>
      <c r="J7" s="44"/>
      <c r="K7" s="44"/>
      <c r="L7" s="44"/>
      <c r="M7" s="44"/>
      <c r="N7" s="44"/>
      <c r="O7" s="44"/>
      <c r="P7" s="114"/>
    </row>
    <row r="8" spans="1:16" ht="15">
      <c r="A8" s="1"/>
      <c r="B8" s="273"/>
      <c r="C8" s="72"/>
      <c r="D8" s="403"/>
      <c r="E8" s="72"/>
      <c r="F8" s="70"/>
      <c r="G8" s="72"/>
      <c r="H8" s="72"/>
      <c r="I8" s="72"/>
      <c r="J8" s="72"/>
      <c r="K8" s="72"/>
      <c r="L8" s="72"/>
      <c r="M8" s="72"/>
      <c r="N8" s="72"/>
      <c r="O8" s="72"/>
      <c r="P8" s="277"/>
    </row>
    <row r="9" spans="1:19" s="113" customFormat="1" ht="20.25">
      <c r="A9" s="44"/>
      <c r="B9" s="404"/>
      <c r="C9"/>
      <c r="D9" s="22" t="s">
        <v>244</v>
      </c>
      <c r="E9" s="405"/>
      <c r="F9" s="405"/>
      <c r="G9" s="405"/>
      <c r="H9" s="406"/>
      <c r="I9" s="405"/>
      <c r="J9" s="405"/>
      <c r="K9" s="405"/>
      <c r="L9" s="405"/>
      <c r="M9" s="405"/>
      <c r="N9" s="405"/>
      <c r="O9" s="405"/>
      <c r="P9" s="407"/>
      <c r="Q9" s="230"/>
      <c r="R9" s="176"/>
      <c r="S9" s="176"/>
    </row>
    <row r="10" spans="1:19" s="10" customFormat="1" ht="12.75">
      <c r="A10" s="8"/>
      <c r="B10" s="43"/>
      <c r="C10" s="8"/>
      <c r="D10" s="66"/>
      <c r="E10" s="30"/>
      <c r="F10" s="30"/>
      <c r="G10" s="30"/>
      <c r="H10" s="168"/>
      <c r="I10" s="30"/>
      <c r="J10" s="30"/>
      <c r="K10" s="30"/>
      <c r="L10" s="30"/>
      <c r="M10" s="30"/>
      <c r="N10" s="30"/>
      <c r="O10" s="30"/>
      <c r="P10" s="37"/>
      <c r="Q10" s="30"/>
      <c r="R10" s="30"/>
      <c r="S10" s="175"/>
    </row>
    <row r="11" spans="1:19" s="120" customFormat="1" ht="19.5">
      <c r="A11" s="46"/>
      <c r="B11" s="233" t="str">
        <f>+'TOT-0812'!B14</f>
        <v>Desde el 01 al 31 de agosto de 2012</v>
      </c>
      <c r="C11" s="142"/>
      <c r="D11" s="192"/>
      <c r="E11" s="192"/>
      <c r="F11" s="192"/>
      <c r="G11" s="192"/>
      <c r="H11" s="192"/>
      <c r="I11" s="142"/>
      <c r="J11" s="192"/>
      <c r="K11" s="192"/>
      <c r="L11" s="192"/>
      <c r="M11" s="192"/>
      <c r="N11" s="192"/>
      <c r="O11" s="192"/>
      <c r="P11" s="408"/>
      <c r="Q11" s="409"/>
      <c r="R11" s="409"/>
      <c r="S11" s="409"/>
    </row>
    <row r="12" spans="1:19" ht="15">
      <c r="A12" s="1"/>
      <c r="B12" s="273"/>
      <c r="C12" s="72"/>
      <c r="D12" s="68"/>
      <c r="E12" s="68"/>
      <c r="F12" s="68"/>
      <c r="G12" s="68"/>
      <c r="H12" s="410"/>
      <c r="I12" s="72"/>
      <c r="J12" s="68"/>
      <c r="K12" s="68"/>
      <c r="L12" s="68"/>
      <c r="M12" s="68"/>
      <c r="N12" s="68"/>
      <c r="O12" s="68"/>
      <c r="P12" s="69"/>
      <c r="Q12" s="4"/>
      <c r="R12" s="4"/>
      <c r="S12" s="411"/>
    </row>
    <row r="13" spans="1:19" ht="18" customHeight="1">
      <c r="A13" s="1"/>
      <c r="B13" s="273"/>
      <c r="C13" s="72"/>
      <c r="D13" s="68"/>
      <c r="E13" s="68"/>
      <c r="F13" s="68"/>
      <c r="G13" s="68"/>
      <c r="H13" s="80"/>
      <c r="I13" s="80"/>
      <c r="J13" s="68"/>
      <c r="K13" s="68"/>
      <c r="P13" s="69"/>
      <c r="Q13" s="4"/>
      <c r="R13" s="4"/>
      <c r="S13" s="411"/>
    </row>
    <row r="14" spans="1:19" ht="18" customHeight="1">
      <c r="A14" s="1"/>
      <c r="B14" s="273"/>
      <c r="C14" s="72"/>
      <c r="D14" s="67"/>
      <c r="E14" s="412"/>
      <c r="F14" s="68"/>
      <c r="G14" s="68"/>
      <c r="H14" s="80"/>
      <c r="I14" s="80"/>
      <c r="J14" s="68"/>
      <c r="K14" s="68"/>
      <c r="P14" s="69"/>
      <c r="Q14" s="4"/>
      <c r="R14" s="4"/>
      <c r="S14" s="411"/>
    </row>
    <row r="15" spans="1:16" ht="16.5" thickBot="1">
      <c r="A15" s="1"/>
      <c r="B15" s="273"/>
      <c r="C15" s="413" t="s">
        <v>71</v>
      </c>
      <c r="D15" s="70"/>
      <c r="E15" s="274"/>
      <c r="F15" s="275"/>
      <c r="G15" s="72"/>
      <c r="H15" s="72"/>
      <c r="I15" s="72"/>
      <c r="J15" s="71"/>
      <c r="K15" s="71"/>
      <c r="L15" s="276"/>
      <c r="M15" s="72"/>
      <c r="N15" s="72"/>
      <c r="O15" s="72"/>
      <c r="P15" s="277"/>
    </row>
    <row r="16" spans="1:16" ht="16.5" thickBot="1">
      <c r="A16" s="1"/>
      <c r="B16" s="273"/>
      <c r="C16" s="278"/>
      <c r="D16" s="70"/>
      <c r="E16" s="274"/>
      <c r="F16" s="275"/>
      <c r="G16" s="72"/>
      <c r="H16" s="72"/>
      <c r="L16" s="414" t="s">
        <v>67</v>
      </c>
      <c r="M16" s="415">
        <v>5.938</v>
      </c>
      <c r="N16" s="416"/>
      <c r="O16" s="72"/>
      <c r="P16" s="277"/>
    </row>
    <row r="17" spans="1:16" ht="15.75">
      <c r="A17" s="1"/>
      <c r="B17" s="273"/>
      <c r="C17" s="278"/>
      <c r="D17" s="71" t="s">
        <v>72</v>
      </c>
      <c r="E17" s="279">
        <f>MID(B11,16,2)*24</f>
        <v>744</v>
      </c>
      <c r="F17" s="72" t="s">
        <v>73</v>
      </c>
      <c r="G17" s="68"/>
      <c r="H17" s="417"/>
      <c r="I17" s="418" t="s">
        <v>74</v>
      </c>
      <c r="J17" s="419">
        <v>127.709</v>
      </c>
      <c r="K17" s="400"/>
      <c r="L17" s="420" t="s">
        <v>68</v>
      </c>
      <c r="M17" s="421">
        <v>4.456</v>
      </c>
      <c r="N17" s="422"/>
      <c r="O17" s="72"/>
      <c r="P17" s="277"/>
    </row>
    <row r="18" spans="1:16" ht="16.5" thickBot="1">
      <c r="A18" s="1"/>
      <c r="B18" s="273"/>
      <c r="C18" s="278"/>
      <c r="D18" s="71" t="s">
        <v>75</v>
      </c>
      <c r="E18" s="281">
        <v>0.025</v>
      </c>
      <c r="F18" s="68"/>
      <c r="G18" s="68"/>
      <c r="H18" s="423"/>
      <c r="I18" s="424" t="s">
        <v>76</v>
      </c>
      <c r="J18" s="425">
        <v>0.445</v>
      </c>
      <c r="K18" s="426"/>
      <c r="L18" s="427" t="s">
        <v>69</v>
      </c>
      <c r="M18" s="428">
        <v>4.456</v>
      </c>
      <c r="N18" s="429"/>
      <c r="O18" s="72"/>
      <c r="P18" s="277"/>
    </row>
    <row r="19" spans="1:16" ht="15.75">
      <c r="A19" s="1"/>
      <c r="B19" s="273"/>
      <c r="C19" s="278"/>
      <c r="D19" s="71"/>
      <c r="E19" s="281"/>
      <c r="F19" s="68"/>
      <c r="G19" s="68"/>
      <c r="H19" s="68"/>
      <c r="I19" s="68"/>
      <c r="L19" s="276"/>
      <c r="M19" s="72"/>
      <c r="N19" s="72"/>
      <c r="O19" s="72"/>
      <c r="P19" s="277"/>
    </row>
    <row r="20" spans="1:16" ht="15">
      <c r="A20" s="1"/>
      <c r="B20" s="273"/>
      <c r="C20" s="67" t="s">
        <v>77</v>
      </c>
      <c r="D20" s="75"/>
      <c r="E20" s="274"/>
      <c r="F20" s="275"/>
      <c r="G20" s="72"/>
      <c r="H20" s="72"/>
      <c r="I20" s="72"/>
      <c r="J20" s="71"/>
      <c r="K20" s="71"/>
      <c r="L20" s="276"/>
      <c r="M20" s="72"/>
      <c r="N20" s="72"/>
      <c r="O20" s="72"/>
      <c r="P20" s="277"/>
    </row>
    <row r="21" spans="1:16" ht="15">
      <c r="A21" s="1"/>
      <c r="B21" s="273"/>
      <c r="C21" s="72"/>
      <c r="D21" s="72"/>
      <c r="E21" s="72"/>
      <c r="F21" s="72"/>
      <c r="G21" s="72"/>
      <c r="H21" s="282"/>
      <c r="I21" s="72"/>
      <c r="J21" s="72"/>
      <c r="K21" s="72"/>
      <c r="L21" s="72"/>
      <c r="M21" s="72"/>
      <c r="N21" s="72"/>
      <c r="O21" s="72"/>
      <c r="P21" s="277"/>
    </row>
    <row r="22" spans="1:16" ht="15">
      <c r="A22" s="1"/>
      <c r="B22" s="273"/>
      <c r="C22" s="72"/>
      <c r="D22" s="71" t="s">
        <v>78</v>
      </c>
      <c r="E22" s="72"/>
      <c r="F22" s="282" t="s">
        <v>19</v>
      </c>
      <c r="G22" s="72"/>
      <c r="H22" s="70"/>
      <c r="I22" s="430">
        <f>'TOT-0812'!I20</f>
        <v>62.05</v>
      </c>
      <c r="J22" s="72"/>
      <c r="K22" s="72"/>
      <c r="L22" s="431" t="s">
        <v>136</v>
      </c>
      <c r="M22" s="72"/>
      <c r="N22" s="72"/>
      <c r="O22" s="72"/>
      <c r="P22" s="277"/>
    </row>
    <row r="23" spans="1:16" ht="15">
      <c r="A23" s="1"/>
      <c r="B23" s="273"/>
      <c r="C23" s="72"/>
      <c r="D23" s="72"/>
      <c r="E23" s="72"/>
      <c r="F23" s="282" t="s">
        <v>80</v>
      </c>
      <c r="G23" s="72"/>
      <c r="H23" s="70"/>
      <c r="I23" s="430" t="s">
        <v>206</v>
      </c>
      <c r="J23" s="72"/>
      <c r="K23" s="72"/>
      <c r="L23" s="431"/>
      <c r="M23" s="72"/>
      <c r="N23" s="72"/>
      <c r="O23" s="72"/>
      <c r="P23" s="277"/>
    </row>
    <row r="24" spans="1:16" ht="15">
      <c r="A24" s="1"/>
      <c r="B24" s="273"/>
      <c r="C24" s="72"/>
      <c r="D24" s="72"/>
      <c r="E24" s="72"/>
      <c r="F24" s="282" t="s">
        <v>3</v>
      </c>
      <c r="G24" s="72"/>
      <c r="H24" s="70"/>
      <c r="I24" s="432">
        <f>'TOT-0812'!I29</f>
        <v>117.2755</v>
      </c>
      <c r="J24" s="72"/>
      <c r="K24" s="72"/>
      <c r="L24" s="431" t="s">
        <v>137</v>
      </c>
      <c r="M24" s="72"/>
      <c r="N24" s="72"/>
      <c r="O24" s="72"/>
      <c r="P24" s="277"/>
    </row>
    <row r="25" spans="1:16" ht="15.75" thickBot="1">
      <c r="A25" s="1"/>
      <c r="B25" s="273"/>
      <c r="C25" s="72"/>
      <c r="D25" s="72"/>
      <c r="E25" s="72"/>
      <c r="F25" s="72"/>
      <c r="G25" s="72"/>
      <c r="H25" s="282"/>
      <c r="I25" s="72"/>
      <c r="J25" s="72"/>
      <c r="K25" s="72"/>
      <c r="L25" s="72"/>
      <c r="M25" s="72"/>
      <c r="N25" s="72"/>
      <c r="O25" s="72"/>
      <c r="P25" s="277"/>
    </row>
    <row r="26" spans="2:16" ht="20.25" thickBot="1" thickTop="1">
      <c r="B26" s="273"/>
      <c r="C26" s="79"/>
      <c r="H26" s="433" t="s">
        <v>83</v>
      </c>
      <c r="I26" s="155">
        <f>SUM(I22:I25)</f>
        <v>179.32549999999998</v>
      </c>
      <c r="L26" s="76"/>
      <c r="M26" s="76"/>
      <c r="N26" s="77"/>
      <c r="O26" s="78"/>
      <c r="P26" s="283"/>
    </row>
    <row r="27" spans="2:16" ht="15.75" thickTop="1">
      <c r="B27" s="273"/>
      <c r="C27" s="79"/>
      <c r="D27" s="75"/>
      <c r="E27" s="75"/>
      <c r="F27" s="81"/>
      <c r="G27" s="76"/>
      <c r="H27" s="76"/>
      <c r="I27" s="76"/>
      <c r="J27" s="76"/>
      <c r="K27" s="76"/>
      <c r="L27" s="76"/>
      <c r="M27" s="76"/>
      <c r="N27" s="77"/>
      <c r="O27" s="78"/>
      <c r="P27" s="283"/>
    </row>
    <row r="28" spans="2:16" ht="15">
      <c r="B28" s="273"/>
      <c r="C28" s="67" t="s">
        <v>84</v>
      </c>
      <c r="D28" s="75"/>
      <c r="E28" s="75"/>
      <c r="F28" s="81"/>
      <c r="G28" s="76"/>
      <c r="H28" s="76"/>
      <c r="I28" s="76"/>
      <c r="J28" s="76"/>
      <c r="K28" s="76"/>
      <c r="L28" s="76"/>
      <c r="M28" s="76"/>
      <c r="N28" s="77"/>
      <c r="O28" s="78"/>
      <c r="P28" s="283"/>
    </row>
    <row r="29" spans="2:16" ht="15">
      <c r="B29" s="273"/>
      <c r="C29" s="79"/>
      <c r="D29" s="75"/>
      <c r="E29" s="75"/>
      <c r="F29" s="81"/>
      <c r="G29" s="76"/>
      <c r="H29" s="76"/>
      <c r="I29" s="76"/>
      <c r="J29" s="76"/>
      <c r="K29" s="76"/>
      <c r="L29" s="76"/>
      <c r="M29" s="76"/>
      <c r="N29" s="77"/>
      <c r="O29" s="78"/>
      <c r="P29" s="283"/>
    </row>
    <row r="30" spans="2:16" ht="15.75">
      <c r="B30" s="273"/>
      <c r="C30" s="79"/>
      <c r="D30" s="434" t="s">
        <v>85</v>
      </c>
      <c r="E30" s="435" t="s">
        <v>15</v>
      </c>
      <c r="F30" s="436" t="s">
        <v>86</v>
      </c>
      <c r="G30" s="437"/>
      <c r="H30" s="541" t="s">
        <v>132</v>
      </c>
      <c r="I30" s="540" t="s">
        <v>131</v>
      </c>
      <c r="J30" s="536"/>
      <c r="K30" s="460"/>
      <c r="L30" s="438" t="s">
        <v>2</v>
      </c>
      <c r="N30" s="77"/>
      <c r="O30" s="78"/>
      <c r="P30" s="283"/>
    </row>
    <row r="31" spans="2:16" ht="15.75">
      <c r="B31" s="273"/>
      <c r="C31" s="79"/>
      <c r="D31" s="439" t="s">
        <v>122</v>
      </c>
      <c r="E31" s="440">
        <v>132</v>
      </c>
      <c r="F31" s="441">
        <v>42.6</v>
      </c>
      <c r="G31" s="442"/>
      <c r="H31" s="443">
        <f>F31*$J$17*$E$17/100</f>
        <v>40476.601296</v>
      </c>
      <c r="I31" s="444">
        <v>87996</v>
      </c>
      <c r="J31" s="538" t="s">
        <v>204</v>
      </c>
      <c r="K31" s="446"/>
      <c r="L31" s="447">
        <f>SUM(H31:K31)</f>
        <v>128472.60129600001</v>
      </c>
      <c r="M31" s="76"/>
      <c r="N31" s="77"/>
      <c r="O31" s="78"/>
      <c r="P31" s="283"/>
    </row>
    <row r="32" spans="2:16" ht="15.75">
      <c r="B32" s="273"/>
      <c r="C32" s="79"/>
      <c r="D32" s="467" t="s">
        <v>123</v>
      </c>
      <c r="E32" s="75">
        <v>132</v>
      </c>
      <c r="F32" s="81">
        <v>33.6</v>
      </c>
      <c r="G32" s="76"/>
      <c r="H32" s="288">
        <f>F32*$J$17*$E$17/100</f>
        <v>31925.206656</v>
      </c>
      <c r="I32" s="484">
        <v>16837</v>
      </c>
      <c r="J32" s="537" t="s">
        <v>204</v>
      </c>
      <c r="K32" s="280"/>
      <c r="L32" s="468">
        <f>SUM(H32:K32)</f>
        <v>48762.206655999995</v>
      </c>
      <c r="M32" s="76"/>
      <c r="N32" s="77"/>
      <c r="O32" s="78"/>
      <c r="P32" s="283"/>
    </row>
    <row r="33" spans="2:16" ht="15.75">
      <c r="B33" s="273"/>
      <c r="C33" s="79"/>
      <c r="D33" s="467" t="s">
        <v>124</v>
      </c>
      <c r="E33" s="75">
        <v>132</v>
      </c>
      <c r="F33" s="81">
        <v>41</v>
      </c>
      <c r="G33" s="76"/>
      <c r="H33" s="288">
        <f>F33*$J$17*$E$17/100</f>
        <v>38956.35336</v>
      </c>
      <c r="I33" s="484">
        <v>20805</v>
      </c>
      <c r="J33" s="537" t="s">
        <v>204</v>
      </c>
      <c r="K33" s="280"/>
      <c r="L33" s="468">
        <f>SUM(H33:K33)</f>
        <v>59761.35336</v>
      </c>
      <c r="M33" s="76"/>
      <c r="N33" s="77"/>
      <c r="O33" s="78"/>
      <c r="P33" s="283"/>
    </row>
    <row r="34" spans="2:16" ht="15.75">
      <c r="B34" s="273"/>
      <c r="C34" s="79"/>
      <c r="D34" s="448"/>
      <c r="E34" s="449"/>
      <c r="F34" s="450"/>
      <c r="G34" s="451"/>
      <c r="H34" s="452"/>
      <c r="I34" s="453"/>
      <c r="J34" s="539"/>
      <c r="K34" s="455"/>
      <c r="L34" s="456"/>
      <c r="M34" s="76"/>
      <c r="N34" s="77"/>
      <c r="O34" s="78"/>
      <c r="P34" s="283"/>
    </row>
    <row r="35" spans="2:16" ht="15">
      <c r="B35" s="273"/>
      <c r="C35" s="79"/>
      <c r="D35" s="75"/>
      <c r="E35" s="75"/>
      <c r="F35" s="284"/>
      <c r="G35" s="76"/>
      <c r="I35" s="82"/>
      <c r="J35" s="280"/>
      <c r="K35" s="280"/>
      <c r="L35" s="457">
        <f>SUM(L31:L34)</f>
        <v>236996.161312</v>
      </c>
      <c r="M35" s="76"/>
      <c r="N35" s="77"/>
      <c r="O35" s="78"/>
      <c r="P35" s="283"/>
    </row>
    <row r="36" spans="2:16" ht="15">
      <c r="B36" s="273"/>
      <c r="C36" s="79"/>
      <c r="D36" s="75"/>
      <c r="E36" s="75"/>
      <c r="F36" s="284"/>
      <c r="G36" s="76"/>
      <c r="I36" s="82"/>
      <c r="J36" s="280"/>
      <c r="K36" s="280"/>
      <c r="L36" s="285"/>
      <c r="M36" s="76"/>
      <c r="N36" s="77"/>
      <c r="O36" s="78"/>
      <c r="P36" s="283"/>
    </row>
    <row r="37" spans="2:16" ht="15.75">
      <c r="B37" s="273"/>
      <c r="C37" s="79"/>
      <c r="D37" s="434" t="s">
        <v>87</v>
      </c>
      <c r="E37" s="435" t="s">
        <v>88</v>
      </c>
      <c r="F37" s="485" t="s">
        <v>98</v>
      </c>
      <c r="G37" s="486"/>
      <c r="H37" s="542" t="s">
        <v>133</v>
      </c>
      <c r="J37" s="458" t="s">
        <v>89</v>
      </c>
      <c r="K37" s="459"/>
      <c r="L37" s="460" t="s">
        <v>39</v>
      </c>
      <c r="M37" s="435" t="s">
        <v>15</v>
      </c>
      <c r="N37" s="461" t="s">
        <v>90</v>
      </c>
      <c r="O37" s="462"/>
      <c r="P37" s="283"/>
    </row>
    <row r="38" spans="2:16" ht="15">
      <c r="B38" s="273"/>
      <c r="C38" s="79"/>
      <c r="D38" s="439"/>
      <c r="E38" s="440"/>
      <c r="F38" s="487"/>
      <c r="G38" s="488"/>
      <c r="H38" s="447">
        <f>+F38*$J$18*$E$17</f>
        <v>0</v>
      </c>
      <c r="J38" s="543" t="s">
        <v>125</v>
      </c>
      <c r="K38" s="544"/>
      <c r="L38" s="545" t="s">
        <v>127</v>
      </c>
      <c r="M38" s="464">
        <v>132</v>
      </c>
      <c r="N38" s="465">
        <f aca="true" t="shared" si="0" ref="N38:N43">$M$16*$E$17</f>
        <v>4417.871999999999</v>
      </c>
      <c r="O38" s="466"/>
      <c r="P38" s="283"/>
    </row>
    <row r="39" spans="2:16" ht="15">
      <c r="B39" s="273"/>
      <c r="C39" s="79"/>
      <c r="D39" s="467"/>
      <c r="E39" s="75"/>
      <c r="F39" s="489"/>
      <c r="G39" s="490"/>
      <c r="H39" s="468">
        <f>+F39*$J$18*$E$17</f>
        <v>0</v>
      </c>
      <c r="J39" s="546" t="s">
        <v>125</v>
      </c>
      <c r="K39" s="547"/>
      <c r="L39" s="548" t="s">
        <v>138</v>
      </c>
      <c r="M39" s="77">
        <v>132</v>
      </c>
      <c r="N39" s="471">
        <f t="shared" si="0"/>
        <v>4417.871999999999</v>
      </c>
      <c r="O39" s="472"/>
      <c r="P39" s="283"/>
    </row>
    <row r="40" spans="2:16" ht="15">
      <c r="B40" s="273"/>
      <c r="C40" s="79"/>
      <c r="D40" s="467"/>
      <c r="E40" s="75"/>
      <c r="F40" s="489"/>
      <c r="G40" s="490"/>
      <c r="H40" s="468">
        <f>+F40*$J$18*$E$17</f>
        <v>0</v>
      </c>
      <c r="J40" s="546" t="s">
        <v>126</v>
      </c>
      <c r="K40" s="547"/>
      <c r="L40" s="548" t="s">
        <v>127</v>
      </c>
      <c r="M40" s="77">
        <v>132</v>
      </c>
      <c r="N40" s="471">
        <f t="shared" si="0"/>
        <v>4417.871999999999</v>
      </c>
      <c r="O40" s="472"/>
      <c r="P40" s="283"/>
    </row>
    <row r="41" spans="2:16" ht="15">
      <c r="B41" s="273"/>
      <c r="C41" s="79"/>
      <c r="D41" s="467"/>
      <c r="E41" s="75"/>
      <c r="F41" s="489"/>
      <c r="G41" s="490"/>
      <c r="H41" s="468">
        <f>+F41*$J$18*$E$17</f>
        <v>0</v>
      </c>
      <c r="J41" s="546" t="s">
        <v>128</v>
      </c>
      <c r="K41" s="547"/>
      <c r="L41" s="548" t="s">
        <v>129</v>
      </c>
      <c r="M41" s="77">
        <v>132</v>
      </c>
      <c r="N41" s="471">
        <f t="shared" si="0"/>
        <v>4417.871999999999</v>
      </c>
      <c r="O41" s="472"/>
      <c r="P41" s="283"/>
    </row>
    <row r="42" spans="2:16" ht="15">
      <c r="B42" s="273"/>
      <c r="C42" s="79"/>
      <c r="D42" s="448"/>
      <c r="E42" s="449"/>
      <c r="F42" s="491"/>
      <c r="G42" s="492"/>
      <c r="H42" s="468">
        <f>+F42*$J$18*$E$17</f>
        <v>0</v>
      </c>
      <c r="J42" s="546" t="s">
        <v>128</v>
      </c>
      <c r="K42" s="547"/>
      <c r="L42" s="548" t="s">
        <v>130</v>
      </c>
      <c r="M42" s="77">
        <v>132</v>
      </c>
      <c r="N42" s="471">
        <f t="shared" si="0"/>
        <v>4417.871999999999</v>
      </c>
      <c r="O42" s="472"/>
      <c r="P42" s="283"/>
    </row>
    <row r="43" spans="2:16" ht="15">
      <c r="B43" s="273"/>
      <c r="C43" s="79"/>
      <c r="D43" s="75"/>
      <c r="E43" s="75"/>
      <c r="F43" s="284"/>
      <c r="G43" s="76"/>
      <c r="H43" s="457">
        <f>SUM(H38:H42)</f>
        <v>0</v>
      </c>
      <c r="J43" s="549" t="s">
        <v>128</v>
      </c>
      <c r="K43" s="550"/>
      <c r="L43" s="551" t="s">
        <v>139</v>
      </c>
      <c r="M43" s="474">
        <v>132</v>
      </c>
      <c r="N43" s="475">
        <f t="shared" si="0"/>
        <v>4417.871999999999</v>
      </c>
      <c r="O43" s="476"/>
      <c r="P43" s="283"/>
    </row>
    <row r="44" spans="2:16" ht="15">
      <c r="B44" s="273"/>
      <c r="C44" s="79"/>
      <c r="D44" s="75"/>
      <c r="E44" s="75"/>
      <c r="F44" s="284"/>
      <c r="G44" s="76"/>
      <c r="I44" s="82"/>
      <c r="J44" s="280"/>
      <c r="K44" s="280"/>
      <c r="L44" s="285"/>
      <c r="M44" s="76"/>
      <c r="N44" s="477">
        <f>SUM(N38:N43)</f>
        <v>26507.231999999996</v>
      </c>
      <c r="O44" s="462"/>
      <c r="P44" s="283"/>
    </row>
    <row r="45" spans="2:16" ht="12.75" customHeight="1" thickBot="1">
      <c r="B45" s="273"/>
      <c r="C45" s="79"/>
      <c r="D45" s="75"/>
      <c r="E45" s="75"/>
      <c r="F45" s="81"/>
      <c r="G45" s="76"/>
      <c r="H45" s="82"/>
      <c r="I45" s="75"/>
      <c r="J45" s="75"/>
      <c r="K45" s="75"/>
      <c r="L45" s="76"/>
      <c r="M45" s="76"/>
      <c r="N45" s="77"/>
      <c r="O45" s="78"/>
      <c r="P45" s="283"/>
    </row>
    <row r="46" spans="2:16" ht="20.25" thickBot="1" thickTop="1">
      <c r="B46" s="273"/>
      <c r="C46" s="79"/>
      <c r="D46" s="75"/>
      <c r="E46" s="75"/>
      <c r="F46" s="81"/>
      <c r="G46" s="76"/>
      <c r="H46" s="478" t="s">
        <v>91</v>
      </c>
      <c r="I46" s="479">
        <f>+H43+N44+L35</f>
        <v>263503.39331200003</v>
      </c>
      <c r="J46" s="75"/>
      <c r="K46" s="75"/>
      <c r="L46" s="76"/>
      <c r="M46" s="76"/>
      <c r="N46" s="77"/>
      <c r="O46" s="78"/>
      <c r="P46" s="283"/>
    </row>
    <row r="47" spans="2:16" ht="15.75" thickTop="1">
      <c r="B47" s="273"/>
      <c r="C47" s="79"/>
      <c r="D47" s="75"/>
      <c r="E47" s="75"/>
      <c r="F47" s="81"/>
      <c r="G47" s="76"/>
      <c r="H47" s="82"/>
      <c r="I47" s="75"/>
      <c r="J47" s="75"/>
      <c r="K47" s="75"/>
      <c r="L47" s="76"/>
      <c r="M47" s="76"/>
      <c r="N47" s="77"/>
      <c r="O47" s="78"/>
      <c r="P47" s="283"/>
    </row>
    <row r="48" spans="2:16" ht="15.75">
      <c r="B48" s="273"/>
      <c r="C48" s="480" t="s">
        <v>92</v>
      </c>
      <c r="D48" s="75"/>
      <c r="E48" s="75"/>
      <c r="F48" s="81"/>
      <c r="G48" s="76"/>
      <c r="H48" s="82"/>
      <c r="I48" s="75"/>
      <c r="J48" s="75"/>
      <c r="K48" s="75"/>
      <c r="L48" s="76"/>
      <c r="M48" s="76"/>
      <c r="N48" s="77"/>
      <c r="O48" s="78"/>
      <c r="P48" s="283"/>
    </row>
    <row r="49" spans="2:16" ht="15.75" thickBot="1">
      <c r="B49" s="273"/>
      <c r="C49" s="79"/>
      <c r="D49" s="75"/>
      <c r="E49" s="75"/>
      <c r="F49" s="81"/>
      <c r="G49" s="76"/>
      <c r="H49" s="82"/>
      <c r="I49" s="75"/>
      <c r="J49" s="75"/>
      <c r="K49" s="75"/>
      <c r="L49" s="76"/>
      <c r="M49" s="76"/>
      <c r="N49" s="77"/>
      <c r="O49" s="78"/>
      <c r="P49" s="283"/>
    </row>
    <row r="50" spans="2:16" ht="20.25" thickBot="1" thickTop="1">
      <c r="B50" s="273"/>
      <c r="C50" s="79"/>
      <c r="D50" s="231" t="s">
        <v>93</v>
      </c>
      <c r="F50" s="286"/>
      <c r="G50" s="72"/>
      <c r="H50" s="154" t="s">
        <v>94</v>
      </c>
      <c r="I50" s="481">
        <f>E18*I46</f>
        <v>6587.584832800001</v>
      </c>
      <c r="J50" s="68"/>
      <c r="K50" s="68"/>
      <c r="O50" s="68"/>
      <c r="P50" s="283"/>
    </row>
    <row r="51" spans="2:16" ht="21.75" thickTop="1">
      <c r="B51" s="273"/>
      <c r="C51" s="79"/>
      <c r="F51" s="287"/>
      <c r="G51" s="44"/>
      <c r="I51" s="68"/>
      <c r="J51" s="68"/>
      <c r="K51" s="68"/>
      <c r="O51" s="68"/>
      <c r="P51" s="283"/>
    </row>
    <row r="52" spans="2:16" ht="15">
      <c r="B52" s="273"/>
      <c r="C52" s="67" t="s">
        <v>95</v>
      </c>
      <c r="E52" s="68"/>
      <c r="F52" s="68"/>
      <c r="G52" s="68"/>
      <c r="H52" s="68"/>
      <c r="I52" s="76"/>
      <c r="J52" s="76"/>
      <c r="K52" s="76"/>
      <c r="L52" s="76"/>
      <c r="M52" s="76"/>
      <c r="N52" s="77"/>
      <c r="O52" s="78"/>
      <c r="P52" s="283"/>
    </row>
    <row r="53" spans="2:16" ht="15">
      <c r="B53" s="273"/>
      <c r="C53" s="79"/>
      <c r="D53" s="74" t="s">
        <v>96</v>
      </c>
      <c r="E53" s="288">
        <f>10*I26*I50/I46</f>
        <v>44.831374999999994</v>
      </c>
      <c r="F53" s="482"/>
      <c r="H53" s="68"/>
      <c r="I53" s="76"/>
      <c r="J53" s="76"/>
      <c r="K53" s="76"/>
      <c r="L53" s="76"/>
      <c r="M53" s="76"/>
      <c r="N53" s="77"/>
      <c r="O53" s="78"/>
      <c r="P53" s="283"/>
    </row>
    <row r="54" spans="2:16" ht="15">
      <c r="B54" s="273"/>
      <c r="C54" s="79"/>
      <c r="D54" s="68"/>
      <c r="E54" s="68"/>
      <c r="J54" s="76"/>
      <c r="K54" s="76"/>
      <c r="L54" s="76"/>
      <c r="M54" s="76"/>
      <c r="N54" s="77"/>
      <c r="O54" s="78"/>
      <c r="P54" s="283"/>
    </row>
    <row r="55" spans="2:16" ht="15">
      <c r="B55" s="273"/>
      <c r="C55" s="79"/>
      <c r="D55" s="68" t="s">
        <v>109</v>
      </c>
      <c r="E55" s="68"/>
      <c r="F55" s="68"/>
      <c r="G55" s="68"/>
      <c r="H55" s="68"/>
      <c r="M55" s="76"/>
      <c r="N55" s="77"/>
      <c r="O55" s="78"/>
      <c r="P55" s="283"/>
    </row>
    <row r="56" spans="2:16" ht="15.75" thickBot="1">
      <c r="B56" s="273"/>
      <c r="C56" s="79"/>
      <c r="D56" s="68"/>
      <c r="E56" s="68"/>
      <c r="F56" s="68"/>
      <c r="G56" s="68"/>
      <c r="H56" s="68"/>
      <c r="M56" s="76"/>
      <c r="N56" s="77"/>
      <c r="O56" s="78"/>
      <c r="P56" s="283"/>
    </row>
    <row r="57" spans="2:16" ht="20.25" thickBot="1" thickTop="1">
      <c r="B57" s="273"/>
      <c r="C57" s="79"/>
      <c r="D57" s="75"/>
      <c r="E57" s="75"/>
      <c r="F57" s="81"/>
      <c r="G57" s="76"/>
      <c r="H57" s="232" t="s">
        <v>97</v>
      </c>
      <c r="I57" s="483">
        <f>IF($E$53&gt;3*I50,3*I50,$E$53)</f>
        <v>44.831374999999994</v>
      </c>
      <c r="J57" s="76"/>
      <c r="K57" s="76"/>
      <c r="L57" s="76"/>
      <c r="M57" s="76"/>
      <c r="N57" s="77"/>
      <c r="O57" s="78"/>
      <c r="P57" s="283"/>
    </row>
    <row r="58" spans="2:16" ht="16.5" thickBot="1" thickTop="1">
      <c r="B58" s="289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1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" right="0.1968503937007874" top="0.57" bottom="0.59" header="0.5118110236220472" footer="0.28"/>
  <pageSetup fitToHeight="1" fitToWidth="1" orientation="landscape" paperSize="9" scale="54" r:id="rId4"/>
  <headerFooter alignWithMargins="0">
    <oddFooter>&amp;L&amp;F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72"/>
  <sheetViews>
    <sheetView zoomScale="60" zoomScaleNormal="60" zoomScalePageLayoutView="0" workbookViewId="0" topLeftCell="A1">
      <selection activeCell="F50" sqref="F5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02"/>
    </row>
    <row r="2" spans="2:20" s="610" customFormat="1" ht="30.75">
      <c r="B2" s="109" t="str">
        <f>'TOT-0812'!B2</f>
        <v>ANEXO II al Memorándum  D.T.E.E.  N°             / 2013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</row>
    <row r="3" spans="1:2" ht="17.25" customHeight="1">
      <c r="A3" s="612" t="s">
        <v>16</v>
      </c>
      <c r="B3" s="613"/>
    </row>
    <row r="4" spans="1:4" ht="12.75" customHeight="1">
      <c r="A4" s="612" t="s">
        <v>17</v>
      </c>
      <c r="B4" s="613"/>
      <c r="D4" s="614"/>
    </row>
    <row r="5" spans="1:4" ht="21.75" customHeight="1">
      <c r="A5" s="615"/>
      <c r="D5" s="614"/>
    </row>
    <row r="6" spans="1:20" ht="26.25">
      <c r="A6" s="615"/>
      <c r="B6" s="616" t="s">
        <v>259</v>
      </c>
      <c r="C6" s="84"/>
      <c r="D6" s="61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4" ht="18.75" customHeight="1">
      <c r="A7" s="615"/>
      <c r="D7" s="614"/>
    </row>
    <row r="8" spans="1:20" ht="26.25">
      <c r="A8" s="615"/>
      <c r="B8" s="617" t="s">
        <v>1</v>
      </c>
      <c r="C8" s="84"/>
      <c r="D8" s="61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4" ht="18.75" customHeight="1">
      <c r="A9" s="615"/>
      <c r="D9" s="614"/>
    </row>
    <row r="10" spans="1:20" ht="26.25">
      <c r="A10" s="615"/>
      <c r="B10" s="617" t="s">
        <v>260</v>
      </c>
      <c r="C10" s="84"/>
      <c r="D10" s="61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ht="18.75" customHeight="1" thickBot="1"/>
    <row r="12" spans="2:20" ht="18.75" customHeight="1" thickTop="1">
      <c r="B12" s="618"/>
      <c r="C12" s="619"/>
      <c r="D12" s="620"/>
      <c r="E12" s="620"/>
      <c r="F12" s="620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21"/>
    </row>
    <row r="13" spans="2:20" ht="19.5">
      <c r="B13" s="233" t="s">
        <v>272</v>
      </c>
      <c r="C13" s="84"/>
      <c r="D13" s="622"/>
      <c r="E13" s="622"/>
      <c r="F13" s="622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4"/>
    </row>
    <row r="14" spans="2:20" ht="18.75" customHeight="1" thickBot="1">
      <c r="B14" s="2"/>
      <c r="C14" s="625"/>
      <c r="D14" s="626"/>
      <c r="E14" s="626"/>
      <c r="F14" s="6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635" customFormat="1" ht="34.5" customHeight="1" thickBot="1" thickTop="1">
      <c r="A15" s="613"/>
      <c r="B15" s="628"/>
      <c r="C15" s="629"/>
      <c r="D15" s="630" t="s">
        <v>19</v>
      </c>
      <c r="E15" s="631" t="s">
        <v>36</v>
      </c>
      <c r="F15" s="632" t="s">
        <v>37</v>
      </c>
      <c r="G15" s="633">
        <v>40756</v>
      </c>
      <c r="H15" s="633">
        <v>40787</v>
      </c>
      <c r="I15" s="633">
        <v>40817</v>
      </c>
      <c r="J15" s="633">
        <v>40848</v>
      </c>
      <c r="K15" s="633">
        <v>40878</v>
      </c>
      <c r="L15" s="633">
        <v>40909</v>
      </c>
      <c r="M15" s="633">
        <v>40940</v>
      </c>
      <c r="N15" s="633">
        <v>40969</v>
      </c>
      <c r="O15" s="633">
        <v>41000</v>
      </c>
      <c r="P15" s="633">
        <v>41030</v>
      </c>
      <c r="Q15" s="633">
        <v>41061</v>
      </c>
      <c r="R15" s="633">
        <v>41091</v>
      </c>
      <c r="S15" s="633">
        <v>41122</v>
      </c>
      <c r="T15" s="634"/>
    </row>
    <row r="16" spans="2:20" ht="15" customHeight="1" thickTop="1">
      <c r="B16" s="2"/>
      <c r="C16" s="636"/>
      <c r="D16" s="637"/>
      <c r="E16" s="637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9"/>
      <c r="T16" s="3"/>
    </row>
    <row r="17" spans="2:20" ht="12.75" hidden="1">
      <c r="B17" s="2"/>
      <c r="C17" s="640">
        <f>IF('[1]Tasa de Falla'!C17=0,"",'[1]Tasa de Falla'!C17)</f>
        <v>1</v>
      </c>
      <c r="D17" s="641" t="str">
        <f>IF('[1]Tasa de Falla'!D17=0,"",'[1]Tasa de Falla'!D17)</f>
        <v>AMEGHINO - COMODORO RIVADAVIA</v>
      </c>
      <c r="E17" s="641">
        <f>IF('[1]Tasa de Falla'!E17=0,"",'[1]Tasa de Falla'!E17)</f>
        <v>132</v>
      </c>
      <c r="F17" s="642">
        <f>IF('[1]Tasa de Falla'!F17=0,"",'[1]Tasa de Falla'!F17)</f>
        <v>305</v>
      </c>
      <c r="G17" s="643" t="str">
        <f>IF('[1]Tasa de Falla'!DW17=0,"",'[1]Tasa de Falla'!DW17)</f>
        <v>XXXX</v>
      </c>
      <c r="H17" s="643" t="str">
        <f>IF('[1]Tasa de Falla'!DX17=0,"",'[1]Tasa de Falla'!DX17)</f>
        <v>XXXX</v>
      </c>
      <c r="I17" s="643" t="str">
        <f>IF('[1]Tasa de Falla'!DY17=0,"",'[1]Tasa de Falla'!DY17)</f>
        <v>XXXX</v>
      </c>
      <c r="J17" s="643" t="str">
        <f>IF('[1]Tasa de Falla'!DZ17=0,"",'[1]Tasa de Falla'!DZ17)</f>
        <v>XXXX</v>
      </c>
      <c r="K17" s="643" t="str">
        <f>IF('[1]Tasa de Falla'!EA17=0,"",'[1]Tasa de Falla'!EA17)</f>
        <v>XXXX</v>
      </c>
      <c r="L17" s="643" t="str">
        <f>IF('[1]Tasa de Falla'!EB17=0,"",'[1]Tasa de Falla'!EB17)</f>
        <v>XXXX</v>
      </c>
      <c r="M17" s="643" t="str">
        <f>IF('[1]Tasa de Falla'!EC17=0,"",'[1]Tasa de Falla'!EC17)</f>
        <v>XXXX</v>
      </c>
      <c r="N17" s="643" t="str">
        <f>IF('[1]Tasa de Falla'!ED17=0,"",'[1]Tasa de Falla'!ED17)</f>
        <v>XXXX</v>
      </c>
      <c r="O17" s="643" t="str">
        <f>IF('[1]Tasa de Falla'!EE17=0,"",'[1]Tasa de Falla'!EE17)</f>
        <v>XXXX</v>
      </c>
      <c r="P17" s="643" t="str">
        <f>IF('[1]Tasa de Falla'!EF17=0,"",'[1]Tasa de Falla'!EF17)</f>
        <v>XXXX</v>
      </c>
      <c r="Q17" s="643" t="str">
        <f>IF('[1]Tasa de Falla'!EG17=0,"",'[1]Tasa de Falla'!EG17)</f>
        <v>XXXX</v>
      </c>
      <c r="R17" s="643" t="str">
        <f>IF('[1]Tasa de Falla'!EH17=0,"",'[1]Tasa de Falla'!EH17)</f>
        <v>XXXX</v>
      </c>
      <c r="S17" s="644"/>
      <c r="T17" s="3"/>
    </row>
    <row r="18" spans="2:20" ht="18" customHeight="1">
      <c r="B18" s="2"/>
      <c r="C18" s="645">
        <f>IF('[4]Tasa de Falla'!C17=0,"",'[4]Tasa de Falla'!C17)</f>
        <v>1</v>
      </c>
      <c r="D18" s="645" t="str">
        <f>IF('[4]Tasa de Falla'!D17=0,"",'[4]Tasa de Falla'!D17)</f>
        <v>AMEGHINO - COMODORO RIVADAVIA</v>
      </c>
      <c r="E18" s="645">
        <f>IF('[4]Tasa de Falla'!E17=0,"",'[4]Tasa de Falla'!E17)</f>
        <v>132</v>
      </c>
      <c r="F18" s="645">
        <f>IF('[4]Tasa de Falla'!F17=0,"",'[4]Tasa de Falla'!F17)</f>
        <v>305</v>
      </c>
      <c r="G18" s="646" t="str">
        <f>IF('[4]Tasa de Falla'!GZ17=0,"",'[4]Tasa de Falla'!GZ17)</f>
        <v>XXXX</v>
      </c>
      <c r="H18" s="646" t="str">
        <f>IF('[4]Tasa de Falla'!HA17=0,"",'[4]Tasa de Falla'!HA17)</f>
        <v>XXXX</v>
      </c>
      <c r="I18" s="646" t="str">
        <f>IF('[4]Tasa de Falla'!HB17=0,"",'[4]Tasa de Falla'!HB17)</f>
        <v>XXXX</v>
      </c>
      <c r="J18" s="646" t="str">
        <f>IF('[4]Tasa de Falla'!HC17=0,"",'[4]Tasa de Falla'!HC17)</f>
        <v>XXXX</v>
      </c>
      <c r="K18" s="646" t="str">
        <f>IF('[4]Tasa de Falla'!HD17=0,"",'[4]Tasa de Falla'!HD17)</f>
        <v>XXXX</v>
      </c>
      <c r="L18" s="646" t="str">
        <f>IF('[4]Tasa de Falla'!HE17=0,"",'[4]Tasa de Falla'!HE17)</f>
        <v>XXXX</v>
      </c>
      <c r="M18" s="646" t="str">
        <f>IF('[4]Tasa de Falla'!HF17=0,"",'[4]Tasa de Falla'!HF17)</f>
        <v>XXXX</v>
      </c>
      <c r="N18" s="646" t="str">
        <f>IF('[4]Tasa de Falla'!HG17=0,"",'[4]Tasa de Falla'!HG17)</f>
        <v>XXXX</v>
      </c>
      <c r="O18" s="646" t="str">
        <f>IF('[4]Tasa de Falla'!HH17=0,"",'[4]Tasa de Falla'!HH17)</f>
        <v>XXXX</v>
      </c>
      <c r="P18" s="646" t="str">
        <f>IF('[4]Tasa de Falla'!HI17=0,"",'[4]Tasa de Falla'!HI17)</f>
        <v>XXXX</v>
      </c>
      <c r="Q18" s="646" t="str">
        <f>IF('[4]Tasa de Falla'!HJ17=0,"",'[4]Tasa de Falla'!HJ17)</f>
        <v>XXXX</v>
      </c>
      <c r="R18" s="646" t="str">
        <f>IF('[4]Tasa de Falla'!HK17=0,"",'[4]Tasa de Falla'!HK17)</f>
        <v>XXXX</v>
      </c>
      <c r="S18" s="644"/>
      <c r="T18" s="3"/>
    </row>
    <row r="19" spans="2:20" ht="15" customHeight="1">
      <c r="B19" s="2"/>
      <c r="C19" s="645">
        <f>IF('[4]Tasa de Falla'!C18=0,"",'[4]Tasa de Falla'!C18)</f>
        <v>2</v>
      </c>
      <c r="D19" s="645" t="str">
        <f>IF('[4]Tasa de Falla'!D18=0,"",'[4]Tasa de Falla'!D18)</f>
        <v>AMEGHINO - ESTACION PATAGONIA</v>
      </c>
      <c r="E19" s="645">
        <f>IF('[4]Tasa de Falla'!E18=0,"",'[4]Tasa de Falla'!E18)</f>
        <v>132</v>
      </c>
      <c r="F19" s="645">
        <f>IF('[4]Tasa de Falla'!F18=0,"",'[4]Tasa de Falla'!F18)</f>
        <v>299.6</v>
      </c>
      <c r="G19" s="646">
        <f>IF('[4]Tasa de Falla'!GZ18=0,"",'[4]Tasa de Falla'!GZ18)</f>
      </c>
      <c r="H19" s="646">
        <f>IF('[4]Tasa de Falla'!HA18=0,"",'[4]Tasa de Falla'!HA18)</f>
      </c>
      <c r="I19" s="646">
        <f>IF('[4]Tasa de Falla'!HB18=0,"",'[4]Tasa de Falla'!HB18)</f>
      </c>
      <c r="J19" s="646">
        <f>IF('[4]Tasa de Falla'!HC18=0,"",'[4]Tasa de Falla'!HC18)</f>
      </c>
      <c r="K19" s="646">
        <f>IF('[4]Tasa de Falla'!HD18=0,"",'[4]Tasa de Falla'!HD18)</f>
        <v>1</v>
      </c>
      <c r="L19" s="646">
        <f>IF('[4]Tasa de Falla'!HE18=0,"",'[4]Tasa de Falla'!HE18)</f>
      </c>
      <c r="M19" s="646">
        <f>IF('[4]Tasa de Falla'!HF18=0,"",'[4]Tasa de Falla'!HF18)</f>
      </c>
      <c r="N19" s="646">
        <f>IF('[4]Tasa de Falla'!HG18=0,"",'[4]Tasa de Falla'!HG18)</f>
      </c>
      <c r="O19" s="646">
        <f>IF('[4]Tasa de Falla'!HH18=0,"",'[4]Tasa de Falla'!HH18)</f>
      </c>
      <c r="P19" s="646">
        <f>IF('[4]Tasa de Falla'!HI18=0,"",'[4]Tasa de Falla'!HI18)</f>
      </c>
      <c r="Q19" s="646">
        <f>IF('[4]Tasa de Falla'!HJ18=0,"",'[4]Tasa de Falla'!HJ18)</f>
      </c>
      <c r="R19" s="646">
        <f>IF('[4]Tasa de Falla'!HK18=0,"",'[4]Tasa de Falla'!HK18)</f>
      </c>
      <c r="S19" s="644"/>
      <c r="T19" s="3"/>
    </row>
    <row r="20" spans="2:20" ht="15" customHeight="1">
      <c r="B20" s="2"/>
      <c r="C20" s="645">
        <f>IF('[4]Tasa de Falla'!C19=0,"",'[4]Tasa de Falla'!C19)</f>
        <v>3</v>
      </c>
      <c r="D20" s="645" t="str">
        <f>IF('[4]Tasa de Falla'!D19=0,"",'[4]Tasa de Falla'!D19)</f>
        <v>AMEGHINO - TRELEW</v>
      </c>
      <c r="E20" s="645">
        <f>IF('[4]Tasa de Falla'!E19=0,"",'[4]Tasa de Falla'!E19)</f>
        <v>132</v>
      </c>
      <c r="F20" s="645">
        <f>IF('[4]Tasa de Falla'!F19=0,"",'[4]Tasa de Falla'!F19)</f>
        <v>112</v>
      </c>
      <c r="G20" s="646">
        <f>IF('[4]Tasa de Falla'!GZ19=0,"",'[4]Tasa de Falla'!GZ19)</f>
      </c>
      <c r="H20" s="646">
        <f>IF('[4]Tasa de Falla'!HA19=0,"",'[4]Tasa de Falla'!HA19)</f>
      </c>
      <c r="I20" s="646">
        <f>IF('[4]Tasa de Falla'!HB19=0,"",'[4]Tasa de Falla'!HB19)</f>
      </c>
      <c r="J20" s="646">
        <f>IF('[4]Tasa de Falla'!HC19=0,"",'[4]Tasa de Falla'!HC19)</f>
        <v>1</v>
      </c>
      <c r="K20" s="646">
        <f>IF('[4]Tasa de Falla'!HD19=0,"",'[4]Tasa de Falla'!HD19)</f>
      </c>
      <c r="L20" s="646">
        <f>IF('[4]Tasa de Falla'!HE19=0,"",'[4]Tasa de Falla'!HE19)</f>
      </c>
      <c r="M20" s="646">
        <f>IF('[4]Tasa de Falla'!HF19=0,"",'[4]Tasa de Falla'!HF19)</f>
      </c>
      <c r="N20" s="646">
        <f>IF('[4]Tasa de Falla'!HG19=0,"",'[4]Tasa de Falla'!HG19)</f>
      </c>
      <c r="O20" s="646">
        <f>IF('[4]Tasa de Falla'!HH19=0,"",'[4]Tasa de Falla'!HH19)</f>
      </c>
      <c r="P20" s="646">
        <f>IF('[4]Tasa de Falla'!HI19=0,"",'[4]Tasa de Falla'!HI19)</f>
      </c>
      <c r="Q20" s="646">
        <f>IF('[4]Tasa de Falla'!HJ19=0,"",'[4]Tasa de Falla'!HJ19)</f>
      </c>
      <c r="R20" s="646">
        <f>IF('[4]Tasa de Falla'!HK19=0,"",'[4]Tasa de Falla'!HK19)</f>
      </c>
      <c r="S20" s="644"/>
      <c r="T20" s="3"/>
    </row>
    <row r="21" spans="2:20" ht="15" customHeight="1">
      <c r="B21" s="2"/>
      <c r="C21" s="645">
        <f>IF('[4]Tasa de Falla'!C20=0,"",'[4]Tasa de Falla'!C20)</f>
        <v>4</v>
      </c>
      <c r="D21" s="645" t="str">
        <f>IF('[4]Tasa de Falla'!D20=0,"",'[4]Tasa de Falla'!D20)</f>
        <v>FUTALEUFU - ESQUEL</v>
      </c>
      <c r="E21" s="645">
        <f>IF('[4]Tasa de Falla'!E20=0,"",'[4]Tasa de Falla'!E20)</f>
        <v>132</v>
      </c>
      <c r="F21" s="645">
        <f>IF('[4]Tasa de Falla'!F20=0,"",'[4]Tasa de Falla'!F20)</f>
        <v>28.41</v>
      </c>
      <c r="G21" s="646">
        <f>IF('[4]Tasa de Falla'!GZ20=0,"",'[4]Tasa de Falla'!GZ20)</f>
      </c>
      <c r="H21" s="646">
        <f>IF('[4]Tasa de Falla'!HA20=0,"",'[4]Tasa de Falla'!HA20)</f>
      </c>
      <c r="I21" s="646">
        <f>IF('[4]Tasa de Falla'!HB20=0,"",'[4]Tasa de Falla'!HB20)</f>
      </c>
      <c r="J21" s="646">
        <f>IF('[4]Tasa de Falla'!HC20=0,"",'[4]Tasa de Falla'!HC20)</f>
      </c>
      <c r="K21" s="646">
        <f>IF('[4]Tasa de Falla'!HD20=0,"",'[4]Tasa de Falla'!HD20)</f>
      </c>
      <c r="L21" s="646">
        <f>IF('[4]Tasa de Falla'!HE20=0,"",'[4]Tasa de Falla'!HE20)</f>
      </c>
      <c r="M21" s="646">
        <f>IF('[4]Tasa de Falla'!HF20=0,"",'[4]Tasa de Falla'!HF20)</f>
      </c>
      <c r="N21" s="646">
        <f>IF('[4]Tasa de Falla'!HG20=0,"",'[4]Tasa de Falla'!HG20)</f>
      </c>
      <c r="O21" s="646">
        <f>IF('[4]Tasa de Falla'!HH20=0,"",'[4]Tasa de Falla'!HH20)</f>
      </c>
      <c r="P21" s="646">
        <f>IF('[4]Tasa de Falla'!HI20=0,"",'[4]Tasa de Falla'!HI20)</f>
      </c>
      <c r="Q21" s="646">
        <f>IF('[4]Tasa de Falla'!HJ20=0,"",'[4]Tasa de Falla'!HJ20)</f>
      </c>
      <c r="R21" s="646">
        <f>IF('[4]Tasa de Falla'!HK20=0,"",'[4]Tasa de Falla'!HK20)</f>
      </c>
      <c r="S21" s="644"/>
      <c r="T21" s="3"/>
    </row>
    <row r="22" spans="2:20" ht="15" customHeight="1">
      <c r="B22" s="2"/>
      <c r="C22" s="645">
        <f>IF('[4]Tasa de Falla'!C21=0,"",'[4]Tasa de Falla'!C21)</f>
        <v>5</v>
      </c>
      <c r="D22" s="645" t="str">
        <f>IF('[4]Tasa de Falla'!D21=0,"",'[4]Tasa de Falla'!D21)</f>
        <v>BARRIO SAN MARTIN - ESTACION PATAGONIA</v>
      </c>
      <c r="E22" s="645">
        <f>IF('[4]Tasa de Falla'!E21=0,"",'[4]Tasa de Falla'!E21)</f>
        <v>132</v>
      </c>
      <c r="F22" s="645">
        <f>IF('[4]Tasa de Falla'!F21=0,"",'[4]Tasa de Falla'!F21)</f>
        <v>9.4</v>
      </c>
      <c r="G22" s="646">
        <f>IF('[4]Tasa de Falla'!GZ21=0,"",'[4]Tasa de Falla'!GZ21)</f>
      </c>
      <c r="H22" s="646">
        <f>IF('[4]Tasa de Falla'!HA21=0,"",'[4]Tasa de Falla'!HA21)</f>
      </c>
      <c r="I22" s="646">
        <f>IF('[4]Tasa de Falla'!HB21=0,"",'[4]Tasa de Falla'!HB21)</f>
      </c>
      <c r="J22" s="646">
        <f>IF('[4]Tasa de Falla'!HC21=0,"",'[4]Tasa de Falla'!HC21)</f>
      </c>
      <c r="K22" s="646">
        <f>IF('[4]Tasa de Falla'!HD21=0,"",'[4]Tasa de Falla'!HD21)</f>
      </c>
      <c r="L22" s="646">
        <f>IF('[4]Tasa de Falla'!HE21=0,"",'[4]Tasa de Falla'!HE21)</f>
      </c>
      <c r="M22" s="646">
        <f>IF('[4]Tasa de Falla'!HF21=0,"",'[4]Tasa de Falla'!HF21)</f>
        <v>1</v>
      </c>
      <c r="N22" s="646">
        <f>IF('[4]Tasa de Falla'!HG21=0,"",'[4]Tasa de Falla'!HG21)</f>
      </c>
      <c r="O22" s="646">
        <f>IF('[4]Tasa de Falla'!HH21=0,"",'[4]Tasa de Falla'!HH21)</f>
      </c>
      <c r="P22" s="646">
        <f>IF('[4]Tasa de Falla'!HI21=0,"",'[4]Tasa de Falla'!HI21)</f>
      </c>
      <c r="Q22" s="646">
        <f>IF('[4]Tasa de Falla'!HJ21=0,"",'[4]Tasa de Falla'!HJ21)</f>
      </c>
      <c r="R22" s="646">
        <f>IF('[4]Tasa de Falla'!HK21=0,"",'[4]Tasa de Falla'!HK21)</f>
      </c>
      <c r="S22" s="644"/>
      <c r="T22" s="3"/>
    </row>
    <row r="23" spans="2:20" ht="15" customHeight="1">
      <c r="B23" s="2"/>
      <c r="C23" s="645">
        <f>IF('[4]Tasa de Falla'!C22=0,"",'[4]Tasa de Falla'!C22)</f>
        <v>6</v>
      </c>
      <c r="D23" s="645" t="str">
        <f>IF('[4]Tasa de Falla'!D22=0,"",'[4]Tasa de Falla'!D22)</f>
        <v>COMODORO RIVADAVIA - E.T. A1</v>
      </c>
      <c r="E23" s="645">
        <f>IF('[4]Tasa de Falla'!E22=0,"",'[4]Tasa de Falla'!E22)</f>
        <v>132</v>
      </c>
      <c r="F23" s="645">
        <f>IF('[4]Tasa de Falla'!F22=0,"",'[4]Tasa de Falla'!F22)</f>
        <v>0.5</v>
      </c>
      <c r="G23" s="646">
        <f>IF('[4]Tasa de Falla'!GZ22=0,"",'[4]Tasa de Falla'!GZ22)</f>
      </c>
      <c r="H23" s="646">
        <f>IF('[4]Tasa de Falla'!HA22=0,"",'[4]Tasa de Falla'!HA22)</f>
      </c>
      <c r="I23" s="646">
        <f>IF('[4]Tasa de Falla'!HB22=0,"",'[4]Tasa de Falla'!HB22)</f>
      </c>
      <c r="J23" s="646">
        <f>IF('[4]Tasa de Falla'!HC22=0,"",'[4]Tasa de Falla'!HC22)</f>
      </c>
      <c r="K23" s="646">
        <f>IF('[4]Tasa de Falla'!HD22=0,"",'[4]Tasa de Falla'!HD22)</f>
      </c>
      <c r="L23" s="646">
        <f>IF('[4]Tasa de Falla'!HE22=0,"",'[4]Tasa de Falla'!HE22)</f>
      </c>
      <c r="M23" s="646">
        <f>IF('[4]Tasa de Falla'!HF22=0,"",'[4]Tasa de Falla'!HF22)</f>
      </c>
      <c r="N23" s="646">
        <f>IF('[4]Tasa de Falla'!HG22=0,"",'[4]Tasa de Falla'!HG22)</f>
      </c>
      <c r="O23" s="646">
        <f>IF('[4]Tasa de Falla'!HH22=0,"",'[4]Tasa de Falla'!HH22)</f>
      </c>
      <c r="P23" s="646">
        <f>IF('[4]Tasa de Falla'!HI22=0,"",'[4]Tasa de Falla'!HI22)</f>
      </c>
      <c r="Q23" s="646">
        <f>IF('[4]Tasa de Falla'!HJ22=0,"",'[4]Tasa de Falla'!HJ22)</f>
      </c>
      <c r="R23" s="646">
        <f>IF('[4]Tasa de Falla'!HK22=0,"",'[4]Tasa de Falla'!HK22)</f>
      </c>
      <c r="S23" s="644"/>
      <c r="T23" s="3"/>
    </row>
    <row r="24" spans="2:20" ht="15" customHeight="1">
      <c r="B24" s="2"/>
      <c r="C24" s="645">
        <f>IF('[4]Tasa de Falla'!C23=0,"",'[4]Tasa de Falla'!C23)</f>
        <v>7</v>
      </c>
      <c r="D24" s="645" t="str">
        <f>IF('[4]Tasa de Falla'!D23=0,"",'[4]Tasa de Falla'!D23)</f>
        <v>COMODORO RIVADAVIA (A1) - ESTACION PATAGONIA</v>
      </c>
      <c r="E24" s="645">
        <f>IF('[4]Tasa de Falla'!E23=0,"",'[4]Tasa de Falla'!E23)</f>
        <v>132</v>
      </c>
      <c r="F24" s="645">
        <f>IF('[4]Tasa de Falla'!F23=0,"",'[4]Tasa de Falla'!F23)</f>
        <v>6.9</v>
      </c>
      <c r="G24" s="646">
        <f>IF('[4]Tasa de Falla'!GZ23=0,"",'[4]Tasa de Falla'!GZ23)</f>
      </c>
      <c r="H24" s="646">
        <f>IF('[4]Tasa de Falla'!HA23=0,"",'[4]Tasa de Falla'!HA23)</f>
      </c>
      <c r="I24" s="646">
        <f>IF('[4]Tasa de Falla'!HB23=0,"",'[4]Tasa de Falla'!HB23)</f>
      </c>
      <c r="J24" s="646">
        <f>IF('[4]Tasa de Falla'!HC23=0,"",'[4]Tasa de Falla'!HC23)</f>
      </c>
      <c r="K24" s="646">
        <f>IF('[4]Tasa de Falla'!HD23=0,"",'[4]Tasa de Falla'!HD23)</f>
      </c>
      <c r="L24" s="646">
        <f>IF('[4]Tasa de Falla'!HE23=0,"",'[4]Tasa de Falla'!HE23)</f>
      </c>
      <c r="M24" s="646">
        <f>IF('[4]Tasa de Falla'!HF23=0,"",'[4]Tasa de Falla'!HF23)</f>
      </c>
      <c r="N24" s="646">
        <f>IF('[4]Tasa de Falla'!HG23=0,"",'[4]Tasa de Falla'!HG23)</f>
      </c>
      <c r="O24" s="646">
        <f>IF('[4]Tasa de Falla'!HH23=0,"",'[4]Tasa de Falla'!HH23)</f>
      </c>
      <c r="P24" s="646">
        <f>IF('[4]Tasa de Falla'!HI23=0,"",'[4]Tasa de Falla'!HI23)</f>
      </c>
      <c r="Q24" s="646">
        <f>IF('[4]Tasa de Falla'!HJ23=0,"",'[4]Tasa de Falla'!HJ23)</f>
      </c>
      <c r="R24" s="646">
        <f>IF('[4]Tasa de Falla'!HK23=0,"",'[4]Tasa de Falla'!HK23)</f>
      </c>
      <c r="S24" s="644"/>
      <c r="T24" s="3"/>
    </row>
    <row r="25" spans="2:20" ht="15" customHeight="1">
      <c r="B25" s="2"/>
      <c r="C25" s="645">
        <f>IF('[4]Tasa de Falla'!C24=0,"",'[4]Tasa de Falla'!C24)</f>
        <v>8</v>
      </c>
      <c r="D25" s="645" t="str">
        <f>IF('[4]Tasa de Falla'!D24=0,"",'[4]Tasa de Falla'!D24)</f>
        <v>COMODORO RIVADAVIA - PICO TRUNCADO</v>
      </c>
      <c r="E25" s="645">
        <f>IF('[4]Tasa de Falla'!E24=0,"",'[4]Tasa de Falla'!E24)</f>
        <v>132</v>
      </c>
      <c r="F25" s="645">
        <f>IF('[4]Tasa de Falla'!F24=0,"",'[4]Tasa de Falla'!F24)</f>
        <v>138</v>
      </c>
      <c r="G25" s="646">
        <f>IF('[4]Tasa de Falla'!GZ24=0,"",'[4]Tasa de Falla'!GZ24)</f>
      </c>
      <c r="H25" s="646">
        <f>IF('[4]Tasa de Falla'!HA24=0,"",'[4]Tasa de Falla'!HA24)</f>
      </c>
      <c r="I25" s="646">
        <f>IF('[4]Tasa de Falla'!HB24=0,"",'[4]Tasa de Falla'!HB24)</f>
      </c>
      <c r="J25" s="646">
        <f>IF('[4]Tasa de Falla'!HC24=0,"",'[4]Tasa de Falla'!HC24)</f>
      </c>
      <c r="K25" s="646">
        <f>IF('[4]Tasa de Falla'!HD24=0,"",'[4]Tasa de Falla'!HD24)</f>
      </c>
      <c r="L25" s="646">
        <f>IF('[4]Tasa de Falla'!HE24=0,"",'[4]Tasa de Falla'!HE24)</f>
      </c>
      <c r="M25" s="646">
        <f>IF('[4]Tasa de Falla'!HF24=0,"",'[4]Tasa de Falla'!HF24)</f>
      </c>
      <c r="N25" s="646">
        <f>IF('[4]Tasa de Falla'!HG24=0,"",'[4]Tasa de Falla'!HG24)</f>
      </c>
      <c r="O25" s="646">
        <f>IF('[4]Tasa de Falla'!HH24=0,"",'[4]Tasa de Falla'!HH24)</f>
      </c>
      <c r="P25" s="646">
        <f>IF('[4]Tasa de Falla'!HI24=0,"",'[4]Tasa de Falla'!HI24)</f>
        <v>1</v>
      </c>
      <c r="Q25" s="646">
        <f>IF('[4]Tasa de Falla'!HJ24=0,"",'[4]Tasa de Falla'!HJ24)</f>
      </c>
      <c r="R25" s="646">
        <f>IF('[4]Tasa de Falla'!HK24=0,"",'[4]Tasa de Falla'!HK24)</f>
      </c>
      <c r="S25" s="644"/>
      <c r="T25" s="3"/>
    </row>
    <row r="26" spans="2:20" ht="15" customHeight="1">
      <c r="B26" s="2"/>
      <c r="C26" s="645">
        <f>IF('[4]Tasa de Falla'!C25=0,"",'[4]Tasa de Falla'!C25)</f>
        <v>9</v>
      </c>
      <c r="D26" s="645" t="str">
        <f>IF('[4]Tasa de Falla'!D25=0,"",'[4]Tasa de Falla'!D25)</f>
        <v>FUTALEUFÚ - PUERTO MADRYN 1</v>
      </c>
      <c r="E26" s="645">
        <f>IF('[4]Tasa de Falla'!E25=0,"",'[4]Tasa de Falla'!E25)</f>
        <v>330</v>
      </c>
      <c r="F26" s="645">
        <f>IF('[4]Tasa de Falla'!F25=0,"",'[4]Tasa de Falla'!F25)</f>
        <v>550</v>
      </c>
      <c r="G26" s="646">
        <f>IF('[4]Tasa de Falla'!GZ25=0,"",'[4]Tasa de Falla'!GZ25)</f>
      </c>
      <c r="H26" s="646">
        <f>IF('[4]Tasa de Falla'!HA25=0,"",'[4]Tasa de Falla'!HA25)</f>
      </c>
      <c r="I26" s="646">
        <f>IF('[4]Tasa de Falla'!HB25=0,"",'[4]Tasa de Falla'!HB25)</f>
      </c>
      <c r="J26" s="646">
        <f>IF('[4]Tasa de Falla'!HC25=0,"",'[4]Tasa de Falla'!HC25)</f>
      </c>
      <c r="K26" s="646">
        <f>IF('[4]Tasa de Falla'!HD25=0,"",'[4]Tasa de Falla'!HD25)</f>
      </c>
      <c r="L26" s="646">
        <f>IF('[4]Tasa de Falla'!HE25=0,"",'[4]Tasa de Falla'!HE25)</f>
      </c>
      <c r="M26" s="646">
        <f>IF('[4]Tasa de Falla'!HF25=0,"",'[4]Tasa de Falla'!HF25)</f>
      </c>
      <c r="N26" s="646">
        <f>IF('[4]Tasa de Falla'!HG25=0,"",'[4]Tasa de Falla'!HG25)</f>
      </c>
      <c r="O26" s="646">
        <f>IF('[4]Tasa de Falla'!HH25=0,"",'[4]Tasa de Falla'!HH25)</f>
      </c>
      <c r="P26" s="646">
        <f>IF('[4]Tasa de Falla'!HI25=0,"",'[4]Tasa de Falla'!HI25)</f>
      </c>
      <c r="Q26" s="646">
        <f>IF('[4]Tasa de Falla'!HJ25=0,"",'[4]Tasa de Falla'!HJ25)</f>
      </c>
      <c r="R26" s="646">
        <f>IF('[4]Tasa de Falla'!HK25=0,"",'[4]Tasa de Falla'!HK25)</f>
      </c>
      <c r="S26" s="644"/>
      <c r="T26" s="3"/>
    </row>
    <row r="27" spans="2:20" ht="15" customHeight="1">
      <c r="B27" s="2"/>
      <c r="C27" s="645">
        <f>IF('[4]Tasa de Falla'!C26=0,"",'[4]Tasa de Falla'!C26)</f>
        <v>10</v>
      </c>
      <c r="D27" s="645" t="str">
        <f>IF('[4]Tasa de Falla'!D26=0,"",'[4]Tasa de Falla'!D26)</f>
        <v>FUTALEUFÚ - PUERTO MADRYN 2</v>
      </c>
      <c r="E27" s="645">
        <f>IF('[4]Tasa de Falla'!E26=0,"",'[4]Tasa de Falla'!E26)</f>
        <v>330</v>
      </c>
      <c r="F27" s="645">
        <f>IF('[4]Tasa de Falla'!F26=0,"",'[4]Tasa de Falla'!F26)</f>
        <v>550</v>
      </c>
      <c r="G27" s="646">
        <f>IF('[4]Tasa de Falla'!GZ26=0,"",'[4]Tasa de Falla'!GZ26)</f>
      </c>
      <c r="H27" s="646">
        <f>IF('[4]Tasa de Falla'!HA26=0,"",'[4]Tasa de Falla'!HA26)</f>
      </c>
      <c r="I27" s="646">
        <f>IF('[4]Tasa de Falla'!HB26=0,"",'[4]Tasa de Falla'!HB26)</f>
      </c>
      <c r="J27" s="646">
        <f>IF('[4]Tasa de Falla'!HC26=0,"",'[4]Tasa de Falla'!HC26)</f>
      </c>
      <c r="K27" s="646">
        <f>IF('[4]Tasa de Falla'!HD26=0,"",'[4]Tasa de Falla'!HD26)</f>
      </c>
      <c r="L27" s="646">
        <f>IF('[4]Tasa de Falla'!HE26=0,"",'[4]Tasa de Falla'!HE26)</f>
      </c>
      <c r="M27" s="646">
        <f>IF('[4]Tasa de Falla'!HF26=0,"",'[4]Tasa de Falla'!HF26)</f>
      </c>
      <c r="N27" s="646">
        <f>IF('[4]Tasa de Falla'!HG26=0,"",'[4]Tasa de Falla'!HG26)</f>
      </c>
      <c r="O27" s="646">
        <f>IF('[4]Tasa de Falla'!HH26=0,"",'[4]Tasa de Falla'!HH26)</f>
      </c>
      <c r="P27" s="646">
        <f>IF('[4]Tasa de Falla'!HI26=0,"",'[4]Tasa de Falla'!HI26)</f>
      </c>
      <c r="Q27" s="646">
        <f>IF('[4]Tasa de Falla'!HJ26=0,"",'[4]Tasa de Falla'!HJ26)</f>
      </c>
      <c r="R27" s="646">
        <f>IF('[4]Tasa de Falla'!HK26=0,"",'[4]Tasa de Falla'!HK26)</f>
      </c>
      <c r="S27" s="644"/>
      <c r="T27" s="3"/>
    </row>
    <row r="28" spans="2:20" ht="15" customHeight="1">
      <c r="B28" s="2"/>
      <c r="C28" s="645">
        <f>IF('[4]Tasa de Falla'!C27=0,"",'[4]Tasa de Falla'!C27)</f>
        <v>11</v>
      </c>
      <c r="D28" s="645" t="str">
        <f>IF('[4]Tasa de Falla'!D27=0,"",'[4]Tasa de Falla'!D27)</f>
        <v>PLANTA ALUMINIO APPA - PUERTO MADRYN 1</v>
      </c>
      <c r="E28" s="645">
        <f>IF('[4]Tasa de Falla'!E27=0,"",'[4]Tasa de Falla'!E27)</f>
        <v>330</v>
      </c>
      <c r="F28" s="645">
        <f>IF('[4]Tasa de Falla'!F27=0,"",'[4]Tasa de Falla'!F27)</f>
        <v>5.5</v>
      </c>
      <c r="G28" s="646">
        <f>IF('[4]Tasa de Falla'!GZ27=0,"",'[4]Tasa de Falla'!GZ27)</f>
      </c>
      <c r="H28" s="646">
        <f>IF('[4]Tasa de Falla'!HA27=0,"",'[4]Tasa de Falla'!HA27)</f>
      </c>
      <c r="I28" s="646">
        <f>IF('[4]Tasa de Falla'!HB27=0,"",'[4]Tasa de Falla'!HB27)</f>
      </c>
      <c r="J28" s="646">
        <f>IF('[4]Tasa de Falla'!HC27=0,"",'[4]Tasa de Falla'!HC27)</f>
      </c>
      <c r="K28" s="646">
        <f>IF('[4]Tasa de Falla'!HD27=0,"",'[4]Tasa de Falla'!HD27)</f>
      </c>
      <c r="L28" s="646">
        <f>IF('[4]Tasa de Falla'!HE27=0,"",'[4]Tasa de Falla'!HE27)</f>
      </c>
      <c r="M28" s="646">
        <f>IF('[4]Tasa de Falla'!HF27=0,"",'[4]Tasa de Falla'!HF27)</f>
      </c>
      <c r="N28" s="646">
        <f>IF('[4]Tasa de Falla'!HG27=0,"",'[4]Tasa de Falla'!HG27)</f>
      </c>
      <c r="O28" s="646">
        <f>IF('[4]Tasa de Falla'!HH27=0,"",'[4]Tasa de Falla'!HH27)</f>
      </c>
      <c r="P28" s="646">
        <f>IF('[4]Tasa de Falla'!HI27=0,"",'[4]Tasa de Falla'!HI27)</f>
      </c>
      <c r="Q28" s="646">
        <f>IF('[4]Tasa de Falla'!HJ27=0,"",'[4]Tasa de Falla'!HJ27)</f>
        <v>1</v>
      </c>
      <c r="R28" s="646">
        <f>IF('[4]Tasa de Falla'!HK27=0,"",'[4]Tasa de Falla'!HK27)</f>
      </c>
      <c r="S28" s="644"/>
      <c r="T28" s="3"/>
    </row>
    <row r="29" spans="2:20" ht="15" customHeight="1">
      <c r="B29" s="2"/>
      <c r="C29" s="645">
        <f>IF('[4]Tasa de Falla'!C28=0,"",'[4]Tasa de Falla'!C28)</f>
        <v>12</v>
      </c>
      <c r="D29" s="645" t="str">
        <f>IF('[4]Tasa de Falla'!D28=0,"",'[4]Tasa de Falla'!D28)</f>
        <v>PLANTA ALUMINIO APPA - PUERTO MADRYN 2</v>
      </c>
      <c r="E29" s="645">
        <f>IF('[4]Tasa de Falla'!E28=0,"",'[4]Tasa de Falla'!E28)</f>
        <v>330</v>
      </c>
      <c r="F29" s="645">
        <f>IF('[4]Tasa de Falla'!F28=0,"",'[4]Tasa de Falla'!F28)</f>
        <v>5.5</v>
      </c>
      <c r="G29" s="646">
        <f>IF('[4]Tasa de Falla'!GZ28=0,"",'[4]Tasa de Falla'!GZ28)</f>
      </c>
      <c r="H29" s="646">
        <f>IF('[4]Tasa de Falla'!HA28=0,"",'[4]Tasa de Falla'!HA28)</f>
      </c>
      <c r="I29" s="646">
        <f>IF('[4]Tasa de Falla'!HB28=0,"",'[4]Tasa de Falla'!HB28)</f>
      </c>
      <c r="J29" s="646">
        <f>IF('[4]Tasa de Falla'!HC28=0,"",'[4]Tasa de Falla'!HC28)</f>
      </c>
      <c r="K29" s="646">
        <f>IF('[4]Tasa de Falla'!HD28=0,"",'[4]Tasa de Falla'!HD28)</f>
      </c>
      <c r="L29" s="646">
        <f>IF('[4]Tasa de Falla'!HE28=0,"",'[4]Tasa de Falla'!HE28)</f>
      </c>
      <c r="M29" s="646">
        <f>IF('[4]Tasa de Falla'!HF28=0,"",'[4]Tasa de Falla'!HF28)</f>
      </c>
      <c r="N29" s="646">
        <f>IF('[4]Tasa de Falla'!HG28=0,"",'[4]Tasa de Falla'!HG28)</f>
      </c>
      <c r="O29" s="646">
        <f>IF('[4]Tasa de Falla'!HH28=0,"",'[4]Tasa de Falla'!HH28)</f>
      </c>
      <c r="P29" s="646">
        <f>IF('[4]Tasa de Falla'!HI28=0,"",'[4]Tasa de Falla'!HI28)</f>
      </c>
      <c r="Q29" s="646">
        <f>IF('[4]Tasa de Falla'!HJ28=0,"",'[4]Tasa de Falla'!HJ28)</f>
      </c>
      <c r="R29" s="646">
        <f>IF('[4]Tasa de Falla'!HK28=0,"",'[4]Tasa de Falla'!HK28)</f>
      </c>
      <c r="S29" s="644"/>
      <c r="T29" s="3"/>
    </row>
    <row r="30" spans="2:20" ht="15" customHeight="1">
      <c r="B30" s="2"/>
      <c r="C30" s="645">
        <f>IF('[4]Tasa de Falla'!C29=0,"",'[4]Tasa de Falla'!C29)</f>
        <v>13</v>
      </c>
      <c r="D30" s="645" t="str">
        <f>IF('[4]Tasa de Falla'!D29=0,"",'[4]Tasa de Falla'!D29)</f>
        <v>PICO TRUNCADO I - PICO TRUNCADO II</v>
      </c>
      <c r="E30" s="645">
        <f>IF('[4]Tasa de Falla'!E29=0,"",'[4]Tasa de Falla'!E29)</f>
        <v>132</v>
      </c>
      <c r="F30" s="645">
        <f>IF('[4]Tasa de Falla'!F29=0,"",'[4]Tasa de Falla'!F29)</f>
        <v>13.4</v>
      </c>
      <c r="G30" s="646">
        <f>IF('[4]Tasa de Falla'!GZ29=0,"",'[4]Tasa de Falla'!GZ29)</f>
      </c>
      <c r="H30" s="646">
        <f>IF('[4]Tasa de Falla'!HA29=0,"",'[4]Tasa de Falla'!HA29)</f>
      </c>
      <c r="I30" s="646">
        <f>IF('[4]Tasa de Falla'!HB29=0,"",'[4]Tasa de Falla'!HB29)</f>
      </c>
      <c r="J30" s="646">
        <f>IF('[4]Tasa de Falla'!HC29=0,"",'[4]Tasa de Falla'!HC29)</f>
      </c>
      <c r="K30" s="646">
        <f>IF('[4]Tasa de Falla'!HD29=0,"",'[4]Tasa de Falla'!HD29)</f>
      </c>
      <c r="L30" s="646">
        <f>IF('[4]Tasa de Falla'!HE29=0,"",'[4]Tasa de Falla'!HE29)</f>
      </c>
      <c r="M30" s="646">
        <f>IF('[4]Tasa de Falla'!HF29=0,"",'[4]Tasa de Falla'!HF29)</f>
      </c>
      <c r="N30" s="646">
        <f>IF('[4]Tasa de Falla'!HG29=0,"",'[4]Tasa de Falla'!HG29)</f>
      </c>
      <c r="O30" s="646">
        <f>IF('[4]Tasa de Falla'!HH29=0,"",'[4]Tasa de Falla'!HH29)</f>
      </c>
      <c r="P30" s="646">
        <f>IF('[4]Tasa de Falla'!HI29=0,"",'[4]Tasa de Falla'!HI29)</f>
      </c>
      <c r="Q30" s="646">
        <f>IF('[4]Tasa de Falla'!HJ29=0,"",'[4]Tasa de Falla'!HJ29)</f>
      </c>
      <c r="R30" s="646">
        <f>IF('[4]Tasa de Falla'!HK29=0,"",'[4]Tasa de Falla'!HK29)</f>
      </c>
      <c r="S30" s="644"/>
      <c r="T30" s="3"/>
    </row>
    <row r="31" spans="2:20" ht="15" customHeight="1">
      <c r="B31" s="2"/>
      <c r="C31" s="645">
        <f>IF('[4]Tasa de Falla'!C30=0,"",'[4]Tasa de Falla'!C30)</f>
        <v>14</v>
      </c>
      <c r="D31" s="645" t="str">
        <f>IF('[4]Tasa de Falla'!D30=0,"",'[4]Tasa de Falla'!D30)</f>
        <v>PLANTA ALUMINIO DGPA - PTO MADRYN</v>
      </c>
      <c r="E31" s="645">
        <f>IF('[4]Tasa de Falla'!E30=0,"",'[4]Tasa de Falla'!E30)</f>
        <v>132</v>
      </c>
      <c r="F31" s="645">
        <f>IF('[4]Tasa de Falla'!F30=0,"",'[4]Tasa de Falla'!F30)</f>
        <v>5.7</v>
      </c>
      <c r="G31" s="646">
        <f>IF('[4]Tasa de Falla'!GZ30=0,"",'[4]Tasa de Falla'!GZ30)</f>
      </c>
      <c r="H31" s="646">
        <f>IF('[4]Tasa de Falla'!HA30=0,"",'[4]Tasa de Falla'!HA30)</f>
      </c>
      <c r="I31" s="646">
        <f>IF('[4]Tasa de Falla'!HB30=0,"",'[4]Tasa de Falla'!HB30)</f>
        <v>3</v>
      </c>
      <c r="J31" s="646">
        <f>IF('[4]Tasa de Falla'!HC30=0,"",'[4]Tasa de Falla'!HC30)</f>
      </c>
      <c r="K31" s="646">
        <f>IF('[4]Tasa de Falla'!HD30=0,"",'[4]Tasa de Falla'!HD30)</f>
      </c>
      <c r="L31" s="646">
        <f>IF('[4]Tasa de Falla'!HE30=0,"",'[4]Tasa de Falla'!HE30)</f>
        <v>1</v>
      </c>
      <c r="M31" s="646">
        <f>IF('[4]Tasa de Falla'!HF30=0,"",'[4]Tasa de Falla'!HF30)</f>
      </c>
      <c r="N31" s="646">
        <f>IF('[4]Tasa de Falla'!HG30=0,"",'[4]Tasa de Falla'!HG30)</f>
      </c>
      <c r="O31" s="646">
        <f>IF('[4]Tasa de Falla'!HH30=0,"",'[4]Tasa de Falla'!HH30)</f>
      </c>
      <c r="P31" s="646">
        <f>IF('[4]Tasa de Falla'!HI30=0,"",'[4]Tasa de Falla'!HI30)</f>
      </c>
      <c r="Q31" s="646">
        <f>IF('[4]Tasa de Falla'!HJ30=0,"",'[4]Tasa de Falla'!HJ30)</f>
      </c>
      <c r="R31" s="646">
        <f>IF('[4]Tasa de Falla'!HK30=0,"",'[4]Tasa de Falla'!HK30)</f>
      </c>
      <c r="S31" s="644"/>
      <c r="T31" s="3"/>
    </row>
    <row r="32" spans="2:20" ht="15" customHeight="1">
      <c r="B32" s="2"/>
      <c r="C32" s="645">
        <f>IF('[4]Tasa de Falla'!C31=0,"",'[4]Tasa de Falla'!C31)</f>
        <v>15</v>
      </c>
      <c r="D32" s="645" t="str">
        <f>IF('[4]Tasa de Falla'!D31=0,"",'[4]Tasa de Falla'!D31)</f>
        <v>PLANTA ALUMINIO DGPA - SS.AA. PTO MADRYN</v>
      </c>
      <c r="E32" s="645">
        <f>IF('[4]Tasa de Falla'!E31=0,"",'[4]Tasa de Falla'!E31)</f>
        <v>33</v>
      </c>
      <c r="F32" s="645">
        <f>IF('[4]Tasa de Falla'!F31=0,"",'[4]Tasa de Falla'!F31)</f>
        <v>6</v>
      </c>
      <c r="G32" s="646" t="str">
        <f>IF('[4]Tasa de Falla'!GZ31=0,"",'[4]Tasa de Falla'!GZ31)</f>
        <v>XXXX</v>
      </c>
      <c r="H32" s="646" t="str">
        <f>IF('[4]Tasa de Falla'!HA31=0,"",'[4]Tasa de Falla'!HA31)</f>
        <v>XXXX</v>
      </c>
      <c r="I32" s="646" t="str">
        <f>IF('[4]Tasa de Falla'!HB31=0,"",'[4]Tasa de Falla'!HB31)</f>
        <v>XXXX</v>
      </c>
      <c r="J32" s="646" t="str">
        <f>IF('[4]Tasa de Falla'!HC31=0,"",'[4]Tasa de Falla'!HC31)</f>
        <v>XXXX</v>
      </c>
      <c r="K32" s="646" t="str">
        <f>IF('[4]Tasa de Falla'!HD31=0,"",'[4]Tasa de Falla'!HD31)</f>
        <v>XXXX</v>
      </c>
      <c r="L32" s="646" t="str">
        <f>IF('[4]Tasa de Falla'!HE31=0,"",'[4]Tasa de Falla'!HE31)</f>
        <v>XXXX</v>
      </c>
      <c r="M32" s="646" t="str">
        <f>IF('[4]Tasa de Falla'!HF31=0,"",'[4]Tasa de Falla'!HF31)</f>
        <v>XXXX</v>
      </c>
      <c r="N32" s="646" t="str">
        <f>IF('[4]Tasa de Falla'!HG31=0,"",'[4]Tasa de Falla'!HG31)</f>
        <v>XXXX</v>
      </c>
      <c r="O32" s="646" t="str">
        <f>IF('[4]Tasa de Falla'!HH31=0,"",'[4]Tasa de Falla'!HH31)</f>
        <v>XXXX</v>
      </c>
      <c r="P32" s="646" t="str">
        <f>IF('[4]Tasa de Falla'!HI31=0,"",'[4]Tasa de Falla'!HI31)</f>
        <v>XXXX</v>
      </c>
      <c r="Q32" s="646" t="str">
        <f>IF('[4]Tasa de Falla'!HJ31=0,"",'[4]Tasa de Falla'!HJ31)</f>
        <v>XXXX</v>
      </c>
      <c r="R32" s="646" t="str">
        <f>IF('[4]Tasa de Falla'!HK31=0,"",'[4]Tasa de Falla'!HK31)</f>
        <v>XXXX</v>
      </c>
      <c r="S32" s="644"/>
      <c r="T32" s="3"/>
    </row>
    <row r="33" spans="2:20" ht="18" customHeight="1">
      <c r="B33" s="2"/>
      <c r="C33" s="645">
        <f>IF('[4]Tasa de Falla'!C32=0,"",'[4]Tasa de Falla'!C32)</f>
        <v>16</v>
      </c>
      <c r="D33" s="645" t="str">
        <f>IF('[4]Tasa de Falla'!D32=0,"",'[4]Tasa de Falla'!D32)</f>
        <v>PLANTA ALUMINIO DGPA - TRELEW</v>
      </c>
      <c r="E33" s="645">
        <f>IF('[4]Tasa de Falla'!E32=0,"",'[4]Tasa de Falla'!E32)</f>
        <v>132</v>
      </c>
      <c r="F33" s="645">
        <f>IF('[4]Tasa de Falla'!F32=0,"",'[4]Tasa de Falla'!F32)</f>
        <v>62</v>
      </c>
      <c r="G33" s="646">
        <f>IF('[4]Tasa de Falla'!GZ32=0,"",'[4]Tasa de Falla'!GZ32)</f>
      </c>
      <c r="H33" s="646">
        <f>IF('[4]Tasa de Falla'!HA32=0,"",'[4]Tasa de Falla'!HA32)</f>
      </c>
      <c r="I33" s="646">
        <f>IF('[4]Tasa de Falla'!HB32=0,"",'[4]Tasa de Falla'!HB32)</f>
        <v>1</v>
      </c>
      <c r="J33" s="646">
        <f>IF('[4]Tasa de Falla'!HC32=0,"",'[4]Tasa de Falla'!HC32)</f>
      </c>
      <c r="K33" s="646">
        <f>IF('[4]Tasa de Falla'!HD32=0,"",'[4]Tasa de Falla'!HD32)</f>
      </c>
      <c r="L33" s="646">
        <f>IF('[4]Tasa de Falla'!HE32=0,"",'[4]Tasa de Falla'!HE32)</f>
        <v>1</v>
      </c>
      <c r="M33" s="646">
        <f>IF('[4]Tasa de Falla'!HF32=0,"",'[4]Tasa de Falla'!HF32)</f>
      </c>
      <c r="N33" s="646">
        <f>IF('[4]Tasa de Falla'!HG32=0,"",'[4]Tasa de Falla'!HG32)</f>
      </c>
      <c r="O33" s="646">
        <f>IF('[4]Tasa de Falla'!HH32=0,"",'[4]Tasa de Falla'!HH32)</f>
      </c>
      <c r="P33" s="646">
        <f>IF('[4]Tasa de Falla'!HI32=0,"",'[4]Tasa de Falla'!HI32)</f>
      </c>
      <c r="Q33" s="646">
        <f>IF('[4]Tasa de Falla'!HJ32=0,"",'[4]Tasa de Falla'!HJ32)</f>
      </c>
      <c r="R33" s="646">
        <f>IF('[4]Tasa de Falla'!HK32=0,"",'[4]Tasa de Falla'!HK32)</f>
      </c>
      <c r="S33" s="644"/>
      <c r="T33" s="3"/>
    </row>
    <row r="34" spans="2:20" ht="16.5" customHeight="1">
      <c r="B34" s="2"/>
      <c r="C34" s="645">
        <f>IF('[4]Tasa de Falla'!C33=0,"",'[4]Tasa de Falla'!C33)</f>
        <v>17</v>
      </c>
      <c r="D34" s="645" t="str">
        <f>IF('[4]Tasa de Falla'!D33=0,"",'[4]Tasa de Falla'!D33)</f>
        <v>PUERTO MADRYN - SIERRA GRANDE</v>
      </c>
      <c r="E34" s="645">
        <f>IF('[4]Tasa de Falla'!E33=0,"",'[4]Tasa de Falla'!E33)</f>
        <v>132</v>
      </c>
      <c r="F34" s="645">
        <f>IF('[4]Tasa de Falla'!F33=0,"",'[4]Tasa de Falla'!F33)</f>
        <v>121.5</v>
      </c>
      <c r="G34" s="646">
        <f>IF('[4]Tasa de Falla'!GZ33=0,"",'[4]Tasa de Falla'!GZ33)</f>
      </c>
      <c r="H34" s="646">
        <f>IF('[4]Tasa de Falla'!HA33=0,"",'[4]Tasa de Falla'!HA33)</f>
      </c>
      <c r="I34" s="646">
        <f>IF('[4]Tasa de Falla'!HB33=0,"",'[4]Tasa de Falla'!HB33)</f>
      </c>
      <c r="J34" s="646">
        <f>IF('[4]Tasa de Falla'!HC33=0,"",'[4]Tasa de Falla'!HC33)</f>
      </c>
      <c r="K34" s="646">
        <f>IF('[4]Tasa de Falla'!HD33=0,"",'[4]Tasa de Falla'!HD33)</f>
      </c>
      <c r="L34" s="646">
        <f>IF('[4]Tasa de Falla'!HE33=0,"",'[4]Tasa de Falla'!HE33)</f>
        <v>1</v>
      </c>
      <c r="M34" s="646">
        <f>IF('[4]Tasa de Falla'!HF33=0,"",'[4]Tasa de Falla'!HF33)</f>
      </c>
      <c r="N34" s="646">
        <f>IF('[4]Tasa de Falla'!HG33=0,"",'[4]Tasa de Falla'!HG33)</f>
      </c>
      <c r="O34" s="646">
        <f>IF('[4]Tasa de Falla'!HH33=0,"",'[4]Tasa de Falla'!HH33)</f>
      </c>
      <c r="P34" s="646">
        <f>IF('[4]Tasa de Falla'!HI33=0,"",'[4]Tasa de Falla'!HI33)</f>
      </c>
      <c r="Q34" s="646">
        <f>IF('[4]Tasa de Falla'!HJ33=0,"",'[4]Tasa de Falla'!HJ33)</f>
      </c>
      <c r="R34" s="646">
        <f>IF('[4]Tasa de Falla'!HK33=0,"",'[4]Tasa de Falla'!HK33)</f>
        <v>1</v>
      </c>
      <c r="S34" s="644"/>
      <c r="T34" s="3"/>
    </row>
    <row r="35" spans="2:20" ht="15" customHeight="1">
      <c r="B35" s="2"/>
      <c r="C35" s="645">
        <f>IF('[4]Tasa de Falla'!C34=0,"",'[4]Tasa de Falla'!C34)</f>
        <v>18</v>
      </c>
      <c r="D35" s="645" t="str">
        <f>IF('[4]Tasa de Falla'!D34=0,"",'[4]Tasa de Falla'!D34)</f>
        <v>BARRIO SAN MARTIN - A CONEXION "T"</v>
      </c>
      <c r="E35" s="645">
        <f>IF('[4]Tasa de Falla'!E34=0,"",'[4]Tasa de Falla'!E34)</f>
        <v>132</v>
      </c>
      <c r="F35" s="645">
        <f>IF('[4]Tasa de Falla'!F34=0,"",'[4]Tasa de Falla'!F34)</f>
        <v>7.5</v>
      </c>
      <c r="G35" s="646" t="str">
        <f>IF('[4]Tasa de Falla'!GZ34=0,"",'[4]Tasa de Falla'!GZ34)</f>
        <v>XXXX</v>
      </c>
      <c r="H35" s="646" t="str">
        <f>IF('[4]Tasa de Falla'!HA34=0,"",'[4]Tasa de Falla'!HA34)</f>
        <v>XXXX</v>
      </c>
      <c r="I35" s="646" t="str">
        <f>IF('[4]Tasa de Falla'!HB34=0,"",'[4]Tasa de Falla'!HB34)</f>
        <v>XXXX</v>
      </c>
      <c r="J35" s="646" t="str">
        <f>IF('[4]Tasa de Falla'!HC34=0,"",'[4]Tasa de Falla'!HC34)</f>
        <v>XXXX</v>
      </c>
      <c r="K35" s="646" t="str">
        <f>IF('[4]Tasa de Falla'!HD34=0,"",'[4]Tasa de Falla'!HD34)</f>
        <v>XXXX</v>
      </c>
      <c r="L35" s="646" t="str">
        <f>IF('[4]Tasa de Falla'!HE34=0,"",'[4]Tasa de Falla'!HE34)</f>
        <v>XXXX</v>
      </c>
      <c r="M35" s="646" t="str">
        <f>IF('[4]Tasa de Falla'!HF34=0,"",'[4]Tasa de Falla'!HF34)</f>
        <v>XXXX</v>
      </c>
      <c r="N35" s="646" t="str">
        <f>IF('[4]Tasa de Falla'!HG34=0,"",'[4]Tasa de Falla'!HG34)</f>
        <v>XXXX</v>
      </c>
      <c r="O35" s="646" t="str">
        <f>IF('[4]Tasa de Falla'!HH34=0,"",'[4]Tasa de Falla'!HH34)</f>
        <v>XXXX</v>
      </c>
      <c r="P35" s="646" t="str">
        <f>IF('[4]Tasa de Falla'!HI34=0,"",'[4]Tasa de Falla'!HI34)</f>
        <v>XXXX</v>
      </c>
      <c r="Q35" s="646" t="str">
        <f>IF('[4]Tasa de Falla'!HJ34=0,"",'[4]Tasa de Falla'!HJ34)</f>
        <v>XXXX</v>
      </c>
      <c r="R35" s="646" t="str">
        <f>IF('[4]Tasa de Falla'!HK34=0,"",'[4]Tasa de Falla'!HK34)</f>
        <v>XXXX</v>
      </c>
      <c r="S35" s="644"/>
      <c r="T35" s="3"/>
    </row>
    <row r="36" spans="2:20" ht="15" customHeight="1">
      <c r="B36" s="2"/>
      <c r="C36" s="645">
        <f>IF('[4]Tasa de Falla'!C35=0,"",'[4]Tasa de Falla'!C35)</f>
        <v>19</v>
      </c>
      <c r="D36" s="645" t="str">
        <f>IF('[4]Tasa de Falla'!D35=0,"",'[4]Tasa de Falla'!D35)</f>
        <v>PICO TRUNCADO I - LAS HERAS</v>
      </c>
      <c r="E36" s="645">
        <f>IF('[4]Tasa de Falla'!E35=0,"",'[4]Tasa de Falla'!E35)</f>
        <v>132</v>
      </c>
      <c r="F36" s="645">
        <f>IF('[4]Tasa de Falla'!F35=0,"",'[4]Tasa de Falla'!F35)</f>
        <v>82.5</v>
      </c>
      <c r="G36" s="646" t="str">
        <f>IF('[4]Tasa de Falla'!GZ35=0,"",'[4]Tasa de Falla'!GZ35)</f>
        <v>XXXX</v>
      </c>
      <c r="H36" s="646" t="str">
        <f>IF('[4]Tasa de Falla'!HA35=0,"",'[4]Tasa de Falla'!HA35)</f>
        <v>XXXX</v>
      </c>
      <c r="I36" s="646" t="str">
        <f>IF('[4]Tasa de Falla'!HB35=0,"",'[4]Tasa de Falla'!HB35)</f>
        <v>XXXX</v>
      </c>
      <c r="J36" s="646" t="str">
        <f>IF('[4]Tasa de Falla'!HC35=0,"",'[4]Tasa de Falla'!HC35)</f>
        <v>XXXX</v>
      </c>
      <c r="K36" s="646" t="str">
        <f>IF('[4]Tasa de Falla'!HD35=0,"",'[4]Tasa de Falla'!HD35)</f>
        <v>XXXX</v>
      </c>
      <c r="L36" s="646" t="str">
        <f>IF('[4]Tasa de Falla'!HE35=0,"",'[4]Tasa de Falla'!HE35)</f>
        <v>XXXX</v>
      </c>
      <c r="M36" s="646" t="str">
        <f>IF('[4]Tasa de Falla'!HF35=0,"",'[4]Tasa de Falla'!HF35)</f>
        <v>XXXX</v>
      </c>
      <c r="N36" s="646" t="str">
        <f>IF('[4]Tasa de Falla'!HG35=0,"",'[4]Tasa de Falla'!HG35)</f>
        <v>XXXX</v>
      </c>
      <c r="O36" s="646" t="str">
        <f>IF('[4]Tasa de Falla'!HH35=0,"",'[4]Tasa de Falla'!HH35)</f>
        <v>XXXX</v>
      </c>
      <c r="P36" s="646" t="str">
        <f>IF('[4]Tasa de Falla'!HI35=0,"",'[4]Tasa de Falla'!HI35)</f>
        <v>XXXX</v>
      </c>
      <c r="Q36" s="646" t="str">
        <f>IF('[4]Tasa de Falla'!HJ35=0,"",'[4]Tasa de Falla'!HJ35)</f>
        <v>XXXX</v>
      </c>
      <c r="R36" s="646" t="str">
        <f>IF('[4]Tasa de Falla'!HK35=0,"",'[4]Tasa de Falla'!HK35)</f>
        <v>XXXX</v>
      </c>
      <c r="S36" s="644"/>
      <c r="T36" s="3"/>
    </row>
    <row r="37" spans="2:20" ht="15" customHeight="1">
      <c r="B37" s="2"/>
      <c r="C37" s="645">
        <f>IF('[4]Tasa de Falla'!C36=0,"",'[4]Tasa de Falla'!C36)</f>
        <v>20</v>
      </c>
      <c r="D37" s="645" t="str">
        <f>IF('[4]Tasa de Falla'!D36=0,"",'[4]Tasa de Falla'!D36)</f>
        <v>LAS HERAS - LOS PERALES</v>
      </c>
      <c r="E37" s="645">
        <f>IF('[4]Tasa de Falla'!E36=0,"",'[4]Tasa de Falla'!E36)</f>
        <v>132</v>
      </c>
      <c r="F37" s="645">
        <f>IF('[4]Tasa de Falla'!F36=0,"",'[4]Tasa de Falla'!F36)</f>
        <v>47</v>
      </c>
      <c r="G37" s="646">
        <f>IF('[4]Tasa de Falla'!GZ36=0,"",'[4]Tasa de Falla'!GZ36)</f>
      </c>
      <c r="H37" s="646">
        <f>IF('[4]Tasa de Falla'!HA36=0,"",'[4]Tasa de Falla'!HA36)</f>
      </c>
      <c r="I37" s="646">
        <f>IF('[4]Tasa de Falla'!HB36=0,"",'[4]Tasa de Falla'!HB36)</f>
      </c>
      <c r="J37" s="646">
        <f>IF('[4]Tasa de Falla'!HC36=0,"",'[4]Tasa de Falla'!HC36)</f>
      </c>
      <c r="K37" s="646">
        <f>IF('[4]Tasa de Falla'!HD36=0,"",'[4]Tasa de Falla'!HD36)</f>
      </c>
      <c r="L37" s="646">
        <f>IF('[4]Tasa de Falla'!HE36=0,"",'[4]Tasa de Falla'!HE36)</f>
      </c>
      <c r="M37" s="646">
        <f>IF('[4]Tasa de Falla'!HF36=0,"",'[4]Tasa de Falla'!HF36)</f>
      </c>
      <c r="N37" s="646">
        <f>IF('[4]Tasa de Falla'!HG36=0,"",'[4]Tasa de Falla'!HG36)</f>
      </c>
      <c r="O37" s="646">
        <f>IF('[4]Tasa de Falla'!HH36=0,"",'[4]Tasa de Falla'!HH36)</f>
      </c>
      <c r="P37" s="646">
        <f>IF('[4]Tasa de Falla'!HI36=0,"",'[4]Tasa de Falla'!HI36)</f>
      </c>
      <c r="Q37" s="646">
        <f>IF('[4]Tasa de Falla'!HJ36=0,"",'[4]Tasa de Falla'!HJ36)</f>
      </c>
      <c r="R37" s="646">
        <f>IF('[4]Tasa de Falla'!HK36=0,"",'[4]Tasa de Falla'!HK36)</f>
      </c>
      <c r="S37" s="644"/>
      <c r="T37" s="3"/>
    </row>
    <row r="38" spans="2:20" ht="18" customHeight="1">
      <c r="B38" s="2"/>
      <c r="C38" s="645">
        <f>IF('[4]Tasa de Falla'!C37=0,"",'[4]Tasa de Falla'!C37)</f>
        <v>21</v>
      </c>
      <c r="D38" s="645" t="str">
        <f>IF('[4]Tasa de Falla'!D37=0,"",'[4]Tasa de Falla'!D37)</f>
        <v>N. P. MADRYN - P. MADRYN 330 kV</v>
      </c>
      <c r="E38" s="645">
        <f>IF('[4]Tasa de Falla'!E37=0,"",'[4]Tasa de Falla'!E37)</f>
        <v>330</v>
      </c>
      <c r="F38" s="645">
        <f>IF('[4]Tasa de Falla'!F37=0,"",'[4]Tasa de Falla'!F37)</f>
        <v>0.47</v>
      </c>
      <c r="G38" s="646">
        <f>IF('[4]Tasa de Falla'!GZ37=0,"",'[4]Tasa de Falla'!GZ37)</f>
      </c>
      <c r="H38" s="646">
        <f>IF('[4]Tasa de Falla'!HA37=0,"",'[4]Tasa de Falla'!HA37)</f>
      </c>
      <c r="I38" s="646">
        <f>IF('[4]Tasa de Falla'!HB37=0,"",'[4]Tasa de Falla'!HB37)</f>
      </c>
      <c r="J38" s="646">
        <f>IF('[4]Tasa de Falla'!HC37=0,"",'[4]Tasa de Falla'!HC37)</f>
      </c>
      <c r="K38" s="646">
        <f>IF('[4]Tasa de Falla'!HD37=0,"",'[4]Tasa de Falla'!HD37)</f>
      </c>
      <c r="L38" s="646">
        <f>IF('[4]Tasa de Falla'!HE37=0,"",'[4]Tasa de Falla'!HE37)</f>
      </c>
      <c r="M38" s="646">
        <f>IF('[4]Tasa de Falla'!HF37=0,"",'[4]Tasa de Falla'!HF37)</f>
      </c>
      <c r="N38" s="646">
        <f>IF('[4]Tasa de Falla'!HG37=0,"",'[4]Tasa de Falla'!HG37)</f>
      </c>
      <c r="O38" s="646">
        <f>IF('[4]Tasa de Falla'!HH37=0,"",'[4]Tasa de Falla'!HH37)</f>
      </c>
      <c r="P38" s="646">
        <f>IF('[4]Tasa de Falla'!HI37=0,"",'[4]Tasa de Falla'!HI37)</f>
      </c>
      <c r="Q38" s="646">
        <f>IF('[4]Tasa de Falla'!HJ37=0,"",'[4]Tasa de Falla'!HJ37)</f>
      </c>
      <c r="R38" s="646">
        <f>IF('[4]Tasa de Falla'!HK37=0,"",'[4]Tasa de Falla'!HK37)</f>
      </c>
      <c r="S38" s="644"/>
      <c r="T38" s="3"/>
    </row>
    <row r="39" spans="2:20" ht="19.5" customHeight="1">
      <c r="B39" s="2"/>
      <c r="C39" s="645">
        <f>IF('[4]Tasa de Falla'!C38=0,"",'[4]Tasa de Falla'!C38)</f>
        <v>31</v>
      </c>
      <c r="D39" s="645" t="str">
        <f>IF('[4]Tasa de Falla'!D38=0,"",'[4]Tasa de Falla'!D38)</f>
        <v>LAS HERAS - MINA SAN JOSE</v>
      </c>
      <c r="E39" s="645">
        <f>IF('[4]Tasa de Falla'!E38=0,"",'[4]Tasa de Falla'!E38)</f>
        <v>132</v>
      </c>
      <c r="F39" s="645">
        <f>IF('[4]Tasa de Falla'!F38=0,"",'[4]Tasa de Falla'!F38)</f>
        <v>128</v>
      </c>
      <c r="G39" s="646">
        <f>IF('[4]Tasa de Falla'!GZ38=0,"",'[4]Tasa de Falla'!GZ38)</f>
      </c>
      <c r="H39" s="646">
        <f>IF('[4]Tasa de Falla'!HA38=0,"",'[4]Tasa de Falla'!HA38)</f>
        <v>1</v>
      </c>
      <c r="I39" s="646">
        <f>IF('[4]Tasa de Falla'!HB38=0,"",'[4]Tasa de Falla'!HB38)</f>
      </c>
      <c r="J39" s="646">
        <f>IF('[4]Tasa de Falla'!HC38=0,"",'[4]Tasa de Falla'!HC38)</f>
      </c>
      <c r="K39" s="646">
        <f>IF('[4]Tasa de Falla'!HD38=0,"",'[4]Tasa de Falla'!HD38)</f>
      </c>
      <c r="L39" s="646">
        <f>IF('[4]Tasa de Falla'!HE38=0,"",'[4]Tasa de Falla'!HE38)</f>
      </c>
      <c r="M39" s="646">
        <f>IF('[4]Tasa de Falla'!HF38=0,"",'[4]Tasa de Falla'!HF38)</f>
      </c>
      <c r="N39" s="646">
        <f>IF('[4]Tasa de Falla'!HG38=0,"",'[4]Tasa de Falla'!HG38)</f>
      </c>
      <c r="O39" s="646">
        <f>IF('[4]Tasa de Falla'!HH38=0,"",'[4]Tasa de Falla'!HH38)</f>
      </c>
      <c r="P39" s="646">
        <f>IF('[4]Tasa de Falla'!HI38=0,"",'[4]Tasa de Falla'!HI38)</f>
      </c>
      <c r="Q39" s="646">
        <f>IF('[4]Tasa de Falla'!HJ38=0,"",'[4]Tasa de Falla'!HJ38)</f>
      </c>
      <c r="R39" s="646">
        <f>IF('[4]Tasa de Falla'!HK38=0,"",'[4]Tasa de Falla'!HK38)</f>
      </c>
      <c r="S39" s="644"/>
      <c r="T39" s="3"/>
    </row>
    <row r="40" spans="2:20" ht="16.5" customHeight="1">
      <c r="B40" s="2"/>
      <c r="C40" s="645">
        <f>IF('[4]Tasa de Falla'!C39=0,"",'[4]Tasa de Falla'!C39)</f>
        <v>27</v>
      </c>
      <c r="D40" s="645" t="str">
        <f>IF('[4]Tasa de Falla'!D39=0,"",'[4]Tasa de Falla'!D39)</f>
        <v>PAMPA DEL CASTILLO - EL TORDILLO</v>
      </c>
      <c r="E40" s="645">
        <f>IF('[4]Tasa de Falla'!E39=0,"",'[4]Tasa de Falla'!E39)</f>
        <v>132</v>
      </c>
      <c r="F40" s="645">
        <f>IF('[4]Tasa de Falla'!F39=0,"",'[4]Tasa de Falla'!F39)</f>
        <v>8.9</v>
      </c>
      <c r="G40" s="646">
        <f>IF('[4]Tasa de Falla'!GZ39=0,"",'[4]Tasa de Falla'!GZ39)</f>
      </c>
      <c r="H40" s="646">
        <f>IF('[4]Tasa de Falla'!HA39=0,"",'[4]Tasa de Falla'!HA39)</f>
      </c>
      <c r="I40" s="646">
        <f>IF('[4]Tasa de Falla'!HB39=0,"",'[4]Tasa de Falla'!HB39)</f>
      </c>
      <c r="J40" s="646">
        <f>IF('[4]Tasa de Falla'!HC39=0,"",'[4]Tasa de Falla'!HC39)</f>
      </c>
      <c r="K40" s="646">
        <f>IF('[4]Tasa de Falla'!HD39=0,"",'[4]Tasa de Falla'!HD39)</f>
      </c>
      <c r="L40" s="646">
        <f>IF('[4]Tasa de Falla'!HE39=0,"",'[4]Tasa de Falla'!HE39)</f>
      </c>
      <c r="M40" s="646">
        <f>IF('[4]Tasa de Falla'!HF39=0,"",'[4]Tasa de Falla'!HF39)</f>
      </c>
      <c r="N40" s="646">
        <f>IF('[4]Tasa de Falla'!HG39=0,"",'[4]Tasa de Falla'!HG39)</f>
      </c>
      <c r="O40" s="646">
        <f>IF('[4]Tasa de Falla'!HH39=0,"",'[4]Tasa de Falla'!HH39)</f>
      </c>
      <c r="P40" s="646">
        <f>IF('[4]Tasa de Falla'!HI39=0,"",'[4]Tasa de Falla'!HI39)</f>
      </c>
      <c r="Q40" s="646">
        <f>IF('[4]Tasa de Falla'!HJ39=0,"",'[4]Tasa de Falla'!HJ39)</f>
      </c>
      <c r="R40" s="646">
        <f>IF('[4]Tasa de Falla'!HK39=0,"",'[4]Tasa de Falla'!HK39)</f>
      </c>
      <c r="S40" s="644"/>
      <c r="T40" s="3"/>
    </row>
    <row r="41" spans="2:20" ht="16.5" customHeight="1">
      <c r="B41" s="2"/>
      <c r="C41" s="645">
        <f>IF('[4]Tasa de Falla'!C40=0,"",'[4]Tasa de Falla'!C40)</f>
        <v>28</v>
      </c>
      <c r="D41" s="645" t="str">
        <f>IF('[4]Tasa de Falla'!D40=0,"",'[4]Tasa de Falla'!D40)</f>
        <v>PLANTA ALUMINIO APPA - PUERTO MADRYN 3</v>
      </c>
      <c r="E41" s="645">
        <f>IF('[4]Tasa de Falla'!E40=0,"",'[4]Tasa de Falla'!E40)</f>
        <v>330</v>
      </c>
      <c r="F41" s="645">
        <f>IF('[4]Tasa de Falla'!F40=0,"",'[4]Tasa de Falla'!F40)</f>
        <v>4.9</v>
      </c>
      <c r="G41" s="646">
        <f>IF('[4]Tasa de Falla'!GZ40=0,"",'[4]Tasa de Falla'!GZ40)</f>
      </c>
      <c r="H41" s="646">
        <f>IF('[4]Tasa de Falla'!HA40=0,"",'[4]Tasa de Falla'!HA40)</f>
      </c>
      <c r="I41" s="646">
        <f>IF('[4]Tasa de Falla'!HB40=0,"",'[4]Tasa de Falla'!HB40)</f>
      </c>
      <c r="J41" s="646">
        <f>IF('[4]Tasa de Falla'!HC40=0,"",'[4]Tasa de Falla'!HC40)</f>
      </c>
      <c r="K41" s="646">
        <f>IF('[4]Tasa de Falla'!HD40=0,"",'[4]Tasa de Falla'!HD40)</f>
      </c>
      <c r="L41" s="646">
        <f>IF('[4]Tasa de Falla'!HE40=0,"",'[4]Tasa de Falla'!HE40)</f>
      </c>
      <c r="M41" s="646">
        <f>IF('[4]Tasa de Falla'!HF40=0,"",'[4]Tasa de Falla'!HF40)</f>
      </c>
      <c r="N41" s="646">
        <f>IF('[4]Tasa de Falla'!HG40=0,"",'[4]Tasa de Falla'!HG40)</f>
      </c>
      <c r="O41" s="646">
        <f>IF('[4]Tasa de Falla'!HH40=0,"",'[4]Tasa de Falla'!HH40)</f>
      </c>
      <c r="P41" s="646">
        <f>IF('[4]Tasa de Falla'!HI40=0,"",'[4]Tasa de Falla'!HI40)</f>
      </c>
      <c r="Q41" s="646">
        <f>IF('[4]Tasa de Falla'!HJ40=0,"",'[4]Tasa de Falla'!HJ40)</f>
      </c>
      <c r="R41" s="646">
        <f>IF('[4]Tasa de Falla'!HK40=0,"",'[4]Tasa de Falla'!HK40)</f>
      </c>
      <c r="S41" s="644"/>
      <c r="T41" s="3"/>
    </row>
    <row r="42" spans="2:20" ht="16.5" customHeight="1">
      <c r="B42" s="2"/>
      <c r="C42" s="645">
        <f>IF('[4]Tasa de Falla'!C41=0,"",'[4]Tasa de Falla'!C41)</f>
        <v>30</v>
      </c>
      <c r="D42" s="645" t="str">
        <f>IF('[4]Tasa de Falla'!D41=0,"",'[4]Tasa de Falla'!D41)</f>
        <v>TRELEW - RAWSON</v>
      </c>
      <c r="E42" s="645">
        <f>IF('[4]Tasa de Falla'!E41=0,"",'[4]Tasa de Falla'!E41)</f>
        <v>132</v>
      </c>
      <c r="F42" s="645">
        <f>IF('[4]Tasa de Falla'!F41=0,"",'[4]Tasa de Falla'!F41)</f>
        <v>21.8</v>
      </c>
      <c r="G42" s="646">
        <f>IF('[4]Tasa de Falla'!GZ41=0,"",'[4]Tasa de Falla'!GZ41)</f>
      </c>
      <c r="H42" s="646">
        <f>IF('[4]Tasa de Falla'!HA41=0,"",'[4]Tasa de Falla'!HA41)</f>
      </c>
      <c r="I42" s="646">
        <f>IF('[4]Tasa de Falla'!HB41=0,"",'[4]Tasa de Falla'!HB41)</f>
      </c>
      <c r="J42" s="646">
        <f>IF('[4]Tasa de Falla'!HC41=0,"",'[4]Tasa de Falla'!HC41)</f>
      </c>
      <c r="K42" s="646">
        <f>IF('[4]Tasa de Falla'!HD41=0,"",'[4]Tasa de Falla'!HD41)</f>
      </c>
      <c r="L42" s="646">
        <f>IF('[4]Tasa de Falla'!HE41=0,"",'[4]Tasa de Falla'!HE41)</f>
      </c>
      <c r="M42" s="646">
        <f>IF('[4]Tasa de Falla'!HF41=0,"",'[4]Tasa de Falla'!HF41)</f>
      </c>
      <c r="N42" s="646">
        <f>IF('[4]Tasa de Falla'!HG41=0,"",'[4]Tasa de Falla'!HG41)</f>
        <v>1</v>
      </c>
      <c r="O42" s="646">
        <f>IF('[4]Tasa de Falla'!HH41=0,"",'[4]Tasa de Falla'!HH41)</f>
      </c>
      <c r="P42" s="646">
        <f>IF('[4]Tasa de Falla'!HI41=0,"",'[4]Tasa de Falla'!HI41)</f>
      </c>
      <c r="Q42" s="646">
        <f>IF('[4]Tasa de Falla'!HJ41=0,"",'[4]Tasa de Falla'!HJ41)</f>
      </c>
      <c r="R42" s="646">
        <f>IF('[4]Tasa de Falla'!HK41=0,"",'[4]Tasa de Falla'!HK41)</f>
      </c>
      <c r="S42" s="644"/>
      <c r="T42" s="3"/>
    </row>
    <row r="43" spans="2:20" ht="15" customHeight="1">
      <c r="B43" s="2"/>
      <c r="C43" s="645">
        <f>IF('[4]Tasa de Falla'!C42=0,"",'[4]Tasa de Falla'!C42)</f>
        <v>37</v>
      </c>
      <c r="D43" s="645" t="str">
        <f>IF('[4]Tasa de Falla'!D42=0,"",'[4]Tasa de Falla'!D42)</f>
        <v>PICO TRUNCADO 1 - SANTA CRUZ NORTE     1</v>
      </c>
      <c r="E43" s="645">
        <f>IF('[4]Tasa de Falla'!E42=0,"",'[4]Tasa de Falla'!E42)</f>
        <v>132</v>
      </c>
      <c r="F43" s="645">
        <f>IF('[4]Tasa de Falla'!F42=0,"",'[4]Tasa de Falla'!F42)</f>
        <v>2.5</v>
      </c>
      <c r="G43" s="646">
        <f>IF('[4]Tasa de Falla'!GZ42=0,"",'[4]Tasa de Falla'!GZ42)</f>
      </c>
      <c r="H43" s="646">
        <f>IF('[4]Tasa de Falla'!HA42=0,"",'[4]Tasa de Falla'!HA42)</f>
      </c>
      <c r="I43" s="646">
        <f>IF('[4]Tasa de Falla'!HB42=0,"",'[4]Tasa de Falla'!HB42)</f>
      </c>
      <c r="J43" s="646">
        <f>IF('[4]Tasa de Falla'!HC42=0,"",'[4]Tasa de Falla'!HC42)</f>
      </c>
      <c r="K43" s="646">
        <f>IF('[4]Tasa de Falla'!HD42=0,"",'[4]Tasa de Falla'!HD42)</f>
      </c>
      <c r="L43" s="646">
        <f>IF('[4]Tasa de Falla'!HE42=0,"",'[4]Tasa de Falla'!HE42)</f>
      </c>
      <c r="M43" s="646">
        <f>IF('[4]Tasa de Falla'!HF42=0,"",'[4]Tasa de Falla'!HF42)</f>
      </c>
      <c r="N43" s="646">
        <f>IF('[4]Tasa de Falla'!HG42=0,"",'[4]Tasa de Falla'!HG42)</f>
      </c>
      <c r="O43" s="646">
        <f>IF('[4]Tasa de Falla'!HH42=0,"",'[4]Tasa de Falla'!HH42)</f>
      </c>
      <c r="P43" s="646">
        <f>IF('[4]Tasa de Falla'!HI42=0,"",'[4]Tasa de Falla'!HI42)</f>
      </c>
      <c r="Q43" s="646">
        <f>IF('[4]Tasa de Falla'!HJ42=0,"",'[4]Tasa de Falla'!HJ42)</f>
      </c>
      <c r="R43" s="646">
        <f>IF('[4]Tasa de Falla'!HK42=0,"",'[4]Tasa de Falla'!HK42)</f>
      </c>
      <c r="S43" s="644"/>
      <c r="T43" s="3"/>
    </row>
    <row r="44" spans="2:20" ht="15" customHeight="1">
      <c r="B44" s="2"/>
      <c r="C44" s="645">
        <f>IF('[4]Tasa de Falla'!C43=0,"",'[4]Tasa de Falla'!C43)</f>
        <v>38</v>
      </c>
      <c r="D44" s="645" t="str">
        <f>IF('[4]Tasa de Falla'!D43=0,"",'[4]Tasa de Falla'!D43)</f>
        <v>PICO TRUNCADO 1 - SANTA CRUZ NORTE     2</v>
      </c>
      <c r="E44" s="645">
        <f>IF('[4]Tasa de Falla'!E43=0,"",'[4]Tasa de Falla'!E43)</f>
        <v>132</v>
      </c>
      <c r="F44" s="645">
        <f>IF('[4]Tasa de Falla'!F43=0,"",'[4]Tasa de Falla'!F43)</f>
        <v>2.5</v>
      </c>
      <c r="G44" s="646">
        <f>IF('[4]Tasa de Falla'!GZ43=0,"",'[4]Tasa de Falla'!GZ43)</f>
      </c>
      <c r="H44" s="646">
        <f>IF('[4]Tasa de Falla'!HA43=0,"",'[4]Tasa de Falla'!HA43)</f>
      </c>
      <c r="I44" s="646">
        <f>IF('[4]Tasa de Falla'!HB43=0,"",'[4]Tasa de Falla'!HB43)</f>
      </c>
      <c r="J44" s="646">
        <f>IF('[4]Tasa de Falla'!HC43=0,"",'[4]Tasa de Falla'!HC43)</f>
      </c>
      <c r="K44" s="646">
        <f>IF('[4]Tasa de Falla'!HD43=0,"",'[4]Tasa de Falla'!HD43)</f>
      </c>
      <c r="L44" s="646">
        <f>IF('[4]Tasa de Falla'!HE43=0,"",'[4]Tasa de Falla'!HE43)</f>
      </c>
      <c r="M44" s="646">
        <f>IF('[4]Tasa de Falla'!HF43=0,"",'[4]Tasa de Falla'!HF43)</f>
      </c>
      <c r="N44" s="646">
        <f>IF('[4]Tasa de Falla'!HG43=0,"",'[4]Tasa de Falla'!HG43)</f>
      </c>
      <c r="O44" s="646">
        <f>IF('[4]Tasa de Falla'!HH43=0,"",'[4]Tasa de Falla'!HH43)</f>
      </c>
      <c r="P44" s="646">
        <f>IF('[4]Tasa de Falla'!HI43=0,"",'[4]Tasa de Falla'!HI43)</f>
      </c>
      <c r="Q44" s="646">
        <f>IF('[4]Tasa de Falla'!HJ43=0,"",'[4]Tasa de Falla'!HJ43)</f>
      </c>
      <c r="R44" s="646">
        <f>IF('[4]Tasa de Falla'!HK43=0,"",'[4]Tasa de Falla'!HK43)</f>
      </c>
      <c r="S44" s="644"/>
      <c r="T44" s="3"/>
    </row>
    <row r="45" spans="2:20" ht="15" customHeight="1">
      <c r="B45" s="2"/>
      <c r="C45" s="645">
        <f>IF('[4]Tasa de Falla'!C44=0,"",'[4]Tasa de Falla'!C44)</f>
        <v>39</v>
      </c>
      <c r="D45" s="645" t="str">
        <f>IF('[4]Tasa de Falla'!D44=0,"",'[4]Tasa de Falla'!D44)</f>
        <v>LAS HERAS - SANTA CRUZ NORTE</v>
      </c>
      <c r="E45" s="645">
        <f>IF('[4]Tasa de Falla'!E44=0,"",'[4]Tasa de Falla'!E44)</f>
        <v>132</v>
      </c>
      <c r="F45" s="645">
        <f>IF('[4]Tasa de Falla'!F44=0,"",'[4]Tasa de Falla'!F44)</f>
        <v>80</v>
      </c>
      <c r="G45" s="646">
        <f>IF('[4]Tasa de Falla'!GZ44=0,"",'[4]Tasa de Falla'!GZ44)</f>
      </c>
      <c r="H45" s="646">
        <f>IF('[4]Tasa de Falla'!HA44=0,"",'[4]Tasa de Falla'!HA44)</f>
      </c>
      <c r="I45" s="646">
        <f>IF('[4]Tasa de Falla'!HB44=0,"",'[4]Tasa de Falla'!HB44)</f>
      </c>
      <c r="J45" s="646">
        <f>IF('[4]Tasa de Falla'!HC44=0,"",'[4]Tasa de Falla'!HC44)</f>
      </c>
      <c r="K45" s="646">
        <f>IF('[4]Tasa de Falla'!HD44=0,"",'[4]Tasa de Falla'!HD44)</f>
      </c>
      <c r="L45" s="646">
        <f>IF('[4]Tasa de Falla'!HE44=0,"",'[4]Tasa de Falla'!HE44)</f>
      </c>
      <c r="M45" s="646">
        <f>IF('[4]Tasa de Falla'!HF44=0,"",'[4]Tasa de Falla'!HF44)</f>
      </c>
      <c r="N45" s="646">
        <f>IF('[4]Tasa de Falla'!HG44=0,"",'[4]Tasa de Falla'!HG44)</f>
      </c>
      <c r="O45" s="646">
        <f>IF('[4]Tasa de Falla'!HH44=0,"",'[4]Tasa de Falla'!HH44)</f>
      </c>
      <c r="P45" s="646">
        <f>IF('[4]Tasa de Falla'!HI44=0,"",'[4]Tasa de Falla'!HI44)</f>
      </c>
      <c r="Q45" s="646">
        <f>IF('[4]Tasa de Falla'!HJ44=0,"",'[4]Tasa de Falla'!HJ44)</f>
      </c>
      <c r="R45" s="646">
        <f>IF('[4]Tasa de Falla'!HK44=0,"",'[4]Tasa de Falla'!HK44)</f>
      </c>
      <c r="S45" s="644"/>
      <c r="T45" s="3"/>
    </row>
    <row r="46" spans="2:20" ht="15" customHeight="1">
      <c r="B46" s="2"/>
      <c r="C46" s="645">
        <f>IF('[4]Tasa de Falla'!C45=0,"",'[4]Tasa de Falla'!C45)</f>
      </c>
      <c r="D46" s="645">
        <f>IF('[4]Tasa de Falla'!D45=0,"",'[4]Tasa de Falla'!D45)</f>
      </c>
      <c r="E46" s="645">
        <f>IF('[4]Tasa de Falla'!E45=0,"",'[4]Tasa de Falla'!E45)</f>
      </c>
      <c r="F46" s="645">
        <f>IF('[4]Tasa de Falla'!F45=0,"",'[4]Tasa de Falla'!F45)</f>
      </c>
      <c r="G46" s="646">
        <f>IF('[4]Tasa de Falla'!GZ45=0,"",'[4]Tasa de Falla'!GZ45)</f>
      </c>
      <c r="H46" s="646">
        <f>IF('[4]Tasa de Falla'!HA45=0,"",'[4]Tasa de Falla'!HA45)</f>
      </c>
      <c r="I46" s="646">
        <f>IF('[4]Tasa de Falla'!HB45=0,"",'[4]Tasa de Falla'!HB45)</f>
      </c>
      <c r="J46" s="646">
        <f>IF('[4]Tasa de Falla'!HC45=0,"",'[4]Tasa de Falla'!HC45)</f>
      </c>
      <c r="K46" s="646">
        <f>IF('[4]Tasa de Falla'!HD45=0,"",'[4]Tasa de Falla'!HD45)</f>
      </c>
      <c r="L46" s="646">
        <f>IF('[4]Tasa de Falla'!HE45=0,"",'[4]Tasa de Falla'!HE45)</f>
      </c>
      <c r="M46" s="646">
        <f>IF('[4]Tasa de Falla'!HF45=0,"",'[4]Tasa de Falla'!HF45)</f>
      </c>
      <c r="N46" s="646">
        <f>IF('[4]Tasa de Falla'!HG45=0,"",'[4]Tasa de Falla'!HG45)</f>
      </c>
      <c r="O46" s="646">
        <f>IF('[4]Tasa de Falla'!HH45=0,"",'[4]Tasa de Falla'!HH45)</f>
      </c>
      <c r="P46" s="646">
        <f>IF('[4]Tasa de Falla'!HI45=0,"",'[4]Tasa de Falla'!HI45)</f>
      </c>
      <c r="Q46" s="646">
        <f>IF('[4]Tasa de Falla'!HJ45=0,"",'[4]Tasa de Falla'!HJ45)</f>
      </c>
      <c r="R46" s="646">
        <f>IF('[4]Tasa de Falla'!HK45=0,"",'[4]Tasa de Falla'!HK45)</f>
      </c>
      <c r="S46" s="644"/>
      <c r="T46" s="3"/>
    </row>
    <row r="47" spans="2:20" ht="15" customHeight="1">
      <c r="B47" s="2"/>
      <c r="C47" s="645">
        <f>IF('[4]Tasa de Falla'!C46=0,"",'[4]Tasa de Falla'!C46)</f>
        <v>19</v>
      </c>
      <c r="D47" s="645" t="str">
        <f>IF('[4]Tasa de Falla'!D46=0,"",'[4]Tasa de Falla'!D46)</f>
        <v>PUNTA COLORADA - SIERRA GRANDE</v>
      </c>
      <c r="E47" s="645">
        <f>IF('[4]Tasa de Falla'!E46=0,"",'[4]Tasa de Falla'!E46)</f>
        <v>132</v>
      </c>
      <c r="F47" s="645">
        <f>IF('[4]Tasa de Falla'!F46=0,"",'[4]Tasa de Falla'!F46)</f>
        <v>31</v>
      </c>
      <c r="G47" s="646">
        <f>IF('[4]Tasa de Falla'!GZ46=0,"",'[4]Tasa de Falla'!GZ46)</f>
      </c>
      <c r="H47" s="646">
        <f>IF('[4]Tasa de Falla'!HA46=0,"",'[4]Tasa de Falla'!HA46)</f>
      </c>
      <c r="I47" s="646">
        <f>IF('[4]Tasa de Falla'!HB46=0,"",'[4]Tasa de Falla'!HB46)</f>
      </c>
      <c r="J47" s="646">
        <f>IF('[4]Tasa de Falla'!HC46=0,"",'[4]Tasa de Falla'!HC46)</f>
      </c>
      <c r="K47" s="646">
        <f>IF('[4]Tasa de Falla'!HD46=0,"",'[4]Tasa de Falla'!HD46)</f>
        <v>1</v>
      </c>
      <c r="L47" s="646">
        <f>IF('[4]Tasa de Falla'!HE46=0,"",'[4]Tasa de Falla'!HE46)</f>
      </c>
      <c r="M47" s="646">
        <f>IF('[4]Tasa de Falla'!HF46=0,"",'[4]Tasa de Falla'!HF46)</f>
      </c>
      <c r="N47" s="646">
        <f>IF('[4]Tasa de Falla'!HG46=0,"",'[4]Tasa de Falla'!HG46)</f>
      </c>
      <c r="O47" s="646">
        <f>IF('[4]Tasa de Falla'!HH46=0,"",'[4]Tasa de Falla'!HH46)</f>
      </c>
      <c r="P47" s="646">
        <f>IF('[4]Tasa de Falla'!HI46=0,"",'[4]Tasa de Falla'!HI46)</f>
      </c>
      <c r="Q47" s="646">
        <f>IF('[4]Tasa de Falla'!HJ46=0,"",'[4]Tasa de Falla'!HJ46)</f>
      </c>
      <c r="R47" s="646">
        <f>IF('[4]Tasa de Falla'!HK46=0,"",'[4]Tasa de Falla'!HK46)</f>
      </c>
      <c r="S47" s="644"/>
      <c r="T47" s="3"/>
    </row>
    <row r="48" spans="2:20" ht="15" customHeight="1">
      <c r="B48" s="2"/>
      <c r="C48" s="645">
        <f>IF('[4]Tasa de Falla'!C47=0,"",'[4]Tasa de Falla'!C47)</f>
        <v>20</v>
      </c>
      <c r="D48" s="645" t="str">
        <f>IF('[4]Tasa de Falla'!D47=0,"",'[4]Tasa de Falla'!D47)</f>
        <v>CARMEN DE PATAGONES - VIEDMA</v>
      </c>
      <c r="E48" s="645">
        <f>IF('[4]Tasa de Falla'!E47=0,"",'[4]Tasa de Falla'!E47)</f>
        <v>132</v>
      </c>
      <c r="F48" s="645">
        <f>IF('[4]Tasa de Falla'!F47=0,"",'[4]Tasa de Falla'!F47)</f>
        <v>7</v>
      </c>
      <c r="G48" s="646" t="str">
        <f>IF('[4]Tasa de Falla'!GZ47=0,"",'[4]Tasa de Falla'!GZ47)</f>
        <v>XXXX</v>
      </c>
      <c r="H48" s="646" t="str">
        <f>IF('[4]Tasa de Falla'!HA47=0,"",'[4]Tasa de Falla'!HA47)</f>
        <v>XXXX</v>
      </c>
      <c r="I48" s="646" t="str">
        <f>IF('[4]Tasa de Falla'!HB47=0,"",'[4]Tasa de Falla'!HB47)</f>
        <v>XXXX</v>
      </c>
      <c r="J48" s="646" t="str">
        <f>IF('[4]Tasa de Falla'!HC47=0,"",'[4]Tasa de Falla'!HC47)</f>
        <v>XXXX</v>
      </c>
      <c r="K48" s="646" t="str">
        <f>IF('[4]Tasa de Falla'!HD47=0,"",'[4]Tasa de Falla'!HD47)</f>
        <v>XXXX</v>
      </c>
      <c r="L48" s="646" t="str">
        <f>IF('[4]Tasa de Falla'!HE47=0,"",'[4]Tasa de Falla'!HE47)</f>
        <v>XXXX</v>
      </c>
      <c r="M48" s="646" t="str">
        <f>IF('[4]Tasa de Falla'!HF47=0,"",'[4]Tasa de Falla'!HF47)</f>
        <v>XXXX</v>
      </c>
      <c r="N48" s="646" t="str">
        <f>IF('[4]Tasa de Falla'!HG47=0,"",'[4]Tasa de Falla'!HG47)</f>
        <v>XXXX</v>
      </c>
      <c r="O48" s="646" t="str">
        <f>IF('[4]Tasa de Falla'!HH47=0,"",'[4]Tasa de Falla'!HH47)</f>
        <v>XXXX</v>
      </c>
      <c r="P48" s="646" t="str">
        <f>IF('[4]Tasa de Falla'!HI47=0,"",'[4]Tasa de Falla'!HI47)</f>
        <v>XXXX</v>
      </c>
      <c r="Q48" s="646" t="str">
        <f>IF('[4]Tasa de Falla'!HJ47=0,"",'[4]Tasa de Falla'!HJ47)</f>
        <v>XXXX</v>
      </c>
      <c r="R48" s="646" t="str">
        <f>IF('[4]Tasa de Falla'!HK47=0,"",'[4]Tasa de Falla'!HK47)</f>
        <v>XXXX</v>
      </c>
      <c r="S48" s="644"/>
      <c r="T48" s="3"/>
    </row>
    <row r="49" spans="2:20" ht="15" customHeight="1">
      <c r="B49" s="2"/>
      <c r="C49" s="645">
        <f>IF('[4]Tasa de Falla'!C48=0,"",'[4]Tasa de Falla'!C48)</f>
      </c>
      <c r="D49" s="645" t="str">
        <f>IF('[4]Tasa de Falla'!D48=0,"",'[4]Tasa de Falla'!D48)</f>
        <v>CARMEN DE PATAGONES - VIEDMA</v>
      </c>
      <c r="E49" s="645">
        <f>IF('[4]Tasa de Falla'!E48=0,"",'[4]Tasa de Falla'!E48)</f>
        <v>132</v>
      </c>
      <c r="F49" s="645">
        <f>IF('[4]Tasa de Falla'!F48=0,"",'[4]Tasa de Falla'!F48)</f>
        <v>4.4</v>
      </c>
      <c r="G49" s="646">
        <f>IF('[4]Tasa de Falla'!GZ48=0,"",'[4]Tasa de Falla'!GZ48)</f>
      </c>
      <c r="H49" s="646">
        <f>IF('[4]Tasa de Falla'!HA48=0,"",'[4]Tasa de Falla'!HA48)</f>
      </c>
      <c r="I49" s="646">
        <f>IF('[4]Tasa de Falla'!HB48=0,"",'[4]Tasa de Falla'!HB48)</f>
        <v>1</v>
      </c>
      <c r="J49" s="646">
        <f>IF('[4]Tasa de Falla'!HC48=0,"",'[4]Tasa de Falla'!HC48)</f>
      </c>
      <c r="K49" s="646">
        <f>IF('[4]Tasa de Falla'!HD48=0,"",'[4]Tasa de Falla'!HD48)</f>
        <v>1</v>
      </c>
      <c r="L49" s="646">
        <f>IF('[4]Tasa de Falla'!HE48=0,"",'[4]Tasa de Falla'!HE48)</f>
        <v>1</v>
      </c>
      <c r="M49" s="646">
        <f>IF('[4]Tasa de Falla'!HF48=0,"",'[4]Tasa de Falla'!HF48)</f>
      </c>
      <c r="N49" s="646">
        <f>IF('[4]Tasa de Falla'!HG48=0,"",'[4]Tasa de Falla'!HG48)</f>
      </c>
      <c r="O49" s="646">
        <f>IF('[4]Tasa de Falla'!HH48=0,"",'[4]Tasa de Falla'!HH48)</f>
      </c>
      <c r="P49" s="646">
        <f>IF('[4]Tasa de Falla'!HI48=0,"",'[4]Tasa de Falla'!HI48)</f>
      </c>
      <c r="Q49" s="646">
        <f>IF('[4]Tasa de Falla'!HJ48=0,"",'[4]Tasa de Falla'!HJ48)</f>
      </c>
      <c r="R49" s="646">
        <f>IF('[4]Tasa de Falla'!HK48=0,"",'[4]Tasa de Falla'!HK48)</f>
      </c>
      <c r="S49" s="644"/>
      <c r="T49" s="3"/>
    </row>
    <row r="50" spans="2:20" ht="15" customHeight="1">
      <c r="B50" s="2"/>
      <c r="C50" s="645">
        <f>IF('[4]Tasa de Falla'!C49=0,"",'[4]Tasa de Falla'!C49)</f>
        <v>21</v>
      </c>
      <c r="D50" s="645" t="str">
        <f>IF('[4]Tasa de Falla'!D49=0,"",'[4]Tasa de Falla'!D49)</f>
        <v>SAN ANTONIO OESTE - SIERRA GRANDE</v>
      </c>
      <c r="E50" s="645">
        <f>IF('[4]Tasa de Falla'!E49=0,"",'[4]Tasa de Falla'!E49)</f>
        <v>132</v>
      </c>
      <c r="F50" s="645">
        <f>IF('[4]Tasa de Falla'!F49=0,"",'[4]Tasa de Falla'!F49)</f>
        <v>110.3</v>
      </c>
      <c r="G50" s="646">
        <f>IF('[4]Tasa de Falla'!GZ49=0,"",'[4]Tasa de Falla'!GZ49)</f>
      </c>
      <c r="H50" s="646">
        <f>IF('[4]Tasa de Falla'!HA49=0,"",'[4]Tasa de Falla'!HA49)</f>
      </c>
      <c r="I50" s="646">
        <f>IF('[4]Tasa de Falla'!HB49=0,"",'[4]Tasa de Falla'!HB49)</f>
      </c>
      <c r="J50" s="646">
        <f>IF('[4]Tasa de Falla'!HC49=0,"",'[4]Tasa de Falla'!HC49)</f>
        <v>2</v>
      </c>
      <c r="K50" s="646">
        <f>IF('[4]Tasa de Falla'!HD49=0,"",'[4]Tasa de Falla'!HD49)</f>
        <v>1</v>
      </c>
      <c r="L50" s="646">
        <f>IF('[4]Tasa de Falla'!HE49=0,"",'[4]Tasa de Falla'!HE49)</f>
      </c>
      <c r="M50" s="646">
        <f>IF('[4]Tasa de Falla'!HF49=0,"",'[4]Tasa de Falla'!HF49)</f>
      </c>
      <c r="N50" s="646">
        <f>IF('[4]Tasa de Falla'!HG49=0,"",'[4]Tasa de Falla'!HG49)</f>
      </c>
      <c r="O50" s="646">
        <f>IF('[4]Tasa de Falla'!HH49=0,"",'[4]Tasa de Falla'!HH49)</f>
      </c>
      <c r="P50" s="646">
        <f>IF('[4]Tasa de Falla'!HI49=0,"",'[4]Tasa de Falla'!HI49)</f>
      </c>
      <c r="Q50" s="646">
        <f>IF('[4]Tasa de Falla'!HJ49=0,"",'[4]Tasa de Falla'!HJ49)</f>
      </c>
      <c r="R50" s="646">
        <f>IF('[4]Tasa de Falla'!HK49=0,"",'[4]Tasa de Falla'!HK49)</f>
      </c>
      <c r="S50" s="644"/>
      <c r="T50" s="3"/>
    </row>
    <row r="51" spans="2:20" ht="15" customHeight="1">
      <c r="B51" s="2"/>
      <c r="C51" s="645">
        <f>IF('[4]Tasa de Falla'!C50=0,"",'[4]Tasa de Falla'!C50)</f>
        <v>22</v>
      </c>
      <c r="D51" s="645" t="str">
        <f>IF('[4]Tasa de Falla'!D50=0,"",'[4]Tasa de Falla'!D50)</f>
        <v>SAN ANTONIO OESTE -VIEDMA-SAN ANTONIO ESTE</v>
      </c>
      <c r="E51" s="645">
        <f>IF('[4]Tasa de Falla'!E50=0,"",'[4]Tasa de Falla'!E50)</f>
        <v>132</v>
      </c>
      <c r="F51" s="645">
        <f>IF('[4]Tasa de Falla'!F50=0,"",'[4]Tasa de Falla'!F50)</f>
        <v>185.6</v>
      </c>
      <c r="G51" s="646">
        <f>IF('[4]Tasa de Falla'!GZ50=0,"",'[4]Tasa de Falla'!GZ50)</f>
      </c>
      <c r="H51" s="646">
        <f>IF('[4]Tasa de Falla'!HA50=0,"",'[4]Tasa de Falla'!HA50)</f>
      </c>
      <c r="I51" s="646">
        <f>IF('[4]Tasa de Falla'!HB50=0,"",'[4]Tasa de Falla'!HB50)</f>
      </c>
      <c r="J51" s="646">
        <f>IF('[4]Tasa de Falla'!HC50=0,"",'[4]Tasa de Falla'!HC50)</f>
      </c>
      <c r="K51" s="646">
        <f>IF('[4]Tasa de Falla'!HD50=0,"",'[4]Tasa de Falla'!HD50)</f>
        <v>2</v>
      </c>
      <c r="L51" s="646">
        <f>IF('[4]Tasa de Falla'!HE50=0,"",'[4]Tasa de Falla'!HE50)</f>
        <v>1</v>
      </c>
      <c r="M51" s="646">
        <f>IF('[4]Tasa de Falla'!HF50=0,"",'[4]Tasa de Falla'!HF50)</f>
        <v>3</v>
      </c>
      <c r="N51" s="646">
        <f>IF('[4]Tasa de Falla'!HG50=0,"",'[4]Tasa de Falla'!HG50)</f>
        <v>1</v>
      </c>
      <c r="O51" s="646">
        <f>IF('[4]Tasa de Falla'!HH50=0,"",'[4]Tasa de Falla'!HH50)</f>
      </c>
      <c r="P51" s="646">
        <f>IF('[4]Tasa de Falla'!HI50=0,"",'[4]Tasa de Falla'!HI50)</f>
      </c>
      <c r="Q51" s="646">
        <f>IF('[4]Tasa de Falla'!HJ50=0,"",'[4]Tasa de Falla'!HJ50)</f>
      </c>
      <c r="R51" s="646">
        <f>IF('[4]Tasa de Falla'!HK50=0,"",'[4]Tasa de Falla'!HK50)</f>
      </c>
      <c r="S51" s="644"/>
      <c r="T51" s="3"/>
    </row>
    <row r="52" spans="2:20" ht="15" customHeight="1">
      <c r="B52" s="2"/>
      <c r="C52" s="645">
        <f>IF('[4]Tasa de Falla'!C51=0,"",'[4]Tasa de Falla'!C51)</f>
        <v>32</v>
      </c>
      <c r="D52" s="645" t="str">
        <f>IF('[4]Tasa de Falla'!D51=0,"",'[4]Tasa de Falla'!D51)</f>
        <v>SAN ANTONIO ESTE - VIEDMA</v>
      </c>
      <c r="E52" s="645">
        <f>IF('[4]Tasa de Falla'!E51=0,"",'[4]Tasa de Falla'!E51)</f>
        <v>132</v>
      </c>
      <c r="F52" s="645">
        <f>IF('[4]Tasa de Falla'!F51=0,"",'[4]Tasa de Falla'!F51)</f>
        <v>162.6</v>
      </c>
      <c r="G52" s="646" t="str">
        <f>IF('[4]Tasa de Falla'!GZ51=0,"",'[4]Tasa de Falla'!GZ51)</f>
        <v>XXXX</v>
      </c>
      <c r="H52" s="646" t="str">
        <f>IF('[4]Tasa de Falla'!HA51=0,"",'[4]Tasa de Falla'!HA51)</f>
        <v>XXXX</v>
      </c>
      <c r="I52" s="646" t="str">
        <f>IF('[4]Tasa de Falla'!HB51=0,"",'[4]Tasa de Falla'!HB51)</f>
        <v>XXXX</v>
      </c>
      <c r="J52" s="646" t="str">
        <f>IF('[4]Tasa de Falla'!HC51=0,"",'[4]Tasa de Falla'!HC51)</f>
        <v>XXXX</v>
      </c>
      <c r="K52" s="646" t="str">
        <f>IF('[4]Tasa de Falla'!HD51=0,"",'[4]Tasa de Falla'!HD51)</f>
        <v>XXXX</v>
      </c>
      <c r="L52" s="646" t="str">
        <f>IF('[4]Tasa de Falla'!HE51=0,"",'[4]Tasa de Falla'!HE51)</f>
        <v>XXXX</v>
      </c>
      <c r="M52" s="646" t="str">
        <f>IF('[4]Tasa de Falla'!HF51=0,"",'[4]Tasa de Falla'!HF51)</f>
        <v>XXXX</v>
      </c>
      <c r="N52" s="646" t="str">
        <f>IF('[4]Tasa de Falla'!HG51=0,"",'[4]Tasa de Falla'!HG51)</f>
        <v>XXXX</v>
      </c>
      <c r="O52" s="646" t="str">
        <f>IF('[4]Tasa de Falla'!HH51=0,"",'[4]Tasa de Falla'!HH51)</f>
        <v>XXXX</v>
      </c>
      <c r="P52" s="646" t="str">
        <f>IF('[4]Tasa de Falla'!HI51=0,"",'[4]Tasa de Falla'!HI51)</f>
        <v>XXXX</v>
      </c>
      <c r="Q52" s="646" t="str">
        <f>IF('[4]Tasa de Falla'!HJ51=0,"",'[4]Tasa de Falla'!HJ51)</f>
        <v>XXXX</v>
      </c>
      <c r="R52" s="646" t="str">
        <f>IF('[4]Tasa de Falla'!HK51=0,"",'[4]Tasa de Falla'!HK51)</f>
        <v>XXXX</v>
      </c>
      <c r="S52" s="644"/>
      <c r="T52" s="3"/>
    </row>
    <row r="53" spans="2:20" ht="15" customHeight="1">
      <c r="B53" s="2"/>
      <c r="C53" s="645">
        <f>IF('[4]Tasa de Falla'!C52=0,"",'[4]Tasa de Falla'!C52)</f>
      </c>
      <c r="D53" s="645">
        <f>IF('[4]Tasa de Falla'!D52=0,"",'[4]Tasa de Falla'!D52)</f>
      </c>
      <c r="E53" s="645">
        <f>IF('[4]Tasa de Falla'!E52=0,"",'[4]Tasa de Falla'!E52)</f>
      </c>
      <c r="F53" s="645">
        <f>IF('[4]Tasa de Falla'!F52=0,"",'[4]Tasa de Falla'!F52)</f>
      </c>
      <c r="G53" s="646">
        <f>IF('[4]Tasa de Falla'!GZ52=0,"",'[4]Tasa de Falla'!GZ52)</f>
      </c>
      <c r="H53" s="646">
        <f>IF('[4]Tasa de Falla'!HA52=0,"",'[4]Tasa de Falla'!HA52)</f>
      </c>
      <c r="I53" s="646">
        <f>IF('[4]Tasa de Falla'!HB52=0,"",'[4]Tasa de Falla'!HB52)</f>
      </c>
      <c r="J53" s="646">
        <f>IF('[4]Tasa de Falla'!HC52=0,"",'[4]Tasa de Falla'!HC52)</f>
      </c>
      <c r="K53" s="646">
        <f>IF('[4]Tasa de Falla'!HD52=0,"",'[4]Tasa de Falla'!HD52)</f>
      </c>
      <c r="L53" s="646">
        <f>IF('[4]Tasa de Falla'!HE52=0,"",'[4]Tasa de Falla'!HE52)</f>
      </c>
      <c r="M53" s="646">
        <f>IF('[4]Tasa de Falla'!HF52=0,"",'[4]Tasa de Falla'!HF52)</f>
      </c>
      <c r="N53" s="646">
        <f>IF('[4]Tasa de Falla'!HG52=0,"",'[4]Tasa de Falla'!HG52)</f>
      </c>
      <c r="O53" s="646">
        <f>IF('[4]Tasa de Falla'!HH52=0,"",'[4]Tasa de Falla'!HH52)</f>
      </c>
      <c r="P53" s="646">
        <f>IF('[4]Tasa de Falla'!HI52=0,"",'[4]Tasa de Falla'!HI52)</f>
      </c>
      <c r="Q53" s="646">
        <f>IF('[4]Tasa de Falla'!HJ52=0,"",'[4]Tasa de Falla'!HJ52)</f>
      </c>
      <c r="R53" s="646">
        <f>IF('[4]Tasa de Falla'!HK52=0,"",'[4]Tasa de Falla'!HK52)</f>
      </c>
      <c r="S53" s="644"/>
      <c r="T53" s="3"/>
    </row>
    <row r="54" spans="2:20" ht="15" customHeight="1">
      <c r="B54" s="2"/>
      <c r="C54" s="645">
        <f>IF('[4]Tasa de Falla'!C53=0,"",'[4]Tasa de Falla'!C53)</f>
        <v>23</v>
      </c>
      <c r="D54" s="645" t="str">
        <f>IF('[4]Tasa de Falla'!D53=0,"",'[4]Tasa de Falla'!D53)</f>
        <v>PICO TRUNCADO I - PUERTO DESEADO</v>
      </c>
      <c r="E54" s="645">
        <f>IF('[4]Tasa de Falla'!E53=0,"",'[4]Tasa de Falla'!E53)</f>
        <v>132</v>
      </c>
      <c r="F54" s="645">
        <f>IF('[4]Tasa de Falla'!F53=0,"",'[4]Tasa de Falla'!F53)</f>
        <v>209</v>
      </c>
      <c r="G54" s="646" t="str">
        <f>IF('[4]Tasa de Falla'!GZ53=0,"",'[4]Tasa de Falla'!GZ53)</f>
        <v>XXXX</v>
      </c>
      <c r="H54" s="646" t="str">
        <f>IF('[4]Tasa de Falla'!HA53=0,"",'[4]Tasa de Falla'!HA53)</f>
        <v>XXXX</v>
      </c>
      <c r="I54" s="646" t="str">
        <f>IF('[4]Tasa de Falla'!HB53=0,"",'[4]Tasa de Falla'!HB53)</f>
        <v>XXXX</v>
      </c>
      <c r="J54" s="646" t="str">
        <f>IF('[4]Tasa de Falla'!HC53=0,"",'[4]Tasa de Falla'!HC53)</f>
        <v>XXXX</v>
      </c>
      <c r="K54" s="646" t="str">
        <f>IF('[4]Tasa de Falla'!HD53=0,"",'[4]Tasa de Falla'!HD53)</f>
        <v>XXXX</v>
      </c>
      <c r="L54" s="646" t="str">
        <f>IF('[4]Tasa de Falla'!HE53=0,"",'[4]Tasa de Falla'!HE53)</f>
        <v>XXXX</v>
      </c>
      <c r="M54" s="646" t="str">
        <f>IF('[4]Tasa de Falla'!HF53=0,"",'[4]Tasa de Falla'!HF53)</f>
        <v>XXXX</v>
      </c>
      <c r="N54" s="646" t="str">
        <f>IF('[4]Tasa de Falla'!HG53=0,"",'[4]Tasa de Falla'!HG53)</f>
        <v>XXXX</v>
      </c>
      <c r="O54" s="646" t="str">
        <f>IF('[4]Tasa de Falla'!HH53=0,"",'[4]Tasa de Falla'!HH53)</f>
        <v>XXXX</v>
      </c>
      <c r="P54" s="646" t="str">
        <f>IF('[4]Tasa de Falla'!HI53=0,"",'[4]Tasa de Falla'!HI53)</f>
        <v>XXXX</v>
      </c>
      <c r="Q54" s="646" t="str">
        <f>IF('[4]Tasa de Falla'!HJ53=0,"",'[4]Tasa de Falla'!HJ53)</f>
        <v>XXXX</v>
      </c>
      <c r="R54" s="646" t="str">
        <f>IF('[4]Tasa de Falla'!HK53=0,"",'[4]Tasa de Falla'!HK53)</f>
        <v>XXXX</v>
      </c>
      <c r="S54" s="644"/>
      <c r="T54" s="3"/>
    </row>
    <row r="55" spans="2:20" ht="15" customHeight="1">
      <c r="B55" s="2"/>
      <c r="C55" s="645">
        <f>IF('[4]Tasa de Falla'!C54=0,"",'[4]Tasa de Falla'!C54)</f>
        <v>35</v>
      </c>
      <c r="D55" s="645" t="str">
        <f>IF('[4]Tasa de Falla'!D54=0,"",'[4]Tasa de Falla'!D54)</f>
        <v>PICO TRUNCADO I - PTQ C.RIVADAVIA</v>
      </c>
      <c r="E55" s="645">
        <f>IF('[4]Tasa de Falla'!E54=0,"",'[4]Tasa de Falla'!E54)</f>
        <v>132</v>
      </c>
      <c r="F55" s="645">
        <f>IF('[4]Tasa de Falla'!F54=0,"",'[4]Tasa de Falla'!F54)</f>
        <v>1.5</v>
      </c>
      <c r="G55" s="646">
        <f>IF('[4]Tasa de Falla'!GZ54=0,"",'[4]Tasa de Falla'!GZ54)</f>
      </c>
      <c r="H55" s="646">
        <f>IF('[4]Tasa de Falla'!HA54=0,"",'[4]Tasa de Falla'!HA54)</f>
      </c>
      <c r="I55" s="646">
        <f>IF('[4]Tasa de Falla'!HB54=0,"",'[4]Tasa de Falla'!HB54)</f>
      </c>
      <c r="J55" s="646">
        <f>IF('[4]Tasa de Falla'!HC54=0,"",'[4]Tasa de Falla'!HC54)</f>
      </c>
      <c r="K55" s="646">
        <f>IF('[4]Tasa de Falla'!HD54=0,"",'[4]Tasa de Falla'!HD54)</f>
      </c>
      <c r="L55" s="646">
        <f>IF('[4]Tasa de Falla'!HE54=0,"",'[4]Tasa de Falla'!HE54)</f>
      </c>
      <c r="M55" s="646">
        <f>IF('[4]Tasa de Falla'!HF54=0,"",'[4]Tasa de Falla'!HF54)</f>
      </c>
      <c r="N55" s="646">
        <f>IF('[4]Tasa de Falla'!HG54=0,"",'[4]Tasa de Falla'!HG54)</f>
      </c>
      <c r="O55" s="646">
        <f>IF('[4]Tasa de Falla'!HH54=0,"",'[4]Tasa de Falla'!HH54)</f>
      </c>
      <c r="P55" s="646">
        <f>IF('[4]Tasa de Falla'!HI54=0,"",'[4]Tasa de Falla'!HI54)</f>
      </c>
      <c r="Q55" s="646">
        <f>IF('[4]Tasa de Falla'!HJ54=0,"",'[4]Tasa de Falla'!HJ54)</f>
      </c>
      <c r="R55" s="646">
        <f>IF('[4]Tasa de Falla'!HK54=0,"",'[4]Tasa de Falla'!HK54)</f>
      </c>
      <c r="S55" s="644"/>
      <c r="T55" s="3"/>
    </row>
    <row r="56" spans="2:20" ht="15" customHeight="1">
      <c r="B56" s="2"/>
      <c r="C56" s="645">
        <f>IF('[4]Tasa de Falla'!C55=0,"",'[4]Tasa de Falla'!C55)</f>
        <v>36</v>
      </c>
      <c r="D56" s="645" t="str">
        <f>IF('[4]Tasa de Falla'!D55=0,"",'[4]Tasa de Falla'!D55)</f>
        <v>PTQ C.RIVADAVIA - P.DESEADO</v>
      </c>
      <c r="E56" s="645">
        <f>IF('[4]Tasa de Falla'!E55=0,"",'[4]Tasa de Falla'!E55)</f>
        <v>132</v>
      </c>
      <c r="F56" s="645">
        <f>IF('[4]Tasa de Falla'!F55=0,"",'[4]Tasa de Falla'!F55)</f>
        <v>207.5</v>
      </c>
      <c r="G56" s="646">
        <f>IF('[4]Tasa de Falla'!GZ55=0,"",'[4]Tasa de Falla'!GZ55)</f>
      </c>
      <c r="H56" s="646">
        <f>IF('[4]Tasa de Falla'!HA55=0,"",'[4]Tasa de Falla'!HA55)</f>
      </c>
      <c r="I56" s="646">
        <f>IF('[4]Tasa de Falla'!HB55=0,"",'[4]Tasa de Falla'!HB55)</f>
      </c>
      <c r="J56" s="646">
        <f>IF('[4]Tasa de Falla'!HC55=0,"",'[4]Tasa de Falla'!HC55)</f>
        <v>1</v>
      </c>
      <c r="K56" s="646">
        <f>IF('[4]Tasa de Falla'!HD55=0,"",'[4]Tasa de Falla'!HD55)</f>
      </c>
      <c r="L56" s="646">
        <f>IF('[4]Tasa de Falla'!HE55=0,"",'[4]Tasa de Falla'!HE55)</f>
      </c>
      <c r="M56" s="646">
        <f>IF('[4]Tasa de Falla'!HF55=0,"",'[4]Tasa de Falla'!HF55)</f>
      </c>
      <c r="N56" s="646">
        <f>IF('[4]Tasa de Falla'!HG55=0,"",'[4]Tasa de Falla'!HG55)</f>
      </c>
      <c r="O56" s="646">
        <f>IF('[4]Tasa de Falla'!HH55=0,"",'[4]Tasa de Falla'!HH55)</f>
      </c>
      <c r="P56" s="646">
        <f>IF('[4]Tasa de Falla'!HI55=0,"",'[4]Tasa de Falla'!HI55)</f>
      </c>
      <c r="Q56" s="646">
        <f>IF('[4]Tasa de Falla'!HJ55=0,"",'[4]Tasa de Falla'!HJ55)</f>
      </c>
      <c r="R56" s="646">
        <f>IF('[4]Tasa de Falla'!HK55=0,"",'[4]Tasa de Falla'!HK55)</f>
      </c>
      <c r="S56" s="644"/>
      <c r="T56" s="3"/>
    </row>
    <row r="57" spans="2:20" ht="15" customHeight="1">
      <c r="B57" s="2"/>
      <c r="C57" s="645">
        <f>IF('[4]Tasa de Falla'!C56=0,"",'[4]Tasa de Falla'!C56)</f>
      </c>
      <c r="D57" s="645">
        <f>IF('[4]Tasa de Falla'!D56=0,"",'[4]Tasa de Falla'!D56)</f>
      </c>
      <c r="E57" s="645">
        <f>IF('[4]Tasa de Falla'!E56=0,"",'[4]Tasa de Falla'!E56)</f>
      </c>
      <c r="F57" s="645">
        <f>IF('[4]Tasa de Falla'!F56=0,"",'[4]Tasa de Falla'!F56)</f>
      </c>
      <c r="G57" s="646">
        <f>IF('[4]Tasa de Falla'!GZ56=0,"",'[4]Tasa de Falla'!GZ56)</f>
      </c>
      <c r="H57" s="646">
        <f>IF('[4]Tasa de Falla'!HA56=0,"",'[4]Tasa de Falla'!HA56)</f>
      </c>
      <c r="I57" s="646">
        <f>IF('[4]Tasa de Falla'!HB56=0,"",'[4]Tasa de Falla'!HB56)</f>
      </c>
      <c r="J57" s="646">
        <f>IF('[4]Tasa de Falla'!HC56=0,"",'[4]Tasa de Falla'!HC56)</f>
      </c>
      <c r="K57" s="646">
        <f>IF('[4]Tasa de Falla'!HD56=0,"",'[4]Tasa de Falla'!HD56)</f>
      </c>
      <c r="L57" s="646">
        <f>IF('[4]Tasa de Falla'!HE56=0,"",'[4]Tasa de Falla'!HE56)</f>
      </c>
      <c r="M57" s="646">
        <f>IF('[4]Tasa de Falla'!HF56=0,"",'[4]Tasa de Falla'!HF56)</f>
      </c>
      <c r="N57" s="646">
        <f>IF('[4]Tasa de Falla'!HG56=0,"",'[4]Tasa de Falla'!HG56)</f>
      </c>
      <c r="O57" s="646">
        <f>IF('[4]Tasa de Falla'!HH56=0,"",'[4]Tasa de Falla'!HH56)</f>
      </c>
      <c r="P57" s="646">
        <f>IF('[4]Tasa de Falla'!HI56=0,"",'[4]Tasa de Falla'!HI56)</f>
      </c>
      <c r="Q57" s="646">
        <f>IF('[4]Tasa de Falla'!HJ56=0,"",'[4]Tasa de Falla'!HJ56)</f>
      </c>
      <c r="R57" s="646">
        <f>IF('[4]Tasa de Falla'!HK56=0,"",'[4]Tasa de Falla'!HK56)</f>
      </c>
      <c r="S57" s="644"/>
      <c r="T57" s="3"/>
    </row>
    <row r="58" spans="2:20" ht="15" customHeight="1">
      <c r="B58" s="2"/>
      <c r="C58" s="645">
        <f>IF('[4]Tasa de Falla'!C57=0,"",'[4]Tasa de Falla'!C57)</f>
        <v>24</v>
      </c>
      <c r="D58" s="645" t="str">
        <f>IF('[4]Tasa de Falla'!D57=0,"",'[4]Tasa de Falla'!D57)</f>
        <v>E.T. PATAGONIA - PAMPA DEL CASTILLO</v>
      </c>
      <c r="E58" s="645">
        <f>IF('[4]Tasa de Falla'!E57=0,"",'[4]Tasa de Falla'!E57)</f>
        <v>132</v>
      </c>
      <c r="F58" s="645">
        <f>IF('[4]Tasa de Falla'!F57=0,"",'[4]Tasa de Falla'!F57)</f>
        <v>42.6</v>
      </c>
      <c r="G58" s="646" t="str">
        <f>IF('[4]Tasa de Falla'!GZ57=0,"",'[4]Tasa de Falla'!GZ57)</f>
        <v>XXXX</v>
      </c>
      <c r="H58" s="646" t="str">
        <f>IF('[4]Tasa de Falla'!HA57=0,"",'[4]Tasa de Falla'!HA57)</f>
        <v>XXXX</v>
      </c>
      <c r="I58" s="646" t="str">
        <f>IF('[4]Tasa de Falla'!HB57=0,"",'[4]Tasa de Falla'!HB57)</f>
        <v>XXXX</v>
      </c>
      <c r="J58" s="646" t="str">
        <f>IF('[4]Tasa de Falla'!HC57=0,"",'[4]Tasa de Falla'!HC57)</f>
        <v>XXXX</v>
      </c>
      <c r="K58" s="646" t="str">
        <f>IF('[4]Tasa de Falla'!HD57=0,"",'[4]Tasa de Falla'!HD57)</f>
        <v>XXXX</v>
      </c>
      <c r="L58" s="646" t="str">
        <f>IF('[4]Tasa de Falla'!HE57=0,"",'[4]Tasa de Falla'!HE57)</f>
        <v>XXXX</v>
      </c>
      <c r="M58" s="646" t="str">
        <f>IF('[4]Tasa de Falla'!HF57=0,"",'[4]Tasa de Falla'!HF57)</f>
        <v>XXXX</v>
      </c>
      <c r="N58" s="646" t="str">
        <f>IF('[4]Tasa de Falla'!HG57=0,"",'[4]Tasa de Falla'!HG57)</f>
        <v>XXXX</v>
      </c>
      <c r="O58" s="646" t="str">
        <f>IF('[4]Tasa de Falla'!HH57=0,"",'[4]Tasa de Falla'!HH57)</f>
        <v>XXXX</v>
      </c>
      <c r="P58" s="646" t="str">
        <f>IF('[4]Tasa de Falla'!HI57=0,"",'[4]Tasa de Falla'!HI57)</f>
        <v>XXXX</v>
      </c>
      <c r="Q58" s="646" t="str">
        <f>IF('[4]Tasa de Falla'!HJ57=0,"",'[4]Tasa de Falla'!HJ57)</f>
        <v>XXXX</v>
      </c>
      <c r="R58" s="646" t="str">
        <f>IF('[4]Tasa de Falla'!HK57=0,"",'[4]Tasa de Falla'!HK57)</f>
        <v>XXXX</v>
      </c>
      <c r="S58" s="644"/>
      <c r="T58" s="3"/>
    </row>
    <row r="59" spans="2:20" ht="15" customHeight="1">
      <c r="B59" s="2"/>
      <c r="C59" s="645">
        <f>IF('[4]Tasa de Falla'!C58=0,"",'[4]Tasa de Falla'!C58)</f>
        <v>25</v>
      </c>
      <c r="D59" s="645" t="str">
        <f>IF('[4]Tasa de Falla'!D58=0,"",'[4]Tasa de Falla'!D58)</f>
        <v>PAMPA DEL CASTILLO - VALLE HERMOSO</v>
      </c>
      <c r="E59" s="645">
        <f>IF('[4]Tasa de Falla'!E58=0,"",'[4]Tasa de Falla'!E58)</f>
        <v>132</v>
      </c>
      <c r="F59" s="645">
        <f>IF('[4]Tasa de Falla'!F58=0,"",'[4]Tasa de Falla'!F58)</f>
        <v>33.6</v>
      </c>
      <c r="G59" s="646">
        <f>IF('[4]Tasa de Falla'!GZ58=0,"",'[4]Tasa de Falla'!GZ58)</f>
      </c>
      <c r="H59" s="646">
        <f>IF('[4]Tasa de Falla'!HA58=0,"",'[4]Tasa de Falla'!HA58)</f>
      </c>
      <c r="I59" s="646">
        <f>IF('[4]Tasa de Falla'!HB58=0,"",'[4]Tasa de Falla'!HB58)</f>
      </c>
      <c r="J59" s="646">
        <f>IF('[4]Tasa de Falla'!HC58=0,"",'[4]Tasa de Falla'!HC58)</f>
      </c>
      <c r="K59" s="646">
        <f>IF('[4]Tasa de Falla'!HD58=0,"",'[4]Tasa de Falla'!HD58)</f>
      </c>
      <c r="L59" s="646">
        <f>IF('[4]Tasa de Falla'!HE58=0,"",'[4]Tasa de Falla'!HE58)</f>
      </c>
      <c r="M59" s="646">
        <f>IF('[4]Tasa de Falla'!HF58=0,"",'[4]Tasa de Falla'!HF58)</f>
      </c>
      <c r="N59" s="646">
        <f>IF('[4]Tasa de Falla'!HG58=0,"",'[4]Tasa de Falla'!HG58)</f>
      </c>
      <c r="O59" s="646">
        <f>IF('[4]Tasa de Falla'!HH58=0,"",'[4]Tasa de Falla'!HH58)</f>
      </c>
      <c r="P59" s="646">
        <f>IF('[4]Tasa de Falla'!HI58=0,"",'[4]Tasa de Falla'!HI58)</f>
      </c>
      <c r="Q59" s="646">
        <f>IF('[4]Tasa de Falla'!HJ58=0,"",'[4]Tasa de Falla'!HJ58)</f>
      </c>
      <c r="R59" s="646">
        <f>IF('[4]Tasa de Falla'!HK58=0,"",'[4]Tasa de Falla'!HK58)</f>
      </c>
      <c r="S59" s="644"/>
      <c r="T59" s="3"/>
    </row>
    <row r="60" spans="2:20" ht="15" customHeight="1">
      <c r="B60" s="2"/>
      <c r="C60" s="645">
        <f>IF('[4]Tasa de Falla'!C59=0,"",'[4]Tasa de Falla'!C59)</f>
        <v>26</v>
      </c>
      <c r="D60" s="645" t="str">
        <f>IF('[4]Tasa de Falla'!D59=0,"",'[4]Tasa de Falla'!D59)</f>
        <v>VALLE HERMOSO - CERRO NEGRO</v>
      </c>
      <c r="E60" s="645">
        <f>IF('[4]Tasa de Falla'!E59=0,"",'[4]Tasa de Falla'!E59)</f>
        <v>132</v>
      </c>
      <c r="F60" s="645">
        <f>IF('[4]Tasa de Falla'!F59=0,"",'[4]Tasa de Falla'!F59)</f>
        <v>41</v>
      </c>
      <c r="G60" s="646">
        <f>IF('[4]Tasa de Falla'!GZ59=0,"",'[4]Tasa de Falla'!GZ59)</f>
      </c>
      <c r="H60" s="646">
        <f>IF('[4]Tasa de Falla'!HA59=0,"",'[4]Tasa de Falla'!HA59)</f>
      </c>
      <c r="I60" s="646">
        <f>IF('[4]Tasa de Falla'!HB59=0,"",'[4]Tasa de Falla'!HB59)</f>
      </c>
      <c r="J60" s="646">
        <f>IF('[4]Tasa de Falla'!HC59=0,"",'[4]Tasa de Falla'!HC59)</f>
      </c>
      <c r="K60" s="646">
        <f>IF('[4]Tasa de Falla'!HD59=0,"",'[4]Tasa de Falla'!HD59)</f>
      </c>
      <c r="L60" s="646">
        <f>IF('[4]Tasa de Falla'!HE59=0,"",'[4]Tasa de Falla'!HE59)</f>
      </c>
      <c r="M60" s="646">
        <f>IF('[4]Tasa de Falla'!HF59=0,"",'[4]Tasa de Falla'!HF59)</f>
      </c>
      <c r="N60" s="646">
        <f>IF('[4]Tasa de Falla'!HG59=0,"",'[4]Tasa de Falla'!HG59)</f>
      </c>
      <c r="O60" s="646">
        <f>IF('[4]Tasa de Falla'!HH59=0,"",'[4]Tasa de Falla'!HH59)</f>
      </c>
      <c r="P60" s="646">
        <f>IF('[4]Tasa de Falla'!HI59=0,"",'[4]Tasa de Falla'!HI59)</f>
      </c>
      <c r="Q60" s="646">
        <f>IF('[4]Tasa de Falla'!HJ59=0,"",'[4]Tasa de Falla'!HJ59)</f>
        <v>1</v>
      </c>
      <c r="R60" s="646">
        <f>IF('[4]Tasa de Falla'!HK59=0,"",'[4]Tasa de Falla'!HK59)</f>
      </c>
      <c r="S60" s="644"/>
      <c r="T60" s="3"/>
    </row>
    <row r="61" spans="2:20" ht="15" customHeight="1">
      <c r="B61" s="2"/>
      <c r="C61" s="645">
        <f>IF('[4]Tasa de Falla'!C60=0,"",'[4]Tasa de Falla'!C60)</f>
        <v>33</v>
      </c>
      <c r="D61" s="645" t="str">
        <f>IF('[4]Tasa de Falla'!D60=0,"",'[4]Tasa de Falla'!D60)</f>
        <v>E.T. PATAGONIA - DIADEMA</v>
      </c>
      <c r="E61" s="645">
        <f>IF('[4]Tasa de Falla'!E60=0,"",'[4]Tasa de Falla'!E60)</f>
        <v>132</v>
      </c>
      <c r="F61" s="645">
        <f>IF('[4]Tasa de Falla'!F60=0,"",'[4]Tasa de Falla'!F60)</f>
        <v>15</v>
      </c>
      <c r="G61" s="646">
        <f>IF('[4]Tasa de Falla'!GZ60=0,"",'[4]Tasa de Falla'!GZ60)</f>
      </c>
      <c r="H61" s="646">
        <f>IF('[4]Tasa de Falla'!HA60=0,"",'[4]Tasa de Falla'!HA60)</f>
      </c>
      <c r="I61" s="646">
        <f>IF('[4]Tasa de Falla'!HB60=0,"",'[4]Tasa de Falla'!HB60)</f>
      </c>
      <c r="J61" s="646">
        <f>IF('[4]Tasa de Falla'!HC60=0,"",'[4]Tasa de Falla'!HC60)</f>
      </c>
      <c r="K61" s="646">
        <f>IF('[4]Tasa de Falla'!HD60=0,"",'[4]Tasa de Falla'!HD60)</f>
      </c>
      <c r="L61" s="646">
        <f>IF('[4]Tasa de Falla'!HE60=0,"",'[4]Tasa de Falla'!HE60)</f>
      </c>
      <c r="M61" s="646">
        <f>IF('[4]Tasa de Falla'!HF60=0,"",'[4]Tasa de Falla'!HF60)</f>
      </c>
      <c r="N61" s="646">
        <f>IF('[4]Tasa de Falla'!HG60=0,"",'[4]Tasa de Falla'!HG60)</f>
      </c>
      <c r="O61" s="646">
        <f>IF('[4]Tasa de Falla'!HH60=0,"",'[4]Tasa de Falla'!HH60)</f>
      </c>
      <c r="P61" s="646">
        <f>IF('[4]Tasa de Falla'!HI60=0,"",'[4]Tasa de Falla'!HI60)</f>
      </c>
      <c r="Q61" s="646">
        <f>IF('[4]Tasa de Falla'!HJ60=0,"",'[4]Tasa de Falla'!HJ60)</f>
      </c>
      <c r="R61" s="646">
        <f>IF('[4]Tasa de Falla'!HK60=0,"",'[4]Tasa de Falla'!HK60)</f>
      </c>
      <c r="S61" s="644"/>
      <c r="T61" s="3"/>
    </row>
    <row r="62" spans="2:20" ht="15" customHeight="1">
      <c r="B62" s="2"/>
      <c r="C62" s="645">
        <f>IF('[4]Tasa de Falla'!C61=0,"",'[4]Tasa de Falla'!C61)</f>
        <v>34</v>
      </c>
      <c r="D62" s="645" t="str">
        <f>IF('[4]Tasa de Falla'!D61=0,"",'[4]Tasa de Falla'!D61)</f>
        <v>DIADEMA - PAMAPA DEL CASTILLO</v>
      </c>
      <c r="E62" s="645">
        <f>IF('[4]Tasa de Falla'!E61=0,"",'[4]Tasa de Falla'!E61)</f>
        <v>132</v>
      </c>
      <c r="F62" s="645">
        <f>IF('[4]Tasa de Falla'!F61=0,"",'[4]Tasa de Falla'!F61)</f>
        <v>27.6</v>
      </c>
      <c r="G62" s="646">
        <f>IF('[4]Tasa de Falla'!GZ61=0,"",'[4]Tasa de Falla'!GZ61)</f>
      </c>
      <c r="H62" s="646">
        <f>IF('[4]Tasa de Falla'!HA61=0,"",'[4]Tasa de Falla'!HA61)</f>
      </c>
      <c r="I62" s="646">
        <f>IF('[4]Tasa de Falla'!HB61=0,"",'[4]Tasa de Falla'!HB61)</f>
      </c>
      <c r="J62" s="646">
        <f>IF('[4]Tasa de Falla'!HC61=0,"",'[4]Tasa de Falla'!HC61)</f>
      </c>
      <c r="K62" s="646">
        <f>IF('[4]Tasa de Falla'!HD61=0,"",'[4]Tasa de Falla'!HD61)</f>
      </c>
      <c r="L62" s="646">
        <f>IF('[4]Tasa de Falla'!HE61=0,"",'[4]Tasa de Falla'!HE61)</f>
      </c>
      <c r="M62" s="646">
        <f>IF('[4]Tasa de Falla'!HF61=0,"",'[4]Tasa de Falla'!HF61)</f>
      </c>
      <c r="N62" s="646">
        <f>IF('[4]Tasa de Falla'!HG61=0,"",'[4]Tasa de Falla'!HG61)</f>
      </c>
      <c r="O62" s="646">
        <f>IF('[4]Tasa de Falla'!HH61=0,"",'[4]Tasa de Falla'!HH61)</f>
      </c>
      <c r="P62" s="646">
        <f>IF('[4]Tasa de Falla'!HI61=0,"",'[4]Tasa de Falla'!HI61)</f>
      </c>
      <c r="Q62" s="646">
        <f>IF('[4]Tasa de Falla'!HJ61=0,"",'[4]Tasa de Falla'!HJ61)</f>
      </c>
      <c r="R62" s="646">
        <f>IF('[4]Tasa de Falla'!HK61=0,"",'[4]Tasa de Falla'!HK61)</f>
      </c>
      <c r="S62" s="644"/>
      <c r="T62" s="3"/>
    </row>
    <row r="63" spans="2:20" ht="15" customHeight="1">
      <c r="B63" s="2"/>
      <c r="C63" s="645">
        <f>IF('[4]Tasa de Falla'!C62=0,"",'[4]Tasa de Falla'!C62)</f>
        <v>29</v>
      </c>
      <c r="D63" s="645" t="str">
        <f>IF('[4]Tasa de Falla'!D62=0,"",'[4]Tasa de Falla'!D62)</f>
        <v>ESQUEL-EL COHIUE</v>
      </c>
      <c r="E63" s="645">
        <f>IF('[4]Tasa de Falla'!E62=0,"",'[4]Tasa de Falla'!E62)</f>
        <v>132</v>
      </c>
      <c r="F63" s="645">
        <f>IF('[4]Tasa de Falla'!F62=0,"",'[4]Tasa de Falla'!F62)</f>
        <v>127.98</v>
      </c>
      <c r="G63" s="646">
        <f>IF('[4]Tasa de Falla'!GZ62=0,"",'[4]Tasa de Falla'!GZ62)</f>
      </c>
      <c r="H63" s="646">
        <f>IF('[4]Tasa de Falla'!HA62=0,"",'[4]Tasa de Falla'!HA62)</f>
      </c>
      <c r="I63" s="646">
        <f>IF('[4]Tasa de Falla'!HB62=0,"",'[4]Tasa de Falla'!HB62)</f>
      </c>
      <c r="J63" s="646">
        <f>IF('[4]Tasa de Falla'!HC62=0,"",'[4]Tasa de Falla'!HC62)</f>
      </c>
      <c r="K63" s="646">
        <f>IF('[4]Tasa de Falla'!HD62=0,"",'[4]Tasa de Falla'!HD62)</f>
      </c>
      <c r="L63" s="646">
        <f>IF('[4]Tasa de Falla'!HE62=0,"",'[4]Tasa de Falla'!HE62)</f>
      </c>
      <c r="M63" s="646">
        <f>IF('[4]Tasa de Falla'!HF62=0,"",'[4]Tasa de Falla'!HF62)</f>
      </c>
      <c r="N63" s="646">
        <f>IF('[4]Tasa de Falla'!HG62=0,"",'[4]Tasa de Falla'!HG62)</f>
      </c>
      <c r="O63" s="646">
        <f>IF('[4]Tasa de Falla'!HH62=0,"",'[4]Tasa de Falla'!HH62)</f>
      </c>
      <c r="P63" s="646">
        <f>IF('[4]Tasa de Falla'!HI62=0,"",'[4]Tasa de Falla'!HI62)</f>
        <v>1</v>
      </c>
      <c r="Q63" s="646">
        <f>IF('[4]Tasa de Falla'!HJ62=0,"",'[4]Tasa de Falla'!HJ62)</f>
      </c>
      <c r="R63" s="646">
        <f>IF('[4]Tasa de Falla'!HK62=0,"",'[4]Tasa de Falla'!HK62)</f>
      </c>
      <c r="S63" s="644"/>
      <c r="T63" s="3"/>
    </row>
    <row r="64" spans="2:20" ht="15" customHeight="1">
      <c r="B64" s="2"/>
      <c r="C64" s="645">
        <f>IF('[3]Tasa de Falla'!C63=0,"",'[3]Tasa de Falla'!C63)</f>
      </c>
      <c r="D64" s="645">
        <f>IF('[3]Tasa de Falla'!D63=0,"",'[3]Tasa de Falla'!D63)</f>
      </c>
      <c r="E64" s="645">
        <f>IF('[3]Tasa de Falla'!E63=0,"",'[3]Tasa de Falla'!E63)</f>
      </c>
      <c r="F64" s="645">
        <f>IF('[3]Tasa de Falla'!F63=0,"",'[3]Tasa de Falla'!F63)</f>
      </c>
      <c r="G64" s="646">
        <f>IF('[2]Tasa de Falla'!HA63=0,"",'[2]Tasa de Falla'!HA63)</f>
      </c>
      <c r="H64" s="646">
        <f>IF('[2]Tasa de Falla'!HB63=0,"",'[2]Tasa de Falla'!HB63)</f>
      </c>
      <c r="I64" s="646">
        <f>IF('[2]Tasa de Falla'!HC63=0,"",'[2]Tasa de Falla'!HC63)</f>
      </c>
      <c r="J64" s="646">
        <f>IF('[2]Tasa de Falla'!HD63=0,"",'[2]Tasa de Falla'!HD63)</f>
      </c>
      <c r="K64" s="646">
        <f>IF('[2]Tasa de Falla'!HE63=0,"",'[2]Tasa de Falla'!HE63)</f>
      </c>
      <c r="L64" s="646">
        <f>IF('[2]Tasa de Falla'!HF63=0,"",'[2]Tasa de Falla'!HF63)</f>
      </c>
      <c r="M64" s="646">
        <f>IF('[2]Tasa de Falla'!HG63=0,"",'[2]Tasa de Falla'!HG63)</f>
      </c>
      <c r="N64" s="646">
        <f>IF('[2]Tasa de Falla'!HH63=0,"",'[2]Tasa de Falla'!HH63)</f>
      </c>
      <c r="O64" s="646">
        <f>IF('[2]Tasa de Falla'!HI63=0,"",'[2]Tasa de Falla'!HI63)</f>
      </c>
      <c r="P64" s="646">
        <f>IF('[2]Tasa de Falla'!HJ63=0,"",'[2]Tasa de Falla'!HJ63)</f>
      </c>
      <c r="Q64" s="646">
        <f>IF('[2]Tasa de Falla'!HK63=0,"",'[2]Tasa de Falla'!HK63)</f>
      </c>
      <c r="R64" s="646">
        <f>IF('[2]Tasa de Falla'!HL63=0,"",'[2]Tasa de Falla'!HL63)</f>
      </c>
      <c r="S64" s="644"/>
      <c r="T64" s="3"/>
    </row>
    <row r="65" spans="2:20" ht="15" customHeight="1">
      <c r="B65" s="2"/>
      <c r="C65" s="645"/>
      <c r="D65" s="645">
        <f>IF('[3]Tasa de Falla'!D64=0,"",'[3]Tasa de Falla'!D64)</f>
      </c>
      <c r="E65" s="645">
        <f>IF('[3]Tasa de Falla'!E64=0,"",'[3]Tasa de Falla'!E64)</f>
      </c>
      <c r="F65" s="645">
        <f>IF('[3]Tasa de Falla'!F64=0,"",'[3]Tasa de Falla'!F64)</f>
      </c>
      <c r="G65" s="646">
        <f>IF('[2]Tasa de Falla'!HA64=0,"",'[2]Tasa de Falla'!HA64)</f>
      </c>
      <c r="H65" s="646">
        <f>IF('[2]Tasa de Falla'!HB64=0,"",'[2]Tasa de Falla'!HB64)</f>
      </c>
      <c r="I65" s="646">
        <f>IF('[2]Tasa de Falla'!HC64=0,"",'[2]Tasa de Falla'!HC64)</f>
      </c>
      <c r="J65" s="646">
        <f>IF('[2]Tasa de Falla'!HD64=0,"",'[2]Tasa de Falla'!HD64)</f>
      </c>
      <c r="K65" s="646">
        <f>IF('[2]Tasa de Falla'!HE64=0,"",'[2]Tasa de Falla'!HE64)</f>
      </c>
      <c r="L65" s="646">
        <f>IF('[2]Tasa de Falla'!HF64=0,"",'[2]Tasa de Falla'!HF64)</f>
      </c>
      <c r="M65" s="646">
        <f>IF('[2]Tasa de Falla'!HG64=0,"",'[2]Tasa de Falla'!HG64)</f>
      </c>
      <c r="N65" s="646">
        <f>IF('[2]Tasa de Falla'!HH64=0,"",'[2]Tasa de Falla'!HH64)</f>
      </c>
      <c r="O65" s="646">
        <f>IF('[2]Tasa de Falla'!HI64=0,"",'[2]Tasa de Falla'!HI64)</f>
      </c>
      <c r="P65" s="646">
        <f>IF('[2]Tasa de Falla'!HJ64=0,"",'[2]Tasa de Falla'!HJ64)</f>
      </c>
      <c r="Q65" s="646">
        <f>IF('[2]Tasa de Falla'!HK64=0,"",'[2]Tasa de Falla'!HK64)</f>
      </c>
      <c r="R65" s="646">
        <f>IF('[2]Tasa de Falla'!HL64=0,"",'[2]Tasa de Falla'!HL64)</f>
      </c>
      <c r="S65" s="644"/>
      <c r="T65" s="3"/>
    </row>
    <row r="66" spans="2:20" ht="15" customHeight="1" thickBot="1">
      <c r="B66" s="2"/>
      <c r="C66" s="647"/>
      <c r="D66" s="648"/>
      <c r="E66" s="649"/>
      <c r="F66" s="650"/>
      <c r="G66" s="651">
        <f>IF('[1]Tasa de Falla'!IH51=0,"",'[1]Tasa de Falla'!IH51)</f>
      </c>
      <c r="H66" s="651">
        <f>IF('[1]Tasa de Falla'!II51=0,"",'[1]Tasa de Falla'!II51)</f>
      </c>
      <c r="I66" s="651">
        <f>IF('[1]Tasa de Falla'!IJ51=0,"",'[1]Tasa de Falla'!IJ51)</f>
      </c>
      <c r="J66" s="651">
        <f>IF('[1]Tasa de Falla'!IK51=0,"",'[1]Tasa de Falla'!IK51)</f>
      </c>
      <c r="K66" s="651">
        <f>IF('[1]Tasa de Falla'!IL51=0,"",'[1]Tasa de Falla'!IL51)</f>
      </c>
      <c r="L66" s="651">
        <f>IF('[1]Tasa de Falla'!IM51=0,"",'[1]Tasa de Falla'!IM51)</f>
      </c>
      <c r="M66" s="651">
        <f>IF('[1]Tasa de Falla'!IN51=0,"",'[1]Tasa de Falla'!IN51)</f>
      </c>
      <c r="N66" s="651">
        <f>IF('[1]Tasa de Falla'!IO51=0,"",'[1]Tasa de Falla'!IO51)</f>
      </c>
      <c r="O66" s="651">
        <f>IF('[1]Tasa de Falla'!IP51=0,"",'[1]Tasa de Falla'!IP51)</f>
      </c>
      <c r="P66" s="651">
        <f>IF('[1]Tasa de Falla'!IQ51=0,"",'[1]Tasa de Falla'!IQ51)</f>
      </c>
      <c r="Q66" s="651">
        <f>IF('[1]Tasa de Falla'!IR51=0,"",'[1]Tasa de Falla'!IR51)</f>
      </c>
      <c r="R66" s="651">
        <f>IF('[1]Tasa de Falla'!IS51=0,"",'[1]Tasa de Falla'!IS51)</f>
      </c>
      <c r="S66" s="644"/>
      <c r="T66" s="3"/>
    </row>
    <row r="67" spans="2:20" ht="15" customHeight="1" thickBot="1" thickTop="1">
      <c r="B67" s="2"/>
      <c r="C67" s="73"/>
      <c r="D67" s="178"/>
      <c r="E67" s="652" t="s">
        <v>261</v>
      </c>
      <c r="F67" s="653">
        <f>SUM(F18:F66)-F18-F32-F35-F36-F48-F52-F54-F58</f>
        <v>2989.96</v>
      </c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4"/>
      <c r="S67" s="644"/>
      <c r="T67" s="3"/>
    </row>
    <row r="68" spans="2:20" ht="15" customHeight="1" thickBot="1" thickTop="1">
      <c r="B68" s="2"/>
      <c r="C68" s="30"/>
      <c r="D68" s="655"/>
      <c r="E68" s="656"/>
      <c r="F68" s="657" t="s">
        <v>262</v>
      </c>
      <c r="G68" s="658">
        <f aca="true" t="shared" si="0" ref="G68:R68">SUM(G17:G65)</f>
        <v>0</v>
      </c>
      <c r="H68" s="658">
        <f t="shared" si="0"/>
        <v>1</v>
      </c>
      <c r="I68" s="658">
        <f t="shared" si="0"/>
        <v>5</v>
      </c>
      <c r="J68" s="658">
        <f t="shared" si="0"/>
        <v>4</v>
      </c>
      <c r="K68" s="658">
        <f t="shared" si="0"/>
        <v>6</v>
      </c>
      <c r="L68" s="658">
        <f t="shared" si="0"/>
        <v>5</v>
      </c>
      <c r="M68" s="658">
        <f t="shared" si="0"/>
        <v>4</v>
      </c>
      <c r="N68" s="658">
        <f t="shared" si="0"/>
        <v>2</v>
      </c>
      <c r="O68" s="658">
        <f t="shared" si="0"/>
        <v>0</v>
      </c>
      <c r="P68" s="658">
        <f t="shared" si="0"/>
        <v>2</v>
      </c>
      <c r="Q68" s="658">
        <f t="shared" si="0"/>
        <v>2</v>
      </c>
      <c r="R68" s="658">
        <f t="shared" si="0"/>
        <v>1</v>
      </c>
      <c r="S68" s="659"/>
      <c r="T68" s="3"/>
    </row>
    <row r="69" spans="2:20" ht="17.25" thickBot="1" thickTop="1">
      <c r="B69" s="2"/>
      <c r="C69" s="656"/>
      <c r="D69" s="656"/>
      <c r="E69" s="30"/>
      <c r="F69" s="660" t="s">
        <v>263</v>
      </c>
      <c r="G69" s="661">
        <f>+'[4]Tasa de Falla'!GZ72</f>
        <v>1.17</v>
      </c>
      <c r="H69" s="661">
        <f>+'[4]Tasa de Falla'!HA72</f>
        <v>1</v>
      </c>
      <c r="I69" s="661">
        <f>+'[4]Tasa de Falla'!HB72</f>
        <v>0.84</v>
      </c>
      <c r="J69" s="661">
        <f>+'[4]Tasa de Falla'!HC72</f>
        <v>0.94</v>
      </c>
      <c r="K69" s="661">
        <f>+'[4]Tasa de Falla'!HD72</f>
        <v>1.04</v>
      </c>
      <c r="L69" s="661">
        <f>+'[4]Tasa de Falla'!HE72</f>
        <v>1.14</v>
      </c>
      <c r="M69" s="661">
        <f>+'[4]Tasa de Falla'!HF72</f>
        <v>1.07</v>
      </c>
      <c r="N69" s="661">
        <f>+'[4]Tasa de Falla'!HG72</f>
        <v>1.14</v>
      </c>
      <c r="O69" s="661">
        <f>+'[4]Tasa de Falla'!HH72</f>
        <v>1.17</v>
      </c>
      <c r="P69" s="661">
        <f>+'[4]Tasa de Falla'!HI72</f>
        <v>1.1</v>
      </c>
      <c r="Q69" s="661">
        <f>+'[4]Tasa de Falla'!HJ72</f>
        <v>1.1</v>
      </c>
      <c r="R69" s="661">
        <f>+'[4]Tasa de Falla'!HK72</f>
        <v>1.1</v>
      </c>
      <c r="S69" s="661">
        <f>+'[4]Tasa de Falla'!HL72</f>
        <v>1.07</v>
      </c>
      <c r="T69" s="3"/>
    </row>
    <row r="70" spans="2:20" ht="18.75" customHeight="1" thickBot="1" thickTop="1">
      <c r="B70" s="2"/>
      <c r="C70" s="662" t="s">
        <v>264</v>
      </c>
      <c r="D70" s="30" t="s">
        <v>265</v>
      </c>
      <c r="E70" s="663"/>
      <c r="F70" s="664"/>
      <c r="G70" s="665"/>
      <c r="H70" s="665"/>
      <c r="I70" s="665"/>
      <c r="J70" s="665"/>
      <c r="K70" s="665"/>
      <c r="L70" s="665"/>
      <c r="M70" s="665"/>
      <c r="N70" s="665"/>
      <c r="O70" s="665"/>
      <c r="P70" s="665"/>
      <c r="Q70" s="665"/>
      <c r="R70" s="665"/>
      <c r="S70" s="665"/>
      <c r="T70" s="60"/>
    </row>
    <row r="71" spans="2:20" ht="17.25" thickBot="1" thickTop="1">
      <c r="B71" s="666"/>
      <c r="C71" s="667"/>
      <c r="D71" s="667"/>
      <c r="H71" s="668" t="s">
        <v>266</v>
      </c>
      <c r="I71" s="669"/>
      <c r="J71" s="670">
        <f>S69</f>
        <v>1.07</v>
      </c>
      <c r="K71" s="671" t="s">
        <v>267</v>
      </c>
      <c r="L71" s="671"/>
      <c r="M71" s="672"/>
      <c r="N71" s="667"/>
      <c r="O71" s="667"/>
      <c r="P71" s="667"/>
      <c r="Q71" s="667"/>
      <c r="R71" s="667"/>
      <c r="S71" s="667"/>
      <c r="T71" s="3"/>
    </row>
    <row r="72" spans="2:20" ht="18.75" customHeight="1" thickBot="1" thickTop="1">
      <c r="B72" s="673"/>
      <c r="C72" s="674"/>
      <c r="D72" s="48"/>
      <c r="E72" s="48"/>
      <c r="F72" s="675"/>
      <c r="G72" s="676"/>
      <c r="H72" s="676"/>
      <c r="I72" s="676"/>
      <c r="J72" s="676"/>
      <c r="K72" s="676"/>
      <c r="L72" s="676"/>
      <c r="M72" s="676"/>
      <c r="N72" s="676"/>
      <c r="O72" s="676"/>
      <c r="P72" s="676"/>
      <c r="Q72" s="676"/>
      <c r="R72" s="676"/>
      <c r="S72" s="676"/>
      <c r="T72" s="677"/>
    </row>
    <row r="73" ht="13.5" thickTop="1"/>
  </sheetData>
  <sheetProtection/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2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Silvia Forchiniti</cp:lastModifiedBy>
  <cp:lastPrinted>2013-11-21T15:57:25Z</cp:lastPrinted>
  <dcterms:created xsi:type="dcterms:W3CDTF">2000-10-04T20:14:32Z</dcterms:created>
  <dcterms:modified xsi:type="dcterms:W3CDTF">2014-04-04T14:40:22Z</dcterms:modified>
  <cp:category/>
  <cp:version/>
  <cp:contentType/>
  <cp:contentStatus/>
</cp:coreProperties>
</file>