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75" windowWidth="11970" windowHeight="3720" activeTab="0"/>
  </bookViews>
  <sheets>
    <sheet name="TOT-1012" sheetId="1" r:id="rId1"/>
    <sheet name="LI-10 (1)" sheetId="2" r:id="rId2"/>
    <sheet name="LI-10 (2)" sheetId="3" r:id="rId3"/>
    <sheet name="T-10 (1)" sheetId="4" r:id="rId4"/>
    <sheet name="SA-10 (1)" sheetId="5" r:id="rId5"/>
    <sheet name="TASA FALLA" sheetId="6" r:id="rId6"/>
    <sheet name="DATO" sheetId="7" r:id="rId7"/>
  </sheets>
  <externalReferences>
    <externalReference r:id="rId10"/>
    <externalReference r:id="rId11"/>
  </externalReferences>
  <definedNames>
    <definedName name="_xlnm.Print_Area" localSheetId="5">'TASA FALLA'!$A$1:$T$43</definedName>
    <definedName name="DD" localSheetId="5">'TASA FALLA'!DD</definedName>
    <definedName name="DD">[0]!DD</definedName>
    <definedName name="DDD" localSheetId="5">'TASA FALLA'!DDD</definedName>
    <definedName name="DDD">[0]!DDD</definedName>
    <definedName name="DISTROCUYO">[0]!DISTROCUYO</definedName>
    <definedName name="INICIO" localSheetId="5">'TASA FALLA'!INICIO</definedName>
    <definedName name="INICIO">[0]!INICIO</definedName>
    <definedName name="INICIOTI" localSheetId="5">'TASA FALLA'!INICIOTI</definedName>
    <definedName name="INICIOTI">[0]!INICIOTI</definedName>
    <definedName name="LINEAS" localSheetId="5">'TASA FALLA'!LINEAS</definedName>
    <definedName name="LINEAS">[0]!LINEAS</definedName>
    <definedName name="LINEASTI" localSheetId="5">'TASA FALLA'!LINEASTI</definedName>
    <definedName name="LINEASTI">[0]!LINEASTI</definedName>
    <definedName name="NAME_L" localSheetId="5">'TASA FALLA'!NAME_L</definedName>
    <definedName name="NAME_L">[0]!NAME_L</definedName>
    <definedName name="NAME_L_TI" localSheetId="5">'TASA FALLA'!NAME_L_TI</definedName>
    <definedName name="NAME_L_TI">[0]!NAME_L_TI</definedName>
    <definedName name="TRAN">[0]!TRAN</definedName>
    <definedName name="TRANSNOA" localSheetId="5">'TASA FALLA'!TRANSNOA</definedName>
    <definedName name="TRANSNOA">[0]!TRANSNOA</definedName>
    <definedName name="TRANSPA" localSheetId="5">'TASA FALLA'!TRANSPA</definedName>
    <definedName name="TRANSPA">[0]!TRANSPA</definedName>
    <definedName name="x">[0]!x</definedName>
    <definedName name="XX">[0]!XX</definedName>
    <definedName name="Z_CED65634_EC76_48B7_BCDE_CE4F22E2E6C4_.wvu.PrintArea" localSheetId="5" hidden="1">'TASA FALLA'!$A$1:$T$43</definedName>
    <definedName name="Z_CED65634_EC76_48B7_BCDE_CE4F22E2E6C4_.wvu.Rows" localSheetId="5" hidden="1">'TASA FALLA'!$16:$16</definedName>
  </definedNames>
  <calcPr fullCalcOnLoad="1"/>
</workbook>
</file>

<file path=xl/sharedStrings.xml><?xml version="1.0" encoding="utf-8"?>
<sst xmlns="http://schemas.openxmlformats.org/spreadsheetml/2006/main" count="382" uniqueCount="177">
  <si>
    <t>SISTEMA DE TRANSPORTE DE ENERGÍA ELÉCTRICA POR DISTRIBUCIÓN TRONCAL</t>
  </si>
  <si>
    <t>DISTROCUYO S.A.</t>
  </si>
  <si>
    <t>LÍNEAS</t>
  </si>
  <si>
    <t xml:space="preserve">ENTE NACIONAL REGULADOR </t>
  </si>
  <si>
    <t>DE LA ELECTRICIDAD</t>
  </si>
  <si>
    <t>Sanciones duplicadas por tasa de falla &gt; 4 Sal. x año/100km.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</si>
  <si>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</si>
  <si>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</si>
  <si>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</si>
  <si>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</si>
  <si>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</si>
  <si>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</si>
  <si>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</si>
  <si>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</si>
  <si>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SISTEMA DE TRANSPORTE DE ENERGÍA ELÉCTRICA POR DISTRIBUCIÓN TRONCAL - DISTROCUYO S.A.</t>
  </si>
  <si>
    <t>1.- LÍNEAS</t>
  </si>
  <si>
    <t xml:space="preserve">$/100 km-h : LÍNEAS 220 kV </t>
  </si>
  <si>
    <t xml:space="preserve">$/100 km-h : LÍNEAS 132 kV </t>
  </si>
  <si>
    <t>FACTOR DE PENALIZACIÓN   K=</t>
  </si>
  <si>
    <t xml:space="preserve">$/100 km-h : LÍNEAS 66 kV </t>
  </si>
  <si>
    <t>N°</t>
  </si>
  <si>
    <t>U
[kV]</t>
  </si>
  <si>
    <t>Long.
[km]</t>
  </si>
  <si>
    <t>$/h</t>
  </si>
  <si>
    <t>Salida</t>
  </si>
  <si>
    <t>Entrada</t>
  </si>
  <si>
    <t>Hs. 
Indisp</t>
  </si>
  <si>
    <t>Minutos
Indisp.</t>
  </si>
  <si>
    <t>C.R.
%</t>
  </si>
  <si>
    <t>PENALIZ.
PROGRAM.</t>
  </si>
  <si>
    <t>REDUCC.
PROGRAM.</t>
  </si>
  <si>
    <t>PENALIZACIÓN FORZADA
Por Salida   1ras. 3 hs.   hs. Restantes</t>
  </si>
  <si>
    <t>REDUCC. FORZADA
Por Salida   1ras. 3 hs.   hs. Restantes</t>
  </si>
  <si>
    <t>RESTANTE
FORZADA</t>
  </si>
  <si>
    <t>REDUCC.
RESTANTE</t>
  </si>
  <si>
    <t>Informó
en Térm.</t>
  </si>
  <si>
    <t>TOTAL
PENALIZAC.</t>
  </si>
  <si>
    <t>2.- CONEXIÓN</t>
  </si>
  <si>
    <t>2.1.- Transformación</t>
  </si>
  <si>
    <t>Por Transformador por MVA    $ =</t>
  </si>
  <si>
    <t>Coeficiente de penalización por salida forzada   =</t>
  </si>
  <si>
    <t>ESTACIÓN 
TRANSFORMADORA</t>
  </si>
  <si>
    <t>EQUIPO</t>
  </si>
  <si>
    <t>POT.
[MVA]</t>
  </si>
  <si>
    <t>Hs
Indisp.</t>
  </si>
  <si>
    <t>Minutos.
Indisp.</t>
  </si>
  <si>
    <t>AUT.</t>
  </si>
  <si>
    <t>E.N.S.</t>
  </si>
  <si>
    <t>K (P y ENS)</t>
  </si>
  <si>
    <t>PENALIZACIÓN FORZADA
Por Salida   hs. Restantes</t>
  </si>
  <si>
    <t>REDUCC. FORZADA
Por Salida   hs. Restantes</t>
  </si>
  <si>
    <t>Informó 
en Térm.</t>
  </si>
  <si>
    <t>SISTEMA DE TRANSPORTE DE ENERGÍA ELÉCTRICA POR DISTRIBUCIÓN TRONCAL -  DISTROCUYO S.A.</t>
  </si>
  <si>
    <t>2.2.- Salidas</t>
  </si>
  <si>
    <t>Salida en 220 kV</t>
  </si>
  <si>
    <t xml:space="preserve">Salida en 132 kV o 66 kV = </t>
  </si>
  <si>
    <t xml:space="preserve">Salida en 33 kV </t>
  </si>
  <si>
    <t>Salida en 13,2 kV =</t>
  </si>
  <si>
    <t>K (U)</t>
  </si>
  <si>
    <t>PENALIZAC.
PROGRAM.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</si>
  <si>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</si>
  <si>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</si>
  <si>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</si>
  <si>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</si>
  <si>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</si>
  <si>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</si>
  <si>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</si>
  <si>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</si>
  <si>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</si>
  <si>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</si>
  <si>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</si>
  <si>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</si>
  <si>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</si>
  <si>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INDISP</t>
  </si>
  <si>
    <t>ID EQUIPO</t>
  </si>
  <si>
    <t>Mes</t>
  </si>
  <si>
    <t>Dia</t>
  </si>
  <si>
    <t>Año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</si>
  <si>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</si>
  <si>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</si>
  <si>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</si>
  <si>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</si>
  <si>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</si>
  <si>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</si>
  <si>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</si>
  <si>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</si>
  <si>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</si>
  <si>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</si>
  <si>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</si>
  <si>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</si>
  <si>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Total</t>
  </si>
  <si>
    <t>B14</t>
  </si>
  <si>
    <t>Hoja</t>
  </si>
  <si>
    <t>FilaInicio</t>
  </si>
  <si>
    <t>FilasPlantilla</t>
  </si>
  <si>
    <t>Columnas</t>
  </si>
  <si>
    <t>NombreHoja</t>
  </si>
  <si>
    <t>OrigenDeDatos</t>
  </si>
  <si>
    <t>Col01</t>
  </si>
  <si>
    <t>Col02</t>
  </si>
  <si>
    <t>Col03</t>
  </si>
  <si>
    <t>Col04</t>
  </si>
  <si>
    <t>Col05</t>
  </si>
  <si>
    <t>Col06</t>
  </si>
  <si>
    <t>Col07</t>
  </si>
  <si>
    <t>Col08</t>
  </si>
  <si>
    <t>Col09</t>
  </si>
  <si>
    <t>Col10</t>
  </si>
  <si>
    <t>Col11</t>
  </si>
  <si>
    <t>Col12</t>
  </si>
  <si>
    <t>Col13</t>
  </si>
  <si>
    <t>Col14</t>
  </si>
  <si>
    <t>Col15</t>
  </si>
  <si>
    <t>FILHTOTAL</t>
  </si>
  <si>
    <t>COLHTOTAL</t>
  </si>
  <si>
    <t>FILHCALC</t>
  </si>
  <si>
    <t>COLHCALC</t>
  </si>
  <si>
    <t>FILTRANSP</t>
  </si>
  <si>
    <t>COLTRANSP</t>
  </si>
  <si>
    <t>COL TSAL</t>
  </si>
  <si>
    <t>MODELO L</t>
  </si>
  <si>
    <t>MODELO T</t>
  </si>
  <si>
    <t>MODELO S</t>
  </si>
  <si>
    <t>MODELO VST</t>
  </si>
  <si>
    <t>DISTROCUYO_CAUSAS_VST.XLS</t>
  </si>
  <si>
    <t>ID</t>
  </si>
  <si>
    <t>DISTROCUYO_INDISPONIBILIDADES_LINEAS_DISTROCUYO.XLS</t>
  </si>
  <si>
    <t>DISTROCUYO_INDISPONIBILIDADES_TRAFOS_DISTROCUYO.XLS</t>
  </si>
  <si>
    <t>DISTROCUYO_INDISPONIBILIDADES_SALIDAS_DISTROCUYO.XLS</t>
  </si>
  <si>
    <t>Desde el 01 al 31 de octubre de 2012</t>
  </si>
  <si>
    <t>AGUA DEL TORO - CRUZ DE PIEDRA</t>
  </si>
  <si>
    <t>P</t>
  </si>
  <si>
    <t>0,000</t>
  </si>
  <si>
    <t>ANCHORIS - CRUZ DE PIEDRA</t>
  </si>
  <si>
    <t>CRUZ DE PIEDRA - SAN JUAN</t>
  </si>
  <si>
    <t>F</t>
  </si>
  <si>
    <t>CAPIZ - PEDRO VARGAS</t>
  </si>
  <si>
    <t>CRUZ DE PIEDRA - LUJAN DE CUYO 2</t>
  </si>
  <si>
    <t>CRUZ DE PIEDRA - CAÑADA HONDA</t>
  </si>
  <si>
    <t>SI</t>
  </si>
  <si>
    <t>SAN JUAN</t>
  </si>
  <si>
    <t>132/33/13,2</t>
  </si>
  <si>
    <t>AUTOTRAFO 1</t>
  </si>
  <si>
    <t>CRUZ DE PIEDRA</t>
  </si>
  <si>
    <t>LINEA RONCHI</t>
  </si>
  <si>
    <t>LINEA RUSELL</t>
  </si>
  <si>
    <t>PATAGONIA</t>
  </si>
  <si>
    <t>LINEA TRES ESQUINAS</t>
  </si>
  <si>
    <t>LINEA VIDELA ARANDA</t>
  </si>
  <si>
    <t>LINEA CESPEDES</t>
  </si>
  <si>
    <t>LINEA BARRANCAS</t>
  </si>
  <si>
    <t>TRAFO SS AA TURBOGAS</t>
  </si>
  <si>
    <t>LINEA GODOY CRUZ</t>
  </si>
  <si>
    <t>SAN JUAN - CAÑADA HONDA   1</t>
  </si>
  <si>
    <t>P - PROGRAMADA  ; F - FORZADA</t>
  </si>
  <si>
    <r>
      <t>(</t>
    </r>
    <r>
      <rPr>
        <sz val="9"/>
        <rFont val="Wingdings"/>
        <family val="0"/>
      </rPr>
      <t>²</t>
    </r>
    <r>
      <rPr>
        <sz val="9"/>
        <rFont val="Times New Roman"/>
        <family val="1"/>
      </rPr>
      <t>)</t>
    </r>
  </si>
  <si>
    <t xml:space="preserve">P - PROGRAMADA </t>
  </si>
  <si>
    <t xml:space="preserve">TRAFO 1 </t>
  </si>
  <si>
    <t>13,2/13,2</t>
  </si>
  <si>
    <t>TRAFO 4</t>
  </si>
  <si>
    <t>220/132/13,2</t>
  </si>
  <si>
    <t xml:space="preserve">SISTEMA DE TRANSPORTE DE ENERGÍA ELÉCTRICA POR DISTRIBUCIÓN TRONCAL </t>
  </si>
  <si>
    <t>INDISPONIBILIDADES FORZADAS DE LÍNEAS - TASA DE FALLA</t>
  </si>
  <si>
    <t>LINEAS</t>
  </si>
  <si>
    <t xml:space="preserve">Longitud Total </t>
  </si>
  <si>
    <t xml:space="preserve">Indisponibilidades Forzadas </t>
  </si>
  <si>
    <t xml:space="preserve">TASA DE FALLA </t>
  </si>
  <si>
    <t>TASA DE FALLA</t>
  </si>
  <si>
    <t>SALIDAS x AÑO/ 100 km</t>
  </si>
  <si>
    <t>ANEXO V al Memorándum  D.T.E.E.  N°         /2013</t>
  </si>
  <si>
    <t>TOTAL DE PENALIZACIONES A APLICAR</t>
  </si>
  <si>
    <t>Valores remuneratorios según Res. ENRE 329/08 y Res. ENRE 656/08</t>
  </si>
  <si>
    <t>Convenio de Renovación del Acuerdo Instrumental del Acta Acuerdo UNIREN - DISTROCUYO S.A."</t>
  </si>
  <si>
    <t xml:space="preserve">(Dec. PEN Nº 1464/05) </t>
  </si>
  <si>
    <t>RF</t>
  </si>
  <si>
    <t>P - PROGRAMADA  ; F - FORZADA  ; RF - RESTANTE FORZADA</t>
  </si>
  <si>
    <t>Tasa de falla Correspondiente al mes de octubre de 2012</t>
  </si>
</sst>
</file>

<file path=xl/styles.xml><?xml version="1.0" encoding="utf-8"?>
<styleSheet xmlns="http://schemas.openxmlformats.org/spreadsheetml/2006/main">
  <numFmts count="7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000000_)"/>
    <numFmt numFmtId="171" formatCode="#,##0.0000"/>
    <numFmt numFmtId="172" formatCode="0.00_)"/>
    <numFmt numFmtId="173" formatCode="0.0"/>
    <numFmt numFmtId="174" formatCode="&quot;$&quot;\ #,##0.000;&quot;$&quot;\ \-#,##0.000"/>
    <numFmt numFmtId="175" formatCode="#,##0.0"/>
    <numFmt numFmtId="176" formatCode="0.000"/>
    <numFmt numFmtId="177" formatCode="0.0\ \k\V"/>
    <numFmt numFmtId="178" formatCode="0.00\ &quot;km&quot;"/>
    <numFmt numFmtId="179" formatCode="0.00\ &quot;MVA&quot;"/>
    <numFmt numFmtId="180" formatCode="d/m/yy\ h:mm"/>
    <numFmt numFmtId="181" formatCode="mmm\-yyyy"/>
    <numFmt numFmtId="182" formatCode="0#"/>
    <numFmt numFmtId="183" formatCode="d\ &quot;días&quot;\ \ h:mm\ &quot;horas&quot;"/>
    <numFmt numFmtId="184" formatCode="dd/mm/yy"/>
    <numFmt numFmtId="185" formatCode="#,##0.00000"/>
    <numFmt numFmtId="186" formatCode="0.000_)"/>
    <numFmt numFmtId="187" formatCode="#,##0;[Red]#,##0"/>
    <numFmt numFmtId="188" formatCode="#,##0.000000"/>
    <numFmt numFmtId="189" formatCode="#&quot;.&quot;#&quot;.-&quot;"/>
    <numFmt numFmtId="190" formatCode="#&quot;.&quot;#&quot;.&quot;#&quot;.-&quot;"/>
    <numFmt numFmtId="191" formatCode="&quot;$&quot;#,##0.00;&quot;$&quot;\-#,##0.00"/>
    <numFmt numFmtId="192" formatCode="&quot;$&quot;#,##0.00"/>
    <numFmt numFmtId="193" formatCode="#,##0.00;[Red]#,##0.00"/>
    <numFmt numFmtId="194" formatCode="&quot;$&quot;\ #,##0.00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&quot;$&quot;\ #,##0.0;&quot;$&quot;\ \-#,##0.0"/>
    <numFmt numFmtId="200" formatCode="&quot;$&quot;\ #,##0.0000;&quot;$&quot;\ \-#,##0.0000"/>
    <numFmt numFmtId="201" formatCode="&quot;$&quot;\ #,##0.00000;&quot;$&quot;\ \-#,##0.00000"/>
    <numFmt numFmtId="202" formatCode="&quot;$&quot;\ #,##0.000000;&quot;$&quot;\ \-#,##0.000000"/>
    <numFmt numFmtId="203" formatCode="&quot;$&quot;#,##0.0;&quot;$&quot;\-#,##0.0"/>
    <numFmt numFmtId="204" formatCode="&quot;$&quot;#,##0;&quot;$&quot;\-#,##0"/>
    <numFmt numFmtId="205" formatCode="&quot;$&quot;\ #,##0.0000000;&quot;$&quot;\ \-#,##0.000000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d\-m"/>
    <numFmt numFmtId="210" formatCode="dd/mm/\a\a\a\a\ hh:\n\n"/>
    <numFmt numFmtId="211" formatCode="d\-m\-yy\ h:mm"/>
    <numFmt numFmtId="212" formatCode="#,##0\ &quot;€&quot;;\-#,##0\ &quot;€&quot;"/>
    <numFmt numFmtId="213" formatCode="#,##0\ &quot;€&quot;;[Red]\-#,##0\ &quot;€&quot;"/>
    <numFmt numFmtId="214" formatCode="#,##0.00\ &quot;€&quot;;\-#,##0.00\ &quot;€&quot;"/>
    <numFmt numFmtId="215" formatCode="#,##0.00\ &quot;€&quot;;[Red]\-#,##0.00\ &quot;€&quot;"/>
    <numFmt numFmtId="216" formatCode="_-* #,##0\ &quot;€&quot;_-;\-* #,##0\ &quot;€&quot;_-;_-* &quot;-&quot;\ &quot;€&quot;_-;_-@_-"/>
    <numFmt numFmtId="217" formatCode="_-* #,##0\ _€_-;\-* #,##0\ _€_-;_-* &quot;-&quot;\ _€_-;_-@_-"/>
    <numFmt numFmtId="218" formatCode="_-* #,##0.00\ &quot;€&quot;_-;\-* #,##0.00\ &quot;€&quot;_-;_-* &quot;-&quot;??\ &quot;€&quot;_-;_-@_-"/>
    <numFmt numFmtId="219" formatCode="_-* #,##0.00\ _€_-;\-* #,##0.00\ _€_-;_-* &quot;-&quot;??\ _€_-;_-@_-"/>
    <numFmt numFmtId="220" formatCode="#,##0.000_);[Red]\(#,##0.000\)"/>
    <numFmt numFmtId="221" formatCode="#,##0.0000_);[Red]\(#,##0.0000\)"/>
    <numFmt numFmtId="222" formatCode="#,##0.00000_);[Red]\(#,##0.00000\)"/>
    <numFmt numFmtId="223" formatCode="#,##0.000000_);[Red]\(#,##0.000000\)"/>
    <numFmt numFmtId="224" formatCode="0.0000"/>
    <numFmt numFmtId="225" formatCode="[$€-2]\ #,##0.00_);[Red]\([$€-2]\ #,##0.00\)"/>
    <numFmt numFmtId="226" formatCode="[$-2C0A]dddd\,\ dd&quot; de &quot;mmmm&quot; de &quot;yyyy"/>
    <numFmt numFmtId="227" formatCode="[$-2C0A]hh:mm:ss\ a.m./p.m."/>
  </numFmts>
  <fonts count="94">
    <font>
      <sz val="10"/>
      <name val="Arial"/>
      <family val="0"/>
    </font>
    <font>
      <sz val="10"/>
      <name val="MS Sans Serif"/>
      <family val="0"/>
    </font>
    <font>
      <b/>
      <sz val="12"/>
      <name val="Times New Roman"/>
      <family val="1"/>
    </font>
    <font>
      <b/>
      <sz val="10"/>
      <name val="Times New Roman"/>
      <family val="0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10"/>
      <name val="MS Sans Serif"/>
      <family val="2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MS Sans Serif"/>
      <family val="0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MS Sans Serif"/>
      <family val="2"/>
    </font>
    <font>
      <sz val="11"/>
      <color indexed="48"/>
      <name val="MS Sans Serif"/>
      <family val="2"/>
    </font>
    <font>
      <sz val="10"/>
      <name val="Wingdings"/>
      <family val="0"/>
    </font>
    <font>
      <sz val="11"/>
      <color indexed="56"/>
      <name val="MS Sans Serif"/>
      <family val="2"/>
    </font>
    <font>
      <sz val="11"/>
      <color indexed="27"/>
      <name val="MS Sans Serif"/>
      <family val="2"/>
    </font>
    <font>
      <sz val="11"/>
      <color indexed="10"/>
      <name val="MS Sans Serif"/>
      <family val="2"/>
    </font>
    <font>
      <sz val="11"/>
      <color indexed="58"/>
      <name val="MS Sans Serif"/>
      <family val="2"/>
    </font>
    <font>
      <sz val="11"/>
      <color indexed="47"/>
      <name val="MS Sans Serif"/>
      <family val="2"/>
    </font>
    <font>
      <sz val="10"/>
      <color indexed="48"/>
      <name val="Times New Roman"/>
      <family val="1"/>
    </font>
    <font>
      <b/>
      <sz val="10"/>
      <color indexed="56"/>
      <name val="Times New Roman"/>
      <family val="0"/>
    </font>
    <font>
      <b/>
      <sz val="10"/>
      <color indexed="27"/>
      <name val="Times New Roman"/>
      <family val="0"/>
    </font>
    <font>
      <b/>
      <sz val="10"/>
      <color indexed="10"/>
      <name val="Times New Roman"/>
      <family val="0"/>
    </font>
    <font>
      <b/>
      <sz val="10"/>
      <color indexed="58"/>
      <name val="Times New Roman"/>
      <family val="0"/>
    </font>
    <font>
      <b/>
      <sz val="10"/>
      <color indexed="47"/>
      <name val="Times New Roman"/>
      <family val="0"/>
    </font>
    <font>
      <sz val="11"/>
      <name val="Times New Roman"/>
      <family val="1"/>
    </font>
    <font>
      <sz val="7"/>
      <name val="Times New Roman"/>
      <family val="1"/>
    </font>
    <font>
      <sz val="7"/>
      <name val="Courier New"/>
      <family val="3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1"/>
    </font>
    <font>
      <sz val="11"/>
      <color indexed="9"/>
      <name val="MS Sans Serif"/>
      <family val="2"/>
    </font>
    <font>
      <sz val="11"/>
      <color indexed="26"/>
      <name val="MS Sans Serif"/>
      <family val="2"/>
    </font>
    <font>
      <b/>
      <sz val="10"/>
      <color indexed="48"/>
      <name val="Times New Roman"/>
      <family val="1"/>
    </font>
    <font>
      <b/>
      <sz val="10"/>
      <color indexed="9"/>
      <name val="Times New Roman"/>
      <family val="0"/>
    </font>
    <font>
      <b/>
      <sz val="10"/>
      <color indexed="26"/>
      <name val="Times New Roman"/>
      <family val="0"/>
    </font>
    <font>
      <b/>
      <u val="double"/>
      <sz val="10"/>
      <name val="Times New Roman"/>
      <family val="1"/>
    </font>
    <font>
      <sz val="10"/>
      <color indexed="8"/>
      <name val="MS Sans Serif"/>
      <family val="2"/>
    </font>
    <font>
      <sz val="11"/>
      <color indexed="50"/>
      <name val="MS Sans Serif"/>
      <family val="2"/>
    </font>
    <font>
      <sz val="10"/>
      <color indexed="9"/>
      <name val="Times New Roman"/>
      <family val="1"/>
    </font>
    <font>
      <b/>
      <sz val="10"/>
      <color indexed="50"/>
      <name val="Times New Roman"/>
      <family val="1"/>
    </font>
    <font>
      <sz val="10"/>
      <color indexed="18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0"/>
    </font>
    <font>
      <sz val="8"/>
      <name val="MS Sans Serif"/>
      <family val="2"/>
    </font>
    <font>
      <sz val="10"/>
      <color indexed="50"/>
      <name val="MS Sans Serif"/>
      <family val="2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9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4"/>
      <name val="Times New Roman"/>
      <family val="1"/>
    </font>
    <font>
      <b/>
      <u val="single"/>
      <sz val="24"/>
      <name val="Times New Roman"/>
      <family val="1"/>
    </font>
    <font>
      <b/>
      <u val="single"/>
      <sz val="8"/>
      <name val="Arial"/>
      <family val="0"/>
    </font>
    <font>
      <b/>
      <sz val="10"/>
      <name val="Arial"/>
      <family val="2"/>
    </font>
    <font>
      <b/>
      <u val="single"/>
      <sz val="20"/>
      <name val="Arial"/>
      <family val="0"/>
    </font>
    <font>
      <b/>
      <u val="single"/>
      <sz val="18"/>
      <name val="Times New Roman"/>
      <family val="1"/>
    </font>
    <font>
      <sz val="12"/>
      <name val="Arial"/>
      <family val="0"/>
    </font>
    <font>
      <sz val="14"/>
      <name val="Arial Narrow"/>
      <family val="2"/>
    </font>
    <font>
      <b/>
      <sz val="14"/>
      <name val="Arial Narrow"/>
      <family val="2"/>
    </font>
    <font>
      <b/>
      <u val="single"/>
      <sz val="12"/>
      <name val="Arial"/>
      <family val="0"/>
    </font>
    <font>
      <b/>
      <i/>
      <sz val="12"/>
      <name val="MS Sans Serif"/>
      <family val="2"/>
    </font>
    <font>
      <b/>
      <sz val="12"/>
      <name val="MS Sans Serif"/>
      <family val="2"/>
    </font>
    <font>
      <b/>
      <i/>
      <sz val="12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gray125">
        <fgColor indexed="8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6" fillId="4" borderId="0" applyNumberFormat="0" applyBorder="0" applyAlignment="0" applyProtection="0"/>
    <xf numFmtId="0" fontId="67" fillId="16" borderId="1" applyNumberFormat="0" applyAlignment="0" applyProtection="0"/>
    <xf numFmtId="0" fontId="68" fillId="17" borderId="2" applyNumberFormat="0" applyAlignment="0" applyProtection="0"/>
    <xf numFmtId="0" fontId="69" fillId="0" borderId="3" applyNumberFormat="0" applyFill="0" applyAlignment="0" applyProtection="0"/>
    <xf numFmtId="0" fontId="70" fillId="0" borderId="0" applyNumberFormat="0" applyFill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21" borderId="0" applyNumberFormat="0" applyBorder="0" applyAlignment="0" applyProtection="0"/>
    <xf numFmtId="0" fontId="71" fillId="7" borderId="1" applyNumberFormat="0" applyAlignment="0" applyProtection="0"/>
    <xf numFmtId="0" fontId="5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2" fillId="3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74" fillId="16" borderId="5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0" fillId="0" borderId="8" applyNumberFormat="0" applyFill="0" applyAlignment="0" applyProtection="0"/>
    <xf numFmtId="0" fontId="80" fillId="0" borderId="9" applyNumberFormat="0" applyFill="0" applyAlignment="0" applyProtection="0"/>
  </cellStyleXfs>
  <cellXfs count="504">
    <xf numFmtId="0" fontId="0" fillId="0" borderId="0" xfId="0" applyAlignment="1">
      <alignment/>
    </xf>
    <xf numFmtId="0" fontId="1" fillId="0" borderId="0" xfId="54">
      <alignment/>
      <protection/>
    </xf>
    <xf numFmtId="0" fontId="1" fillId="0" borderId="0" xfId="54" applyFill="1" applyBorder="1">
      <alignment/>
      <protection/>
    </xf>
    <xf numFmtId="0" fontId="6" fillId="0" borderId="0" xfId="54" applyFont="1" applyBorder="1" applyAlignment="1" applyProtection="1">
      <alignment horizontal="center"/>
      <protection/>
    </xf>
    <xf numFmtId="0" fontId="6" fillId="0" borderId="0" xfId="54" applyFont="1" applyBorder="1" applyAlignment="1">
      <alignment horizontal="center"/>
      <protection/>
    </xf>
    <xf numFmtId="2" fontId="6" fillId="0" borderId="0" xfId="54" applyNumberFormat="1" applyFont="1" applyBorder="1" applyAlignment="1" applyProtection="1">
      <alignment horizontal="center"/>
      <protection/>
    </xf>
    <xf numFmtId="0" fontId="8" fillId="0" borderId="0" xfId="54" applyFont="1">
      <alignment/>
      <protection/>
    </xf>
    <xf numFmtId="0" fontId="9" fillId="0" borderId="0" xfId="54" applyFont="1" applyAlignment="1">
      <alignment horizontal="centerContinuous"/>
      <protection/>
    </xf>
    <xf numFmtId="0" fontId="10" fillId="0" borderId="0" xfId="54" applyFont="1" applyAlignment="1">
      <alignment horizontal="centerContinuous"/>
      <protection/>
    </xf>
    <xf numFmtId="0" fontId="8" fillId="0" borderId="0" xfId="54" applyFont="1" applyAlignment="1">
      <alignment horizontal="centerContinuous"/>
      <protection/>
    </xf>
    <xf numFmtId="0" fontId="6" fillId="0" borderId="0" xfId="54" applyFont="1">
      <alignment/>
      <protection/>
    </xf>
    <xf numFmtId="0" fontId="6" fillId="0" borderId="0" xfId="54" applyFont="1" applyAlignment="1">
      <alignment horizontal="centerContinuous"/>
      <protection/>
    </xf>
    <xf numFmtId="0" fontId="6" fillId="0" borderId="0" xfId="54" applyFont="1" applyBorder="1">
      <alignment/>
      <protection/>
    </xf>
    <xf numFmtId="0" fontId="11" fillId="0" borderId="0" xfId="54" applyFont="1">
      <alignment/>
      <protection/>
    </xf>
    <xf numFmtId="0" fontId="11" fillId="0" borderId="0" xfId="54" applyFont="1" applyBorder="1">
      <alignment/>
      <protection/>
    </xf>
    <xf numFmtId="0" fontId="12" fillId="0" borderId="0" xfId="54" applyFont="1" applyFill="1" applyBorder="1" applyAlignment="1" applyProtection="1">
      <alignment horizontal="left"/>
      <protection/>
    </xf>
    <xf numFmtId="0" fontId="8" fillId="0" borderId="0" xfId="54" applyFont="1" applyBorder="1">
      <alignment/>
      <protection/>
    </xf>
    <xf numFmtId="0" fontId="13" fillId="0" borderId="0" xfId="54" applyFont="1">
      <alignment/>
      <protection/>
    </xf>
    <xf numFmtId="0" fontId="14" fillId="0" borderId="0" xfId="54" applyFont="1" applyBorder="1" applyAlignment="1">
      <alignment horizontal="centerContinuous"/>
      <protection/>
    </xf>
    <xf numFmtId="0" fontId="15" fillId="0" borderId="0" xfId="54" applyFont="1" applyAlignment="1">
      <alignment horizontal="centerContinuous"/>
      <protection/>
    </xf>
    <xf numFmtId="0" fontId="13" fillId="0" borderId="0" xfId="54" applyFont="1" applyAlignment="1">
      <alignment horizontal="centerContinuous"/>
      <protection/>
    </xf>
    <xf numFmtId="0" fontId="13" fillId="0" borderId="0" xfId="54" applyFont="1" applyBorder="1" applyAlignment="1">
      <alignment horizontal="centerContinuous"/>
      <protection/>
    </xf>
    <xf numFmtId="0" fontId="13" fillId="0" borderId="0" xfId="54" applyFont="1" applyBorder="1">
      <alignment/>
      <protection/>
    </xf>
    <xf numFmtId="0" fontId="16" fillId="0" borderId="0" xfId="54" applyFont="1">
      <alignment/>
      <protection/>
    </xf>
    <xf numFmtId="0" fontId="17" fillId="0" borderId="0" xfId="54" applyFont="1">
      <alignment/>
      <protection/>
    </xf>
    <xf numFmtId="0" fontId="18" fillId="0" borderId="0" xfId="54" applyFont="1" applyBorder="1">
      <alignment/>
      <protection/>
    </xf>
    <xf numFmtId="0" fontId="17" fillId="0" borderId="0" xfId="54" applyFont="1" applyBorder="1">
      <alignment/>
      <protection/>
    </xf>
    <xf numFmtId="0" fontId="19" fillId="0" borderId="10" xfId="54" applyFont="1" applyBorder="1">
      <alignment/>
      <protection/>
    </xf>
    <xf numFmtId="0" fontId="19" fillId="0" borderId="11" xfId="54" applyFont="1" applyBorder="1">
      <alignment/>
      <protection/>
    </xf>
    <xf numFmtId="0" fontId="17" fillId="0" borderId="11" xfId="54" applyFont="1" applyBorder="1">
      <alignment/>
      <protection/>
    </xf>
    <xf numFmtId="0" fontId="17" fillId="0" borderId="12" xfId="54" applyFont="1" applyBorder="1">
      <alignment/>
      <protection/>
    </xf>
    <xf numFmtId="0" fontId="20" fillId="0" borderId="13" xfId="54" applyFont="1" applyBorder="1" applyAlignment="1">
      <alignment horizontal="centerContinuous"/>
      <protection/>
    </xf>
    <xf numFmtId="0" fontId="1" fillId="0" borderId="0" xfId="54" applyNumberFormat="1" applyAlignment="1">
      <alignment horizontal="centerContinuous"/>
      <protection/>
    </xf>
    <xf numFmtId="0" fontId="13" fillId="0" borderId="0" xfId="54" applyNumberFormat="1" applyFont="1" applyAlignment="1">
      <alignment horizontal="centerContinuous"/>
      <protection/>
    </xf>
    <xf numFmtId="0" fontId="20" fillId="0" borderId="0" xfId="54" applyFont="1" applyBorder="1" applyAlignment="1">
      <alignment horizontal="centerContinuous"/>
      <protection/>
    </xf>
    <xf numFmtId="0" fontId="13" fillId="0" borderId="14" xfId="54" applyFont="1" applyBorder="1" applyAlignment="1">
      <alignment horizontal="centerContinuous"/>
      <protection/>
    </xf>
    <xf numFmtId="0" fontId="13" fillId="0" borderId="13" xfId="54" applyFont="1" applyBorder="1">
      <alignment/>
      <protection/>
    </xf>
    <xf numFmtId="0" fontId="21" fillId="0" borderId="0" xfId="54" applyNumberFormat="1" applyFont="1" applyBorder="1" applyAlignment="1">
      <alignment horizontal="right"/>
      <protection/>
    </xf>
    <xf numFmtId="0" fontId="20" fillId="0" borderId="0" xfId="54" applyFont="1" applyBorder="1">
      <alignment/>
      <protection/>
    </xf>
    <xf numFmtId="0" fontId="13" fillId="0" borderId="14" xfId="54" applyFont="1" applyBorder="1">
      <alignment/>
      <protection/>
    </xf>
    <xf numFmtId="0" fontId="21" fillId="0" borderId="0" xfId="54" applyNumberFormat="1" applyFont="1" applyBorder="1" applyAlignment="1">
      <alignment horizontal="centerContinuous"/>
      <protection/>
    </xf>
    <xf numFmtId="0" fontId="21" fillId="0" borderId="0" xfId="54" applyNumberFormat="1" applyFont="1" applyBorder="1" applyAlignment="1">
      <alignment horizontal="right"/>
      <protection/>
    </xf>
    <xf numFmtId="0" fontId="21" fillId="0" borderId="0" xfId="54" applyNumberFormat="1" applyFont="1" applyBorder="1" applyAlignment="1">
      <alignment/>
      <protection/>
    </xf>
    <xf numFmtId="7" fontId="21" fillId="0" borderId="0" xfId="54" applyNumberFormat="1" applyFont="1" applyBorder="1" applyAlignment="1">
      <alignment horizontal="right"/>
      <protection/>
    </xf>
    <xf numFmtId="0" fontId="6" fillId="0" borderId="13" xfId="54" applyFont="1" applyBorder="1">
      <alignment/>
      <protection/>
    </xf>
    <xf numFmtId="0" fontId="3" fillId="0" borderId="0" xfId="54" applyNumberFormat="1" applyFont="1" applyBorder="1" applyAlignment="1">
      <alignment horizontal="right"/>
      <protection/>
    </xf>
    <xf numFmtId="0" fontId="3" fillId="0" borderId="0" xfId="54" applyNumberFormat="1" applyFont="1" applyBorder="1" applyAlignment="1">
      <alignment/>
      <protection/>
    </xf>
    <xf numFmtId="0" fontId="22" fillId="0" borderId="0" xfId="54" applyFont="1" applyBorder="1">
      <alignment/>
      <protection/>
    </xf>
    <xf numFmtId="7" fontId="3" fillId="0" borderId="0" xfId="54" applyNumberFormat="1" applyFont="1" applyBorder="1" applyAlignment="1">
      <alignment horizontal="right"/>
      <protection/>
    </xf>
    <xf numFmtId="0" fontId="6" fillId="0" borderId="14" xfId="54" applyFont="1" applyBorder="1">
      <alignment/>
      <protection/>
    </xf>
    <xf numFmtId="0" fontId="6" fillId="0" borderId="0" xfId="54" applyFont="1" applyBorder="1" applyAlignment="1">
      <alignment horizontal="right"/>
      <protection/>
    </xf>
    <xf numFmtId="0" fontId="21" fillId="0" borderId="0" xfId="54" applyFont="1" applyBorder="1">
      <alignment/>
      <protection/>
    </xf>
    <xf numFmtId="0" fontId="13" fillId="0" borderId="0" xfId="54" applyFont="1" applyBorder="1" applyAlignment="1">
      <alignment horizontal="right"/>
      <protection/>
    </xf>
    <xf numFmtId="0" fontId="21" fillId="0" borderId="15" xfId="54" applyFont="1" applyBorder="1" applyAlignment="1">
      <alignment horizontal="center"/>
      <protection/>
    </xf>
    <xf numFmtId="7" fontId="21" fillId="0" borderId="16" xfId="54" applyNumberFormat="1" applyFont="1" applyBorder="1" applyAlignment="1">
      <alignment horizontal="center"/>
      <protection/>
    </xf>
    <xf numFmtId="7" fontId="21" fillId="0" borderId="0" xfId="54" applyNumberFormat="1" applyFont="1" applyBorder="1" applyAlignment="1">
      <alignment horizontal="center"/>
      <protection/>
    </xf>
    <xf numFmtId="0" fontId="17" fillId="0" borderId="17" xfId="54" applyFont="1" applyBorder="1">
      <alignment/>
      <protection/>
    </xf>
    <xf numFmtId="0" fontId="17" fillId="0" borderId="18" xfId="54" applyNumberFormat="1" applyFont="1" applyBorder="1">
      <alignment/>
      <protection/>
    </xf>
    <xf numFmtId="0" fontId="17" fillId="0" borderId="18" xfId="54" applyFont="1" applyBorder="1">
      <alignment/>
      <protection/>
    </xf>
    <xf numFmtId="0" fontId="17" fillId="0" borderId="19" xfId="54" applyFont="1" applyBorder="1">
      <alignment/>
      <protection/>
    </xf>
    <xf numFmtId="0" fontId="17" fillId="0" borderId="0" xfId="54" applyFont="1" applyFill="1" applyBorder="1">
      <alignment/>
      <protection/>
    </xf>
    <xf numFmtId="4" fontId="17" fillId="0" borderId="0" xfId="54" applyNumberFormat="1" applyFont="1" applyFill="1" applyBorder="1">
      <alignment/>
      <protection/>
    </xf>
    <xf numFmtId="7" fontId="17" fillId="0" borderId="0" xfId="54" applyNumberFormat="1" applyFont="1" applyBorder="1">
      <alignment/>
      <protection/>
    </xf>
    <xf numFmtId="172" fontId="17" fillId="0" borderId="0" xfId="54" applyNumberFormat="1" applyFont="1" applyBorder="1" applyAlignment="1">
      <alignment horizontal="center"/>
      <protection/>
    </xf>
    <xf numFmtId="0" fontId="6" fillId="0" borderId="0" xfId="54" applyFont="1" applyFill="1" applyBorder="1">
      <alignment/>
      <protection/>
    </xf>
    <xf numFmtId="4" fontId="6" fillId="0" borderId="0" xfId="54" applyNumberFormat="1" applyFont="1" applyFill="1" applyBorder="1">
      <alignment/>
      <protection/>
    </xf>
    <xf numFmtId="4" fontId="6" fillId="0" borderId="0" xfId="54" applyNumberFormat="1" applyFont="1" applyBorder="1">
      <alignment/>
      <protection/>
    </xf>
    <xf numFmtId="4" fontId="3" fillId="0" borderId="0" xfId="54" applyNumberFormat="1" applyFont="1" applyBorder="1" applyAlignment="1">
      <alignment horizontal="center"/>
      <protection/>
    </xf>
    <xf numFmtId="0" fontId="9" fillId="0" borderId="0" xfId="54" applyFont="1" applyAlignment="1" applyProtection="1">
      <alignment horizontal="centerContinuous"/>
      <protection locked="0"/>
    </xf>
    <xf numFmtId="0" fontId="16" fillId="0" borderId="0" xfId="54" applyFont="1" applyAlignment="1" applyProtection="1">
      <alignment horizontal="centerContinuous"/>
      <protection locked="0"/>
    </xf>
    <xf numFmtId="0" fontId="4" fillId="0" borderId="0" xfId="54" applyFont="1" applyBorder="1" applyAlignment="1" applyProtection="1">
      <alignment horizontal="centerContinuous"/>
      <protection/>
    </xf>
    <xf numFmtId="0" fontId="6" fillId="0" borderId="10" xfId="54" applyFont="1" applyBorder="1">
      <alignment/>
      <protection/>
    </xf>
    <xf numFmtId="0" fontId="6" fillId="0" borderId="11" xfId="54" applyFont="1" applyBorder="1">
      <alignment/>
      <protection/>
    </xf>
    <xf numFmtId="0" fontId="6" fillId="0" borderId="12" xfId="54" applyFont="1" applyBorder="1">
      <alignment/>
      <protection/>
    </xf>
    <xf numFmtId="0" fontId="23" fillId="0" borderId="0" xfId="54" applyFont="1">
      <alignment/>
      <protection/>
    </xf>
    <xf numFmtId="0" fontId="23" fillId="0" borderId="13" xfId="54" applyFont="1" applyBorder="1">
      <alignment/>
      <protection/>
    </xf>
    <xf numFmtId="0" fontId="24" fillId="0" borderId="0" xfId="54" applyFont="1" applyBorder="1">
      <alignment/>
      <protection/>
    </xf>
    <xf numFmtId="0" fontId="23" fillId="0" borderId="0" xfId="54" applyFont="1" applyBorder="1">
      <alignment/>
      <protection/>
    </xf>
    <xf numFmtId="0" fontId="23" fillId="0" borderId="14" xfId="54" applyFont="1" applyBorder="1">
      <alignment/>
      <protection/>
    </xf>
    <xf numFmtId="0" fontId="3" fillId="0" borderId="0" xfId="54" applyFont="1" applyBorder="1">
      <alignment/>
      <protection/>
    </xf>
    <xf numFmtId="0" fontId="20" fillId="0" borderId="0" xfId="54" applyFont="1" applyFill="1" applyBorder="1" applyAlignment="1" applyProtection="1">
      <alignment horizontal="centerContinuous"/>
      <protection locked="0"/>
    </xf>
    <xf numFmtId="0" fontId="20" fillId="0" borderId="0" xfId="54" applyFont="1" applyAlignment="1">
      <alignment horizontal="centerContinuous"/>
      <protection/>
    </xf>
    <xf numFmtId="0" fontId="20" fillId="0" borderId="0" xfId="54" applyFont="1" applyBorder="1" applyAlignment="1" applyProtection="1">
      <alignment horizontal="centerContinuous"/>
      <protection/>
    </xf>
    <xf numFmtId="0" fontId="20" fillId="0" borderId="14" xfId="54" applyFont="1" applyBorder="1" applyAlignment="1">
      <alignment horizontal="centerContinuous"/>
      <protection/>
    </xf>
    <xf numFmtId="0" fontId="16" fillId="0" borderId="0" xfId="54" applyFont="1" applyBorder="1">
      <alignment/>
      <protection/>
    </xf>
    <xf numFmtId="0" fontId="3" fillId="0" borderId="0" xfId="54" applyFont="1" applyBorder="1" applyProtection="1">
      <alignment/>
      <protection/>
    </xf>
    <xf numFmtId="0" fontId="6" fillId="0" borderId="0" xfId="54" applyFont="1" applyBorder="1" applyProtection="1">
      <alignment/>
      <protection/>
    </xf>
    <xf numFmtId="0" fontId="1" fillId="0" borderId="15" xfId="54" applyFont="1" applyBorder="1" applyAlignment="1" applyProtection="1">
      <alignment horizontal="center"/>
      <protection/>
    </xf>
    <xf numFmtId="176" fontId="1" fillId="0" borderId="15" xfId="54" applyNumberFormat="1" applyFont="1" applyBorder="1" applyAlignment="1">
      <alignment horizontal="centerContinuous"/>
      <protection/>
    </xf>
    <xf numFmtId="0" fontId="3" fillId="0" borderId="16" xfId="54" applyFont="1" applyBorder="1" applyAlignment="1" applyProtection="1">
      <alignment horizontal="centerContinuous"/>
      <protection/>
    </xf>
    <xf numFmtId="171" fontId="6" fillId="0" borderId="16" xfId="54" applyNumberFormat="1" applyFont="1" applyBorder="1" applyAlignment="1">
      <alignment horizontal="centerContinuous"/>
      <protection/>
    </xf>
    <xf numFmtId="0" fontId="1" fillId="0" borderId="0" xfId="54" applyFont="1" applyAlignment="1">
      <alignment horizontal="right"/>
      <protection/>
    </xf>
    <xf numFmtId="0" fontId="1" fillId="0" borderId="0" xfId="54" applyFont="1" applyBorder="1" applyAlignment="1">
      <alignment horizontal="right"/>
      <protection/>
    </xf>
    <xf numFmtId="0" fontId="1" fillId="0" borderId="0" xfId="54" applyFont="1" applyBorder="1" applyAlignment="1" applyProtection="1">
      <alignment horizontal="left"/>
      <protection locked="0"/>
    </xf>
    <xf numFmtId="0" fontId="1" fillId="0" borderId="0" xfId="54" applyFont="1" applyAlignment="1" applyProtection="1">
      <alignment/>
      <protection/>
    </xf>
    <xf numFmtId="0" fontId="6" fillId="0" borderId="0" xfId="54" applyFont="1" applyBorder="1" applyAlignment="1">
      <alignment horizontal="left"/>
      <protection/>
    </xf>
    <xf numFmtId="0" fontId="6" fillId="0" borderId="0" xfId="54" applyFont="1" applyAlignment="1">
      <alignment horizontal="center" vertical="center"/>
      <protection/>
    </xf>
    <xf numFmtId="0" fontId="6" fillId="0" borderId="13" xfId="54" applyFont="1" applyBorder="1" applyAlignment="1">
      <alignment horizontal="center" vertical="center"/>
      <protection/>
    </xf>
    <xf numFmtId="0" fontId="25" fillId="0" borderId="20" xfId="54" applyFont="1" applyBorder="1" applyAlignment="1" applyProtection="1">
      <alignment horizontal="center" vertical="center"/>
      <protection/>
    </xf>
    <xf numFmtId="0" fontId="25" fillId="0" borderId="20" xfId="54" applyFont="1" applyBorder="1" applyAlignment="1" applyProtection="1">
      <alignment horizontal="center" vertical="center" wrapText="1"/>
      <protection/>
    </xf>
    <xf numFmtId="0" fontId="26" fillId="16" borderId="20" xfId="54" applyFont="1" applyFill="1" applyBorder="1" applyAlignment="1" applyProtection="1">
      <alignment horizontal="center" vertical="center"/>
      <protection/>
    </xf>
    <xf numFmtId="0" fontId="28" fillId="24" borderId="20" xfId="54" applyFont="1" applyFill="1" applyBorder="1" applyAlignment="1">
      <alignment horizontal="center" vertical="center" wrapText="1"/>
      <protection/>
    </xf>
    <xf numFmtId="0" fontId="29" fillId="25" borderId="20" xfId="54" applyFont="1" applyFill="1" applyBorder="1" applyAlignment="1">
      <alignment horizontal="center" vertical="center" wrapText="1"/>
      <protection/>
    </xf>
    <xf numFmtId="0" fontId="30" fillId="16" borderId="15" xfId="54" applyFont="1" applyFill="1" applyBorder="1" applyAlignment="1" applyProtection="1">
      <alignment horizontal="centerContinuous" vertical="center" wrapText="1"/>
      <protection/>
    </xf>
    <xf numFmtId="0" fontId="7" fillId="16" borderId="21" xfId="54" applyFont="1" applyFill="1" applyBorder="1" applyAlignment="1">
      <alignment horizontal="centerContinuous"/>
      <protection/>
    </xf>
    <xf numFmtId="0" fontId="30" fillId="16" borderId="16" xfId="54" applyFont="1" applyFill="1" applyBorder="1" applyAlignment="1">
      <alignment horizontal="centerContinuous" vertical="center"/>
      <protection/>
    </xf>
    <xf numFmtId="0" fontId="28" fillId="6" borderId="15" xfId="54" applyFont="1" applyFill="1" applyBorder="1" applyAlignment="1" applyProtection="1">
      <alignment horizontal="centerContinuous" vertical="center" wrapText="1"/>
      <protection/>
    </xf>
    <xf numFmtId="0" fontId="28" fillId="6" borderId="21" xfId="54" applyFont="1" applyFill="1" applyBorder="1" applyAlignment="1">
      <alignment horizontal="centerContinuous" vertical="center"/>
      <protection/>
    </xf>
    <xf numFmtId="0" fontId="28" fillId="6" borderId="16" xfId="54" applyFont="1" applyFill="1" applyBorder="1" applyAlignment="1">
      <alignment horizontal="centerContinuous" vertical="center"/>
      <protection/>
    </xf>
    <xf numFmtId="0" fontId="31" fillId="4" borderId="20" xfId="54" applyFont="1" applyFill="1" applyBorder="1" applyAlignment="1">
      <alignment horizontal="center" vertical="center" wrapText="1"/>
      <protection/>
    </xf>
    <xf numFmtId="0" fontId="32" fillId="21" borderId="20" xfId="54" applyFont="1" applyFill="1" applyBorder="1" applyAlignment="1">
      <alignment horizontal="center" vertical="center" wrapText="1"/>
      <protection/>
    </xf>
    <xf numFmtId="0" fontId="25" fillId="0" borderId="20" xfId="54" applyFont="1" applyBorder="1" applyAlignment="1">
      <alignment horizontal="center" vertical="center" wrapText="1"/>
      <protection/>
    </xf>
    <xf numFmtId="0" fontId="6" fillId="0" borderId="14" xfId="54" applyFont="1" applyBorder="1" applyAlignment="1">
      <alignment horizontal="center" vertical="center"/>
      <protection/>
    </xf>
    <xf numFmtId="0" fontId="6" fillId="0" borderId="22" xfId="54" applyFont="1" applyBorder="1" applyProtection="1">
      <alignment/>
      <protection locked="0"/>
    </xf>
    <xf numFmtId="0" fontId="6" fillId="0" borderId="22" xfId="54" applyFont="1" applyBorder="1" applyAlignment="1" applyProtection="1">
      <alignment horizontal="center"/>
      <protection locked="0"/>
    </xf>
    <xf numFmtId="0" fontId="33" fillId="16" borderId="22" xfId="54" applyFont="1" applyFill="1" applyBorder="1" applyProtection="1">
      <alignment/>
      <protection locked="0"/>
    </xf>
    <xf numFmtId="0" fontId="6" fillId="0" borderId="22" xfId="54" applyFont="1" applyBorder="1" applyAlignment="1">
      <alignment horizontal="center"/>
      <protection/>
    </xf>
    <xf numFmtId="0" fontId="34" fillId="24" borderId="22" xfId="54" applyFont="1" applyFill="1" applyBorder="1" applyProtection="1">
      <alignment/>
      <protection locked="0"/>
    </xf>
    <xf numFmtId="0" fontId="35" fillId="25" borderId="22" xfId="54" applyFont="1" applyFill="1" applyBorder="1" applyProtection="1">
      <alignment/>
      <protection locked="0"/>
    </xf>
    <xf numFmtId="0" fontId="36" fillId="16" borderId="22" xfId="54" applyFont="1" applyFill="1" applyBorder="1" applyAlignment="1" applyProtection="1">
      <alignment horizontal="center"/>
      <protection locked="0"/>
    </xf>
    <xf numFmtId="0" fontId="36" fillId="16" borderId="22" xfId="54" applyFont="1" applyFill="1" applyBorder="1" applyProtection="1">
      <alignment/>
      <protection locked="0"/>
    </xf>
    <xf numFmtId="0" fontId="34" fillId="6" borderId="22" xfId="54" applyFont="1" applyFill="1" applyBorder="1" applyProtection="1">
      <alignment/>
      <protection locked="0"/>
    </xf>
    <xf numFmtId="0" fontId="37" fillId="4" borderId="22" xfId="54" applyFont="1" applyFill="1" applyBorder="1" applyProtection="1">
      <alignment/>
      <protection locked="0"/>
    </xf>
    <xf numFmtId="0" fontId="38" fillId="21" borderId="22" xfId="54" applyFont="1" applyFill="1" applyBorder="1" applyProtection="1">
      <alignment/>
      <protection locked="0"/>
    </xf>
    <xf numFmtId="0" fontId="39" fillId="0" borderId="22" xfId="54" applyFont="1" applyBorder="1" applyAlignment="1">
      <alignment horizontal="center"/>
      <protection/>
    </xf>
    <xf numFmtId="0" fontId="6" fillId="0" borderId="23" xfId="54" applyFont="1" applyBorder="1" applyProtection="1">
      <alignment/>
      <protection locked="0"/>
    </xf>
    <xf numFmtId="0" fontId="6" fillId="0" borderId="24" xfId="54" applyFont="1" applyBorder="1" applyAlignment="1" applyProtection="1">
      <alignment horizontal="center"/>
      <protection locked="0"/>
    </xf>
    <xf numFmtId="0" fontId="33" fillId="16" borderId="23" xfId="54" applyFont="1" applyFill="1" applyBorder="1" applyProtection="1">
      <alignment/>
      <protection locked="0"/>
    </xf>
    <xf numFmtId="0" fontId="6" fillId="0" borderId="23" xfId="54" applyFont="1" applyBorder="1" applyAlignment="1" applyProtection="1">
      <alignment horizontal="center"/>
      <protection locked="0"/>
    </xf>
    <xf numFmtId="0" fontId="6" fillId="0" borderId="23" xfId="54" applyFont="1" applyBorder="1" applyAlignment="1">
      <alignment horizontal="center"/>
      <protection/>
    </xf>
    <xf numFmtId="0" fontId="34" fillId="24" borderId="23" xfId="54" applyFont="1" applyFill="1" applyBorder="1" applyProtection="1">
      <alignment/>
      <protection locked="0"/>
    </xf>
    <xf numFmtId="0" fontId="35" fillId="25" borderId="23" xfId="54" applyFont="1" applyFill="1" applyBorder="1" applyProtection="1">
      <alignment/>
      <protection locked="0"/>
    </xf>
    <xf numFmtId="0" fontId="36" fillId="16" borderId="23" xfId="54" applyFont="1" applyFill="1" applyBorder="1" applyAlignment="1" applyProtection="1">
      <alignment horizontal="center"/>
      <protection locked="0"/>
    </xf>
    <xf numFmtId="0" fontId="36" fillId="16" borderId="23" xfId="54" applyFont="1" applyFill="1" applyBorder="1" applyProtection="1">
      <alignment/>
      <protection locked="0"/>
    </xf>
    <xf numFmtId="0" fontId="34" fillId="6" borderId="23" xfId="54" applyFont="1" applyFill="1" applyBorder="1" applyProtection="1">
      <alignment/>
      <protection locked="0"/>
    </xf>
    <xf numFmtId="0" fontId="37" fillId="4" borderId="23" xfId="54" applyFont="1" applyFill="1" applyBorder="1" applyProtection="1">
      <alignment/>
      <protection locked="0"/>
    </xf>
    <xf numFmtId="0" fontId="38" fillId="21" borderId="23" xfId="54" applyFont="1" applyFill="1" applyBorder="1" applyProtection="1">
      <alignment/>
      <protection locked="0"/>
    </xf>
    <xf numFmtId="0" fontId="39" fillId="0" borderId="23" xfId="54" applyFont="1" applyBorder="1" applyAlignment="1">
      <alignment horizontal="center"/>
      <protection/>
    </xf>
    <xf numFmtId="2" fontId="6" fillId="0" borderId="24" xfId="54" applyNumberFormat="1" applyFont="1" applyBorder="1" applyAlignment="1" applyProtection="1">
      <alignment horizontal="center"/>
      <protection locked="0"/>
    </xf>
    <xf numFmtId="172" fontId="33" fillId="16" borderId="23" xfId="54" applyNumberFormat="1" applyFont="1" applyFill="1" applyBorder="1" applyAlignment="1" applyProtection="1">
      <alignment horizontal="center"/>
      <protection locked="0"/>
    </xf>
    <xf numFmtId="22" fontId="6" fillId="0" borderId="23" xfId="54" applyNumberFormat="1" applyFont="1" applyBorder="1" applyAlignment="1" applyProtection="1">
      <alignment horizontal="center"/>
      <protection locked="0"/>
    </xf>
    <xf numFmtId="2" fontId="6" fillId="0" borderId="23" xfId="54" applyNumberFormat="1" applyFont="1" applyBorder="1" applyAlignment="1" applyProtection="1">
      <alignment horizontal="center"/>
      <protection/>
    </xf>
    <xf numFmtId="1" fontId="6" fillId="0" borderId="23" xfId="54" applyNumberFormat="1" applyFont="1" applyBorder="1" applyAlignment="1" applyProtection="1">
      <alignment horizontal="center"/>
      <protection/>
    </xf>
    <xf numFmtId="172" fontId="6" fillId="0" borderId="23" xfId="54" applyNumberFormat="1" applyFont="1" applyBorder="1" applyAlignment="1" applyProtection="1">
      <alignment horizontal="center"/>
      <protection locked="0"/>
    </xf>
    <xf numFmtId="172" fontId="6" fillId="0" borderId="23" xfId="54" applyNumberFormat="1" applyFont="1" applyBorder="1" applyAlignment="1" applyProtection="1" quotePrefix="1">
      <alignment horizontal="center"/>
      <protection locked="0"/>
    </xf>
    <xf numFmtId="2" fontId="34" fillId="24" borderId="23" xfId="54" applyNumberFormat="1" applyFont="1" applyFill="1" applyBorder="1" applyAlignment="1" applyProtection="1">
      <alignment horizontal="center"/>
      <protection locked="0"/>
    </xf>
    <xf numFmtId="2" fontId="35" fillId="25" borderId="23" xfId="54" applyNumberFormat="1" applyFont="1" applyFill="1" applyBorder="1" applyAlignment="1" applyProtection="1">
      <alignment horizontal="center"/>
      <protection locked="0"/>
    </xf>
    <xf numFmtId="172" fontId="36" fillId="16" borderId="23" xfId="54" applyNumberFormat="1" applyFont="1" applyFill="1" applyBorder="1" applyAlignment="1" applyProtection="1" quotePrefix="1">
      <alignment horizontal="center"/>
      <protection locked="0"/>
    </xf>
    <xf numFmtId="4" fontId="36" fillId="16" borderId="23" xfId="54" applyNumberFormat="1" applyFont="1" applyFill="1" applyBorder="1" applyAlignment="1" applyProtection="1">
      <alignment horizontal="center"/>
      <protection locked="0"/>
    </xf>
    <xf numFmtId="172" fontId="34" fillId="6" borderId="23" xfId="54" applyNumberFormat="1" applyFont="1" applyFill="1" applyBorder="1" applyAlignment="1" applyProtection="1" quotePrefix="1">
      <alignment horizontal="center"/>
      <protection locked="0"/>
    </xf>
    <xf numFmtId="4" fontId="34" fillId="6" borderId="23" xfId="54" applyNumberFormat="1" applyFont="1" applyFill="1" applyBorder="1" applyAlignment="1" applyProtection="1">
      <alignment horizontal="center"/>
      <protection locked="0"/>
    </xf>
    <xf numFmtId="4" fontId="37" fillId="4" borderId="23" xfId="54" applyNumberFormat="1" applyFont="1" applyFill="1" applyBorder="1" applyAlignment="1" applyProtection="1">
      <alignment horizontal="center"/>
      <protection locked="0"/>
    </xf>
    <xf numFmtId="4" fontId="38" fillId="21" borderId="23" xfId="54" applyNumberFormat="1" applyFont="1" applyFill="1" applyBorder="1" applyAlignment="1" applyProtection="1">
      <alignment horizontal="center"/>
      <protection locked="0"/>
    </xf>
    <xf numFmtId="4" fontId="6" fillId="0" borderId="23" xfId="54" applyNumberFormat="1" applyFont="1" applyBorder="1" applyAlignment="1" applyProtection="1">
      <alignment horizontal="center"/>
      <protection locked="0"/>
    </xf>
    <xf numFmtId="4" fontId="39" fillId="0" borderId="23" xfId="54" applyNumberFormat="1" applyFont="1" applyBorder="1" applyAlignment="1">
      <alignment horizontal="right"/>
      <protection/>
    </xf>
    <xf numFmtId="2" fontId="6" fillId="0" borderId="14" xfId="54" applyNumberFormat="1" applyFont="1" applyBorder="1">
      <alignment/>
      <protection/>
    </xf>
    <xf numFmtId="0" fontId="6" fillId="0" borderId="13" xfId="54" applyFont="1" applyBorder="1" applyAlignment="1">
      <alignment horizontal="center"/>
      <protection/>
    </xf>
    <xf numFmtId="0" fontId="6" fillId="0" borderId="25" xfId="54" applyFont="1" applyBorder="1" applyAlignment="1" applyProtection="1">
      <alignment horizontal="center"/>
      <protection locked="0"/>
    </xf>
    <xf numFmtId="0" fontId="6" fillId="0" borderId="26" xfId="54" applyFont="1" applyBorder="1" applyAlignment="1" applyProtection="1">
      <alignment horizontal="center"/>
      <protection/>
    </xf>
    <xf numFmtId="2" fontId="6" fillId="0" borderId="26" xfId="54" applyNumberFormat="1" applyFont="1" applyBorder="1" applyAlignment="1" applyProtection="1">
      <alignment horizontal="center"/>
      <protection/>
    </xf>
    <xf numFmtId="172" fontId="6" fillId="0" borderId="25" xfId="54" applyNumberFormat="1" applyFont="1" applyBorder="1" applyAlignment="1" applyProtection="1">
      <alignment horizontal="center"/>
      <protection/>
    </xf>
    <xf numFmtId="172" fontId="33" fillId="16" borderId="25" xfId="54" applyNumberFormat="1" applyFont="1" applyFill="1" applyBorder="1" applyAlignment="1" applyProtection="1">
      <alignment horizontal="center"/>
      <protection/>
    </xf>
    <xf numFmtId="22" fontId="6" fillId="0" borderId="25" xfId="54" applyNumberFormat="1" applyFont="1" applyBorder="1" applyAlignment="1">
      <alignment horizontal="center"/>
      <protection/>
    </xf>
    <xf numFmtId="172" fontId="34" fillId="24" borderId="25" xfId="54" applyNumberFormat="1" applyFont="1" applyFill="1" applyBorder="1" applyAlignment="1" applyProtection="1" quotePrefix="1">
      <alignment horizontal="center"/>
      <protection/>
    </xf>
    <xf numFmtId="172" fontId="35" fillId="25" borderId="25" xfId="54" applyNumberFormat="1" applyFont="1" applyFill="1" applyBorder="1" applyAlignment="1" applyProtection="1" quotePrefix="1">
      <alignment horizontal="center"/>
      <protection/>
    </xf>
    <xf numFmtId="172" fontId="36" fillId="16" borderId="25" xfId="54" applyNumberFormat="1" applyFont="1" applyFill="1" applyBorder="1" applyAlignment="1" applyProtection="1" quotePrefix="1">
      <alignment horizontal="center"/>
      <protection/>
    </xf>
    <xf numFmtId="4" fontId="36" fillId="16" borderId="25" xfId="54" applyNumberFormat="1" applyFont="1" applyFill="1" applyBorder="1" applyAlignment="1">
      <alignment horizontal="center"/>
      <protection/>
    </xf>
    <xf numFmtId="4" fontId="34" fillId="6" borderId="25" xfId="54" applyNumberFormat="1" applyFont="1" applyFill="1" applyBorder="1" applyAlignment="1">
      <alignment horizontal="center"/>
      <protection/>
    </xf>
    <xf numFmtId="4" fontId="37" fillId="4" borderId="25" xfId="54" applyNumberFormat="1" applyFont="1" applyFill="1" applyBorder="1" applyAlignment="1">
      <alignment horizontal="center"/>
      <protection/>
    </xf>
    <xf numFmtId="4" fontId="38" fillId="21" borderId="25" xfId="54" applyNumberFormat="1" applyFont="1" applyFill="1" applyBorder="1" applyAlignment="1">
      <alignment horizontal="center"/>
      <protection/>
    </xf>
    <xf numFmtId="4" fontId="6" fillId="0" borderId="25" xfId="54" applyNumberFormat="1" applyFont="1" applyBorder="1" applyAlignment="1">
      <alignment horizontal="center"/>
      <protection/>
    </xf>
    <xf numFmtId="7" fontId="39" fillId="0" borderId="27" xfId="54" applyNumberFormat="1" applyFont="1" applyBorder="1" applyAlignment="1">
      <alignment horizontal="center"/>
      <protection/>
    </xf>
    <xf numFmtId="0" fontId="41" fillId="0" borderId="0" xfId="54" applyFont="1" applyBorder="1" applyAlignment="1" applyProtection="1">
      <alignment horizontal="left"/>
      <protection/>
    </xf>
    <xf numFmtId="172" fontId="6" fillId="0" borderId="0" xfId="54" applyNumberFormat="1" applyFont="1" applyBorder="1" applyAlignment="1" applyProtection="1">
      <alignment horizontal="center"/>
      <protection/>
    </xf>
    <xf numFmtId="172" fontId="6" fillId="0" borderId="0" xfId="54" applyNumberFormat="1" applyFont="1" applyBorder="1" applyAlignment="1" applyProtection="1" quotePrefix="1">
      <alignment horizontal="center"/>
      <protection/>
    </xf>
    <xf numFmtId="2" fontId="34" fillId="24" borderId="20" xfId="54" applyNumberFormat="1" applyFont="1" applyFill="1" applyBorder="1" applyAlignment="1">
      <alignment horizontal="center"/>
      <protection/>
    </xf>
    <xf numFmtId="2" fontId="35" fillId="25" borderId="20" xfId="54" applyNumberFormat="1" applyFont="1" applyFill="1" applyBorder="1" applyAlignment="1">
      <alignment horizontal="center"/>
      <protection/>
    </xf>
    <xf numFmtId="172" fontId="36" fillId="16" borderId="20" xfId="54" applyNumberFormat="1" applyFont="1" applyFill="1" applyBorder="1" applyAlignment="1" applyProtection="1" quotePrefix="1">
      <alignment horizontal="center"/>
      <protection/>
    </xf>
    <xf numFmtId="172" fontId="34" fillId="6" borderId="20" xfId="54" applyNumberFormat="1" applyFont="1" applyFill="1" applyBorder="1" applyAlignment="1" applyProtection="1" quotePrefix="1">
      <alignment horizontal="center"/>
      <protection/>
    </xf>
    <xf numFmtId="172" fontId="37" fillId="4" borderId="20" xfId="54" applyNumberFormat="1" applyFont="1" applyFill="1" applyBorder="1" applyAlignment="1" applyProtection="1" quotePrefix="1">
      <alignment horizontal="center"/>
      <protection/>
    </xf>
    <xf numFmtId="172" fontId="38" fillId="21" borderId="20" xfId="54" applyNumberFormat="1" applyFont="1" applyFill="1" applyBorder="1" applyAlignment="1" applyProtection="1" quotePrefix="1">
      <alignment horizontal="center"/>
      <protection/>
    </xf>
    <xf numFmtId="4" fontId="5" fillId="0" borderId="0" xfId="54" applyNumberFormat="1" applyFont="1" applyBorder="1" applyAlignment="1">
      <alignment horizontal="center"/>
      <protection/>
    </xf>
    <xf numFmtId="8" fontId="2" fillId="0" borderId="20" xfId="54" applyNumberFormat="1" applyFont="1" applyBorder="1" applyAlignment="1" applyProtection="1">
      <alignment horizontal="right"/>
      <protection locked="0"/>
    </xf>
    <xf numFmtId="2" fontId="6" fillId="0" borderId="14" xfId="54" applyNumberFormat="1" applyFont="1" applyBorder="1" applyAlignment="1">
      <alignment horizontal="center"/>
      <protection/>
    </xf>
    <xf numFmtId="0" fontId="40" fillId="0" borderId="0" xfId="54" applyFont="1">
      <alignment/>
      <protection/>
    </xf>
    <xf numFmtId="0" fontId="40" fillId="0" borderId="13" xfId="54" applyFont="1" applyBorder="1">
      <alignment/>
      <protection/>
    </xf>
    <xf numFmtId="0" fontId="40" fillId="0" borderId="0" xfId="54" applyFont="1" applyBorder="1" applyAlignment="1">
      <alignment horizontal="center"/>
      <protection/>
    </xf>
    <xf numFmtId="0" fontId="41" fillId="0" borderId="0" xfId="54" applyFont="1" applyBorder="1" applyAlignment="1" applyProtection="1">
      <alignment horizontal="left" vertical="top"/>
      <protection/>
    </xf>
    <xf numFmtId="0" fontId="40" fillId="0" borderId="0" xfId="54" applyFont="1" applyBorder="1" applyAlignment="1" applyProtection="1">
      <alignment horizontal="center"/>
      <protection/>
    </xf>
    <xf numFmtId="2" fontId="40" fillId="0" borderId="0" xfId="54" applyNumberFormat="1" applyFont="1" applyBorder="1" applyAlignment="1" applyProtection="1">
      <alignment horizontal="center"/>
      <protection/>
    </xf>
    <xf numFmtId="172" fontId="40" fillId="0" borderId="0" xfId="54" applyNumberFormat="1" applyFont="1" applyBorder="1" applyAlignment="1" applyProtection="1">
      <alignment horizontal="center"/>
      <protection/>
    </xf>
    <xf numFmtId="172" fontId="40" fillId="0" borderId="0" xfId="54" applyNumberFormat="1" applyFont="1" applyBorder="1" applyAlignment="1" applyProtection="1" quotePrefix="1">
      <alignment horizontal="center"/>
      <protection/>
    </xf>
    <xf numFmtId="2" fontId="42" fillId="0" borderId="0" xfId="54" applyNumberFormat="1" applyFont="1" applyBorder="1" applyAlignment="1">
      <alignment horizontal="center"/>
      <protection/>
    </xf>
    <xf numFmtId="172" fontId="43" fillId="0" borderId="0" xfId="54" applyNumberFormat="1" applyFont="1" applyBorder="1" applyAlignment="1" applyProtection="1" quotePrefix="1">
      <alignment horizontal="center"/>
      <protection/>
    </xf>
    <xf numFmtId="4" fontId="43" fillId="0" borderId="0" xfId="54" applyNumberFormat="1" applyFont="1" applyBorder="1" applyAlignment="1">
      <alignment horizontal="center"/>
      <protection/>
    </xf>
    <xf numFmtId="8" fontId="44" fillId="0" borderId="0" xfId="54" applyNumberFormat="1" applyFont="1" applyBorder="1" applyAlignment="1" applyProtection="1">
      <alignment horizontal="right"/>
      <protection locked="0"/>
    </xf>
    <xf numFmtId="2" fontId="40" fillId="0" borderId="14" xfId="54" applyNumberFormat="1" applyFont="1" applyBorder="1" applyAlignment="1">
      <alignment horizontal="center"/>
      <protection/>
    </xf>
    <xf numFmtId="0" fontId="6" fillId="0" borderId="17" xfId="54" applyFont="1" applyBorder="1">
      <alignment/>
      <protection/>
    </xf>
    <xf numFmtId="0" fontId="6" fillId="0" borderId="18" xfId="54" applyFont="1" applyBorder="1">
      <alignment/>
      <protection/>
    </xf>
    <xf numFmtId="0" fontId="6" fillId="0" borderId="19" xfId="54" applyFont="1" applyBorder="1">
      <alignment/>
      <protection/>
    </xf>
    <xf numFmtId="0" fontId="1" fillId="0" borderId="0" xfId="54" applyBorder="1">
      <alignment/>
      <protection/>
    </xf>
    <xf numFmtId="0" fontId="8" fillId="0" borderId="0" xfId="54" applyFont="1" applyFill="1">
      <alignment/>
      <protection/>
    </xf>
    <xf numFmtId="0" fontId="8" fillId="0" borderId="0" xfId="54" applyFont="1" applyFill="1" applyAlignment="1">
      <alignment horizontal="centerContinuous"/>
      <protection/>
    </xf>
    <xf numFmtId="0" fontId="6" fillId="0" borderId="0" xfId="54" applyFont="1" applyFill="1" applyAlignment="1">
      <alignment horizontal="centerContinuous"/>
      <protection/>
    </xf>
    <xf numFmtId="0" fontId="4" fillId="0" borderId="0" xfId="54" applyFont="1" applyFill="1" applyBorder="1" applyAlignment="1" applyProtection="1">
      <alignment horizontal="centerContinuous"/>
      <protection/>
    </xf>
    <xf numFmtId="0" fontId="11" fillId="0" borderId="0" xfId="54" applyFont="1" applyFill="1" applyAlignment="1">
      <alignment horizontal="centerContinuous"/>
      <protection/>
    </xf>
    <xf numFmtId="0" fontId="11" fillId="0" borderId="0" xfId="54" applyFont="1" applyFill="1">
      <alignment/>
      <protection/>
    </xf>
    <xf numFmtId="0" fontId="6" fillId="0" borderId="0" xfId="54" applyFont="1" applyFill="1">
      <alignment/>
      <protection/>
    </xf>
    <xf numFmtId="0" fontId="6" fillId="0" borderId="10" xfId="54" applyFont="1" applyFill="1" applyBorder="1">
      <alignment/>
      <protection/>
    </xf>
    <xf numFmtId="0" fontId="6" fillId="0" borderId="11" xfId="54" applyFont="1" applyFill="1" applyBorder="1">
      <alignment/>
      <protection/>
    </xf>
    <xf numFmtId="0" fontId="6" fillId="0" borderId="12" xfId="54" applyFont="1" applyFill="1" applyBorder="1">
      <alignment/>
      <protection/>
    </xf>
    <xf numFmtId="0" fontId="23" fillId="0" borderId="13" xfId="54" applyFont="1" applyFill="1" applyBorder="1">
      <alignment/>
      <protection/>
    </xf>
    <xf numFmtId="0" fontId="23" fillId="0" borderId="0" xfId="54" applyFont="1" applyFill="1" applyBorder="1">
      <alignment/>
      <protection/>
    </xf>
    <xf numFmtId="0" fontId="24" fillId="0" borderId="0" xfId="54" applyFont="1" applyFill="1" applyBorder="1">
      <alignment/>
      <protection/>
    </xf>
    <xf numFmtId="0" fontId="23" fillId="0" borderId="0" xfId="54" applyFont="1" applyFill="1">
      <alignment/>
      <protection/>
    </xf>
    <xf numFmtId="0" fontId="23" fillId="0" borderId="14" xfId="54" applyFont="1" applyFill="1" applyBorder="1">
      <alignment/>
      <protection/>
    </xf>
    <xf numFmtId="0" fontId="6" fillId="0" borderId="13" xfId="54" applyFont="1" applyFill="1" applyBorder="1">
      <alignment/>
      <protection/>
    </xf>
    <xf numFmtId="0" fontId="6" fillId="0" borderId="14" xfId="54" applyFont="1" applyFill="1" applyBorder="1">
      <alignment/>
      <protection/>
    </xf>
    <xf numFmtId="0" fontId="3" fillId="0" borderId="0" xfId="54" applyFont="1" applyFill="1" applyBorder="1">
      <alignment/>
      <protection/>
    </xf>
    <xf numFmtId="0" fontId="24" fillId="0" borderId="0" xfId="54" applyFont="1" applyFill="1">
      <alignment/>
      <protection/>
    </xf>
    <xf numFmtId="0" fontId="23" fillId="0" borderId="0" xfId="54" applyFont="1" applyFill="1" applyBorder="1" applyProtection="1">
      <alignment/>
      <protection/>
    </xf>
    <xf numFmtId="0" fontId="6" fillId="0" borderId="0" xfId="54" applyFont="1" applyFill="1" applyBorder="1" applyAlignment="1" applyProtection="1">
      <alignment horizontal="left"/>
      <protection/>
    </xf>
    <xf numFmtId="168" fontId="6" fillId="0" borderId="0" xfId="54" applyNumberFormat="1" applyFont="1" applyFill="1" applyBorder="1" applyProtection="1">
      <alignment/>
      <protection/>
    </xf>
    <xf numFmtId="0" fontId="6" fillId="0" borderId="0" xfId="54" applyFont="1" applyFill="1" applyBorder="1" applyProtection="1">
      <alignment/>
      <protection/>
    </xf>
    <xf numFmtId="0" fontId="20" fillId="0" borderId="13" xfId="54" applyFont="1" applyFill="1" applyBorder="1" applyAlignment="1">
      <alignment horizontal="centerContinuous"/>
      <protection/>
    </xf>
    <xf numFmtId="0" fontId="20" fillId="0" borderId="0" xfId="54" applyFont="1" applyFill="1" applyBorder="1" applyAlignment="1">
      <alignment horizontal="centerContinuous"/>
      <protection/>
    </xf>
    <xf numFmtId="0" fontId="20" fillId="0" borderId="14" xfId="54" applyFont="1" applyFill="1" applyBorder="1" applyAlignment="1">
      <alignment horizontal="centerContinuous"/>
      <protection/>
    </xf>
    <xf numFmtId="0" fontId="6" fillId="0" borderId="0" xfId="54" applyFont="1" applyFill="1" applyBorder="1" applyAlignment="1">
      <alignment horizontal="center"/>
      <protection/>
    </xf>
    <xf numFmtId="0" fontId="22" fillId="0" borderId="0" xfId="54" applyFont="1" applyFill="1" applyBorder="1" applyAlignment="1">
      <alignment horizontal="left"/>
      <protection/>
    </xf>
    <xf numFmtId="0" fontId="1" fillId="0" borderId="15" xfId="54" applyFont="1" applyFill="1" applyBorder="1" applyAlignment="1" applyProtection="1">
      <alignment horizontal="left"/>
      <protection/>
    </xf>
    <xf numFmtId="0" fontId="1" fillId="0" borderId="28" xfId="54" applyFont="1" applyFill="1" applyBorder="1" applyAlignment="1" applyProtection="1">
      <alignment horizontal="center"/>
      <protection/>
    </xf>
    <xf numFmtId="0" fontId="1" fillId="0" borderId="28" xfId="54" applyFont="1" applyFill="1" applyBorder="1">
      <alignment/>
      <protection/>
    </xf>
    <xf numFmtId="0" fontId="1" fillId="0" borderId="20" xfId="54" applyFont="1" applyFill="1" applyBorder="1" applyAlignment="1">
      <alignment horizontal="center"/>
      <protection/>
    </xf>
    <xf numFmtId="0" fontId="1" fillId="0" borderId="15" xfId="54" applyFont="1" applyFill="1" applyBorder="1" applyAlignment="1" applyProtection="1" quotePrefix="1">
      <alignment horizontal="left"/>
      <protection/>
    </xf>
    <xf numFmtId="0" fontId="1" fillId="0" borderId="21" xfId="54" applyFont="1" applyFill="1" applyBorder="1" applyAlignment="1" applyProtection="1">
      <alignment horizontal="center"/>
      <protection/>
    </xf>
    <xf numFmtId="168" fontId="1" fillId="0" borderId="20" xfId="54" applyNumberFormat="1" applyFont="1" applyFill="1" applyBorder="1" applyAlignment="1" applyProtection="1">
      <alignment horizontal="center"/>
      <protection/>
    </xf>
    <xf numFmtId="0" fontId="6" fillId="0" borderId="0" xfId="54" applyFont="1" applyAlignment="1" applyProtection="1">
      <alignment/>
      <protection/>
    </xf>
    <xf numFmtId="22" fontId="6" fillId="0" borderId="0" xfId="54" applyNumberFormat="1" applyFont="1" applyFill="1" applyBorder="1">
      <alignment/>
      <protection/>
    </xf>
    <xf numFmtId="0" fontId="6" fillId="0" borderId="0" xfId="54" applyFont="1" applyAlignment="1">
      <alignment vertical="center"/>
      <protection/>
    </xf>
    <xf numFmtId="0" fontId="6" fillId="0" borderId="13" xfId="54" applyFont="1" applyFill="1" applyBorder="1" applyAlignment="1">
      <alignment vertical="center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/>
      <protection/>
    </xf>
    <xf numFmtId="0" fontId="25" fillId="0" borderId="20" xfId="54" applyFont="1" applyFill="1" applyBorder="1" applyAlignment="1" applyProtection="1" quotePrefix="1">
      <alignment horizontal="center" vertical="center" wrapText="1"/>
      <protection/>
    </xf>
    <xf numFmtId="0" fontId="25" fillId="0" borderId="20" xfId="54" applyFont="1" applyFill="1" applyBorder="1" applyAlignment="1">
      <alignment horizontal="center" vertical="center" wrapText="1"/>
      <protection/>
    </xf>
    <xf numFmtId="0" fontId="26" fillId="16" borderId="20" xfId="54" applyFont="1" applyFill="1" applyBorder="1" applyAlignment="1" applyProtection="1">
      <alignment horizontal="center" vertical="center"/>
      <protection/>
    </xf>
    <xf numFmtId="0" fontId="32" fillId="21" borderId="20" xfId="54" applyFont="1" applyFill="1" applyBorder="1" applyAlignment="1" applyProtection="1">
      <alignment horizontal="center" vertical="center"/>
      <protection/>
    </xf>
    <xf numFmtId="0" fontId="28" fillId="6" borderId="20" xfId="54" applyFont="1" applyFill="1" applyBorder="1" applyAlignment="1">
      <alignment horizontal="center" vertical="center" wrapText="1"/>
      <protection/>
    </xf>
    <xf numFmtId="0" fontId="45" fillId="26" borderId="20" xfId="54" applyFont="1" applyFill="1" applyBorder="1" applyAlignment="1">
      <alignment horizontal="center" vertical="center" wrapText="1"/>
      <protection/>
    </xf>
    <xf numFmtId="0" fontId="45" fillId="27" borderId="15" xfId="54" applyFont="1" applyFill="1" applyBorder="1" applyAlignment="1" applyProtection="1">
      <alignment horizontal="centerContinuous" vertical="center" wrapText="1"/>
      <protection/>
    </xf>
    <xf numFmtId="0" fontId="45" fillId="27" borderId="16" xfId="54" applyFont="1" applyFill="1" applyBorder="1" applyAlignment="1">
      <alignment horizontal="centerContinuous" vertical="center"/>
      <protection/>
    </xf>
    <xf numFmtId="0" fontId="46" fillId="28" borderId="15" xfId="54" applyFont="1" applyFill="1" applyBorder="1" applyAlignment="1" applyProtection="1">
      <alignment horizontal="centerContinuous" vertical="center" wrapText="1"/>
      <protection/>
    </xf>
    <xf numFmtId="0" fontId="46" fillId="28" borderId="16" xfId="54" applyFont="1" applyFill="1" applyBorder="1" applyAlignment="1">
      <alignment horizontal="centerContinuous" vertical="center"/>
      <protection/>
    </xf>
    <xf numFmtId="0" fontId="31" fillId="23" borderId="20" xfId="54" applyFont="1" applyFill="1" applyBorder="1" applyAlignment="1">
      <alignment horizontal="center" vertical="center" wrapText="1"/>
      <protection/>
    </xf>
    <xf numFmtId="0" fontId="45" fillId="3" borderId="20" xfId="54" applyFont="1" applyFill="1" applyBorder="1" applyAlignment="1">
      <alignment horizontal="center" vertical="center" wrapText="1"/>
      <protection/>
    </xf>
    <xf numFmtId="0" fontId="6" fillId="0" borderId="14" xfId="54" applyFont="1" applyFill="1" applyBorder="1" applyAlignment="1">
      <alignment vertical="center"/>
      <protection/>
    </xf>
    <xf numFmtId="0" fontId="6" fillId="0" borderId="29" xfId="54" applyFont="1" applyFill="1" applyBorder="1" applyAlignment="1" applyProtection="1">
      <alignment horizontal="center"/>
      <protection locked="0"/>
    </xf>
    <xf numFmtId="0" fontId="6" fillId="0" borderId="22" xfId="54" applyFont="1" applyFill="1" applyBorder="1" applyAlignment="1" applyProtection="1">
      <alignment horizontal="center"/>
      <protection locked="0"/>
    </xf>
    <xf numFmtId="0" fontId="6" fillId="0" borderId="22" xfId="54" applyFont="1" applyFill="1" applyBorder="1" applyProtection="1">
      <alignment/>
      <protection locked="0"/>
    </xf>
    <xf numFmtId="0" fontId="47" fillId="16" borderId="22" xfId="54" applyFont="1" applyFill="1" applyBorder="1" applyProtection="1">
      <alignment/>
      <protection locked="0"/>
    </xf>
    <xf numFmtId="0" fontId="6" fillId="0" borderId="22" xfId="54" applyFont="1" applyFill="1" applyBorder="1" applyAlignment="1">
      <alignment horizontal="center"/>
      <protection/>
    </xf>
    <xf numFmtId="0" fontId="48" fillId="26" borderId="22" xfId="54" applyFont="1" applyFill="1" applyBorder="1" applyProtection="1">
      <alignment/>
      <protection locked="0"/>
    </xf>
    <xf numFmtId="0" fontId="48" fillId="27" borderId="30" xfId="54" applyFont="1" applyFill="1" applyBorder="1" applyAlignment="1" applyProtection="1">
      <alignment horizontal="center"/>
      <protection locked="0"/>
    </xf>
    <xf numFmtId="0" fontId="48" fillId="27" borderId="31" xfId="54" applyFont="1" applyFill="1" applyBorder="1" applyProtection="1">
      <alignment/>
      <protection locked="0"/>
    </xf>
    <xf numFmtId="0" fontId="49" fillId="28" borderId="30" xfId="54" applyFont="1" applyFill="1" applyBorder="1" applyAlignment="1" applyProtection="1">
      <alignment horizontal="center"/>
      <protection locked="0"/>
    </xf>
    <xf numFmtId="0" fontId="49" fillId="28" borderId="31" xfId="54" applyFont="1" applyFill="1" applyBorder="1" applyProtection="1">
      <alignment/>
      <protection locked="0"/>
    </xf>
    <xf numFmtId="0" fontId="37" fillId="23" borderId="22" xfId="54" applyFont="1" applyFill="1" applyBorder="1" applyProtection="1">
      <alignment/>
      <protection locked="0"/>
    </xf>
    <xf numFmtId="0" fontId="48" fillId="3" borderId="22" xfId="54" applyFont="1" applyFill="1" applyBorder="1" applyProtection="1">
      <alignment/>
      <protection locked="0"/>
    </xf>
    <xf numFmtId="0" fontId="39" fillId="0" borderId="22" xfId="54" applyFont="1" applyFill="1" applyBorder="1" applyAlignment="1">
      <alignment horizontal="right"/>
      <protection/>
    </xf>
    <xf numFmtId="0" fontId="6" fillId="0" borderId="32" xfId="54" applyFont="1" applyFill="1" applyBorder="1" applyAlignment="1" applyProtection="1">
      <alignment horizontal="center"/>
      <protection locked="0"/>
    </xf>
    <xf numFmtId="0" fontId="6" fillId="0" borderId="23" xfId="54" applyFont="1" applyFill="1" applyBorder="1" applyProtection="1">
      <alignment/>
      <protection locked="0"/>
    </xf>
    <xf numFmtId="0" fontId="47" fillId="16" borderId="23" xfId="54" applyFont="1" applyFill="1" applyBorder="1" applyProtection="1">
      <alignment/>
      <protection locked="0"/>
    </xf>
    <xf numFmtId="0" fontId="6" fillId="0" borderId="23" xfId="54" applyFont="1" applyFill="1" applyBorder="1" applyAlignment="1" applyProtection="1">
      <alignment horizontal="center"/>
      <protection locked="0"/>
    </xf>
    <xf numFmtId="0" fontId="6" fillId="0" borderId="23" xfId="54" applyFont="1" applyFill="1" applyBorder="1" applyAlignment="1">
      <alignment horizontal="center"/>
      <protection/>
    </xf>
    <xf numFmtId="0" fontId="48" fillId="26" borderId="23" xfId="54" applyFont="1" applyFill="1" applyBorder="1" applyProtection="1">
      <alignment/>
      <protection locked="0"/>
    </xf>
    <xf numFmtId="0" fontId="48" fillId="27" borderId="33" xfId="54" applyFont="1" applyFill="1" applyBorder="1" applyAlignment="1" applyProtection="1">
      <alignment horizontal="center"/>
      <protection locked="0"/>
    </xf>
    <xf numFmtId="0" fontId="48" fillId="27" borderId="34" xfId="54" applyFont="1" applyFill="1" applyBorder="1" applyProtection="1">
      <alignment/>
      <protection locked="0"/>
    </xf>
    <xf numFmtId="0" fontId="49" fillId="28" borderId="33" xfId="54" applyFont="1" applyFill="1" applyBorder="1" applyAlignment="1" applyProtection="1">
      <alignment horizontal="center"/>
      <protection locked="0"/>
    </xf>
    <xf numFmtId="0" fontId="49" fillId="28" borderId="34" xfId="54" applyFont="1" applyFill="1" applyBorder="1" applyProtection="1">
      <alignment/>
      <protection locked="0"/>
    </xf>
    <xf numFmtId="0" fontId="37" fillId="23" borderId="23" xfId="54" applyFont="1" applyFill="1" applyBorder="1" applyProtection="1">
      <alignment/>
      <protection locked="0"/>
    </xf>
    <xf numFmtId="0" fontId="48" fillId="3" borderId="23" xfId="54" applyFont="1" applyFill="1" applyBorder="1" applyProtection="1">
      <alignment/>
      <protection locked="0"/>
    </xf>
    <xf numFmtId="0" fontId="39" fillId="0" borderId="34" xfId="54" applyFont="1" applyFill="1" applyBorder="1" applyAlignment="1">
      <alignment horizontal="right"/>
      <protection/>
    </xf>
    <xf numFmtId="169" fontId="6" fillId="0" borderId="24" xfId="54" applyNumberFormat="1" applyFont="1" applyBorder="1" applyAlignment="1" applyProtection="1" quotePrefix="1">
      <alignment horizontal="center"/>
      <protection locked="0"/>
    </xf>
    <xf numFmtId="2" fontId="6" fillId="0" borderId="24" xfId="54" applyNumberFormat="1" applyFont="1" applyBorder="1" applyAlignment="1" applyProtection="1" quotePrefix="1">
      <alignment horizontal="center"/>
      <protection locked="0"/>
    </xf>
    <xf numFmtId="172" fontId="47" fillId="16" borderId="23" xfId="54" applyNumberFormat="1" applyFont="1" applyFill="1" applyBorder="1" applyAlignment="1" applyProtection="1">
      <alignment horizontal="center"/>
      <protection locked="0"/>
    </xf>
    <xf numFmtId="22" fontId="6" fillId="0" borderId="23" xfId="54" applyNumberFormat="1" applyFont="1" applyFill="1" applyBorder="1" applyAlignment="1" applyProtection="1">
      <alignment horizontal="center"/>
      <protection locked="0"/>
    </xf>
    <xf numFmtId="2" fontId="6" fillId="0" borderId="23" xfId="54" applyNumberFormat="1" applyFont="1" applyFill="1" applyBorder="1" applyAlignment="1" applyProtection="1">
      <alignment horizontal="center"/>
      <protection/>
    </xf>
    <xf numFmtId="3" fontId="6" fillId="0" borderId="23" xfId="54" applyNumberFormat="1" applyFont="1" applyFill="1" applyBorder="1" applyAlignment="1" applyProtection="1">
      <alignment horizontal="center"/>
      <protection/>
    </xf>
    <xf numFmtId="172" fontId="6" fillId="0" borderId="23" xfId="54" applyNumberFormat="1" applyFont="1" applyFill="1" applyBorder="1" applyAlignment="1" applyProtection="1">
      <alignment horizontal="center"/>
      <protection locked="0"/>
    </xf>
    <xf numFmtId="172" fontId="6" fillId="0" borderId="23" xfId="54" applyNumberFormat="1" applyFont="1" applyFill="1" applyBorder="1" applyAlignment="1" applyProtection="1" quotePrefix="1">
      <alignment horizontal="center"/>
      <protection locked="0"/>
    </xf>
    <xf numFmtId="2" fontId="34" fillId="6" borderId="23" xfId="54" applyNumberFormat="1" applyFont="1" applyFill="1" applyBorder="1" applyAlignment="1" applyProtection="1">
      <alignment horizontal="center"/>
      <protection locked="0"/>
    </xf>
    <xf numFmtId="2" fontId="48" fillId="26" borderId="23" xfId="54" applyNumberFormat="1" applyFont="1" applyFill="1" applyBorder="1" applyAlignment="1" applyProtection="1">
      <alignment horizontal="center"/>
      <protection locked="0"/>
    </xf>
    <xf numFmtId="172" fontId="48" fillId="27" borderId="33" xfId="54" applyNumberFormat="1" applyFont="1" applyFill="1" applyBorder="1" applyAlignment="1" applyProtection="1" quotePrefix="1">
      <alignment horizontal="center"/>
      <protection locked="0"/>
    </xf>
    <xf numFmtId="172" fontId="48" fillId="27" borderId="35" xfId="54" applyNumberFormat="1" applyFont="1" applyFill="1" applyBorder="1" applyAlignment="1" applyProtection="1" quotePrefix="1">
      <alignment horizontal="center"/>
      <protection locked="0"/>
    </xf>
    <xf numFmtId="172" fontId="49" fillId="28" borderId="33" xfId="54" applyNumberFormat="1" applyFont="1" applyFill="1" applyBorder="1" applyAlignment="1" applyProtection="1" quotePrefix="1">
      <alignment horizontal="center"/>
      <protection locked="0"/>
    </xf>
    <xf numFmtId="172" fontId="49" fillId="28" borderId="35" xfId="54" applyNumberFormat="1" applyFont="1" applyFill="1" applyBorder="1" applyAlignment="1" applyProtection="1" quotePrefix="1">
      <alignment horizontal="center"/>
      <protection locked="0"/>
    </xf>
    <xf numFmtId="172" fontId="37" fillId="23" borderId="23" xfId="54" applyNumberFormat="1" applyFont="1" applyFill="1" applyBorder="1" applyAlignment="1" applyProtection="1" quotePrefix="1">
      <alignment horizontal="center"/>
      <protection locked="0"/>
    </xf>
    <xf numFmtId="172" fontId="48" fillId="3" borderId="24" xfId="54" applyNumberFormat="1" applyFont="1" applyFill="1" applyBorder="1" applyAlignment="1" applyProtection="1" quotePrefix="1">
      <alignment horizontal="center"/>
      <protection locked="0"/>
    </xf>
    <xf numFmtId="172" fontId="39" fillId="0" borderId="34" xfId="54" applyNumberFormat="1" applyFont="1" applyFill="1" applyBorder="1" applyAlignment="1">
      <alignment horizontal="right"/>
      <protection/>
    </xf>
    <xf numFmtId="2" fontId="6" fillId="0" borderId="14" xfId="54" applyNumberFormat="1" applyFont="1" applyFill="1" applyBorder="1">
      <alignment/>
      <protection/>
    </xf>
    <xf numFmtId="0" fontId="6" fillId="0" borderId="25" xfId="54" applyFont="1" applyFill="1" applyBorder="1">
      <alignment/>
      <protection/>
    </xf>
    <xf numFmtId="0" fontId="47" fillId="16" borderId="25" xfId="54" applyFont="1" applyFill="1" applyBorder="1">
      <alignment/>
      <protection/>
    </xf>
    <xf numFmtId="0" fontId="38" fillId="21" borderId="25" xfId="54" applyFont="1" applyFill="1" applyBorder="1">
      <alignment/>
      <protection/>
    </xf>
    <xf numFmtId="0" fontId="34" fillId="6" borderId="25" xfId="54" applyFont="1" applyFill="1" applyBorder="1">
      <alignment/>
      <protection/>
    </xf>
    <xf numFmtId="0" fontId="48" fillId="26" borderId="25" xfId="54" applyFont="1" applyFill="1" applyBorder="1">
      <alignment/>
      <protection/>
    </xf>
    <xf numFmtId="0" fontId="48" fillId="27" borderId="36" xfId="54" applyFont="1" applyFill="1" applyBorder="1">
      <alignment/>
      <protection/>
    </xf>
    <xf numFmtId="0" fontId="48" fillId="27" borderId="37" xfId="54" applyFont="1" applyFill="1" applyBorder="1">
      <alignment/>
      <protection/>
    </xf>
    <xf numFmtId="0" fontId="49" fillId="28" borderId="36" xfId="54" applyFont="1" applyFill="1" applyBorder="1">
      <alignment/>
      <protection/>
    </xf>
    <xf numFmtId="0" fontId="49" fillId="28" borderId="37" xfId="54" applyFont="1" applyFill="1" applyBorder="1">
      <alignment/>
      <protection/>
    </xf>
    <xf numFmtId="0" fontId="37" fillId="23" borderId="25" xfId="54" applyFont="1" applyFill="1" applyBorder="1">
      <alignment/>
      <protection/>
    </xf>
    <xf numFmtId="0" fontId="48" fillId="3" borderId="25" xfId="54" applyFont="1" applyFill="1" applyBorder="1">
      <alignment/>
      <protection/>
    </xf>
    <xf numFmtId="0" fontId="39" fillId="0" borderId="27" xfId="54" applyFont="1" applyFill="1" applyBorder="1" applyAlignment="1">
      <alignment horizontal="right"/>
      <protection/>
    </xf>
    <xf numFmtId="7" fontId="34" fillId="6" borderId="20" xfId="54" applyNumberFormat="1" applyFont="1" applyFill="1" applyBorder="1" applyAlignment="1">
      <alignment horizontal="center"/>
      <protection/>
    </xf>
    <xf numFmtId="7" fontId="48" fillId="26" borderId="20" xfId="54" applyNumberFormat="1" applyFont="1" applyFill="1" applyBorder="1" applyAlignment="1">
      <alignment horizontal="center"/>
      <protection/>
    </xf>
    <xf numFmtId="7" fontId="48" fillId="27" borderId="20" xfId="54" applyNumberFormat="1" applyFont="1" applyFill="1" applyBorder="1" applyAlignment="1">
      <alignment horizontal="center"/>
      <protection/>
    </xf>
    <xf numFmtId="7" fontId="48" fillId="27" borderId="38" xfId="54" applyNumberFormat="1" applyFont="1" applyFill="1" applyBorder="1" applyAlignment="1">
      <alignment horizontal="center"/>
      <protection/>
    </xf>
    <xf numFmtId="7" fontId="49" fillId="28" borderId="20" xfId="54" applyNumberFormat="1" applyFont="1" applyFill="1" applyBorder="1" applyAlignment="1">
      <alignment horizontal="center"/>
      <protection/>
    </xf>
    <xf numFmtId="7" fontId="37" fillId="23" borderId="20" xfId="54" applyNumberFormat="1" applyFont="1" applyFill="1" applyBorder="1" applyAlignment="1">
      <alignment horizontal="center"/>
      <protection/>
    </xf>
    <xf numFmtId="7" fontId="48" fillId="3" borderId="20" xfId="54" applyNumberFormat="1" applyFont="1" applyFill="1" applyBorder="1" applyAlignment="1">
      <alignment horizontal="center"/>
      <protection/>
    </xf>
    <xf numFmtId="0" fontId="6" fillId="0" borderId="39" xfId="54" applyFont="1" applyFill="1" applyBorder="1">
      <alignment/>
      <protection/>
    </xf>
    <xf numFmtId="7" fontId="2" fillId="0" borderId="20" xfId="54" applyNumberFormat="1" applyFont="1" applyFill="1" applyBorder="1" applyAlignment="1" applyProtection="1">
      <alignment horizontal="right"/>
      <protection locked="0"/>
    </xf>
    <xf numFmtId="0" fontId="40" fillId="0" borderId="13" xfId="54" applyFont="1" applyFill="1" applyBorder="1">
      <alignment/>
      <protection/>
    </xf>
    <xf numFmtId="0" fontId="40" fillId="0" borderId="0" xfId="54" applyFont="1" applyFill="1" applyBorder="1">
      <alignment/>
      <protection/>
    </xf>
    <xf numFmtId="7" fontId="40" fillId="0" borderId="0" xfId="54" applyNumberFormat="1" applyFont="1" applyFill="1" applyBorder="1" applyAlignment="1">
      <alignment horizontal="center"/>
      <protection/>
    </xf>
    <xf numFmtId="7" fontId="40" fillId="0" borderId="0" xfId="54" applyNumberFormat="1" applyFont="1" applyFill="1" applyBorder="1" applyAlignment="1" applyProtection="1">
      <alignment horizontal="right"/>
      <protection locked="0"/>
    </xf>
    <xf numFmtId="0" fontId="40" fillId="0" borderId="14" xfId="54" applyFont="1" applyFill="1" applyBorder="1">
      <alignment/>
      <protection/>
    </xf>
    <xf numFmtId="0" fontId="6" fillId="0" borderId="17" xfId="54" applyFont="1" applyFill="1" applyBorder="1">
      <alignment/>
      <protection/>
    </xf>
    <xf numFmtId="0" fontId="6" fillId="0" borderId="18" xfId="54" applyFont="1" applyFill="1" applyBorder="1">
      <alignment/>
      <protection/>
    </xf>
    <xf numFmtId="0" fontId="6" fillId="0" borderId="19" xfId="54" applyFont="1" applyFill="1" applyBorder="1">
      <alignment/>
      <protection/>
    </xf>
    <xf numFmtId="0" fontId="0" fillId="0" borderId="0" xfId="54" applyFont="1" applyFill="1" applyBorder="1">
      <alignment/>
      <protection/>
    </xf>
    <xf numFmtId="0" fontId="8" fillId="0" borderId="0" xfId="54" applyFont="1" applyAlignment="1">
      <alignment horizontal="centerContinuous" vertical="center"/>
      <protection/>
    </xf>
    <xf numFmtId="0" fontId="6" fillId="0" borderId="0" xfId="54" applyFont="1" applyAlignment="1">
      <alignment horizontal="centerContinuous" vertical="center"/>
      <protection/>
    </xf>
    <xf numFmtId="0" fontId="11" fillId="0" borderId="0" xfId="54" applyFont="1" applyAlignment="1">
      <alignment horizontal="centerContinuous"/>
      <protection/>
    </xf>
    <xf numFmtId="0" fontId="50" fillId="0" borderId="0" xfId="54" applyFont="1" applyBorder="1">
      <alignment/>
      <protection/>
    </xf>
    <xf numFmtId="0" fontId="20" fillId="0" borderId="0" xfId="54" applyFont="1" applyFill="1" applyBorder="1" applyAlignment="1" applyProtection="1" quotePrefix="1">
      <alignment horizontal="centerContinuous"/>
      <protection locked="0"/>
    </xf>
    <xf numFmtId="0" fontId="1" fillId="0" borderId="15" xfId="54" applyFont="1" applyBorder="1" applyAlignment="1" applyProtection="1">
      <alignment horizontal="left"/>
      <protection/>
    </xf>
    <xf numFmtId="174" fontId="1" fillId="0" borderId="38" xfId="54" applyNumberFormat="1" applyFont="1" applyBorder="1" applyAlignment="1" applyProtection="1">
      <alignment horizontal="center"/>
      <protection/>
    </xf>
    <xf numFmtId="0" fontId="1" fillId="0" borderId="20" xfId="54" applyFont="1" applyBorder="1" applyAlignment="1">
      <alignment horizontal="center"/>
      <protection/>
    </xf>
    <xf numFmtId="22" fontId="6" fillId="0" borderId="0" xfId="54" applyNumberFormat="1" applyFont="1" applyBorder="1">
      <alignment/>
      <protection/>
    </xf>
    <xf numFmtId="0" fontId="1" fillId="0" borderId="15" xfId="54" applyFont="1" applyBorder="1">
      <alignment/>
      <protection/>
    </xf>
    <xf numFmtId="174" fontId="51" fillId="0" borderId="38" xfId="54" applyNumberFormat="1" applyFont="1" applyBorder="1" applyAlignment="1">
      <alignment horizontal="center"/>
      <protection/>
    </xf>
    <xf numFmtId="0" fontId="1" fillId="0" borderId="25" xfId="54" applyFont="1" applyBorder="1" applyAlignment="1">
      <alignment horizontal="center"/>
      <protection/>
    </xf>
    <xf numFmtId="174" fontId="6" fillId="0" borderId="0" xfId="54" applyNumberFormat="1" applyFont="1" applyBorder="1">
      <alignment/>
      <protection/>
    </xf>
    <xf numFmtId="0" fontId="6" fillId="0" borderId="0" xfId="54" applyFont="1" applyBorder="1" applyAlignment="1" quotePrefix="1">
      <alignment horizontal="center"/>
      <protection/>
    </xf>
    <xf numFmtId="0" fontId="1" fillId="0" borderId="15" xfId="54" applyFont="1" applyBorder="1" applyAlignment="1">
      <alignment horizontal="left"/>
      <protection/>
    </xf>
    <xf numFmtId="1" fontId="1" fillId="0" borderId="25" xfId="54" applyNumberFormat="1" applyFont="1" applyBorder="1" applyAlignment="1">
      <alignment horizontal="center"/>
      <protection/>
    </xf>
    <xf numFmtId="0" fontId="25" fillId="0" borderId="0" xfId="54" applyFont="1">
      <alignment/>
      <protection/>
    </xf>
    <xf numFmtId="0" fontId="25" fillId="0" borderId="13" xfId="54" applyFont="1" applyBorder="1">
      <alignment/>
      <protection/>
    </xf>
    <xf numFmtId="0" fontId="25" fillId="0" borderId="16" xfId="54" applyFont="1" applyFill="1" applyBorder="1" applyAlignment="1" applyProtection="1">
      <alignment horizontal="center" vertical="center"/>
      <protection/>
    </xf>
    <xf numFmtId="0" fontId="25" fillId="0" borderId="21" xfId="54" applyFont="1" applyFill="1" applyBorder="1" applyAlignment="1">
      <alignment horizontal="center" vertical="center" wrapText="1"/>
      <protection/>
    </xf>
    <xf numFmtId="0" fontId="45" fillId="3" borderId="20" xfId="54" applyFont="1" applyFill="1" applyBorder="1" applyAlignment="1" applyProtection="1">
      <alignment horizontal="center" vertical="center"/>
      <protection/>
    </xf>
    <xf numFmtId="0" fontId="52" fillId="23" borderId="20" xfId="54" applyFont="1" applyFill="1" applyBorder="1" applyAlignment="1">
      <alignment horizontal="center" vertical="center" wrapText="1"/>
      <protection/>
    </xf>
    <xf numFmtId="0" fontId="45" fillId="28" borderId="15" xfId="54" applyFont="1" applyFill="1" applyBorder="1" applyAlignment="1" applyProtection="1">
      <alignment horizontal="centerContinuous" vertical="center" wrapText="1"/>
      <protection/>
    </xf>
    <xf numFmtId="0" fontId="45" fillId="28" borderId="16" xfId="54" applyFont="1" applyFill="1" applyBorder="1" applyAlignment="1">
      <alignment horizontal="centerContinuous" vertical="center"/>
      <protection/>
    </xf>
    <xf numFmtId="0" fontId="28" fillId="8" borderId="20" xfId="54" applyFont="1" applyFill="1" applyBorder="1" applyAlignment="1">
      <alignment horizontal="center" vertical="center" wrapText="1"/>
      <protection/>
    </xf>
    <xf numFmtId="0" fontId="25" fillId="0" borderId="14" xfId="54" applyFont="1" applyFill="1" applyBorder="1">
      <alignment/>
      <protection/>
    </xf>
    <xf numFmtId="168" fontId="6" fillId="0" borderId="23" xfId="54" applyNumberFormat="1" applyFont="1" applyFill="1" applyBorder="1" applyAlignment="1" applyProtection="1">
      <alignment horizontal="center"/>
      <protection locked="0"/>
    </xf>
    <xf numFmtId="0" fontId="33" fillId="16" borderId="22" xfId="54" applyFont="1" applyFill="1" applyBorder="1" applyAlignment="1" applyProtection="1">
      <alignment horizontal="center"/>
      <protection locked="0"/>
    </xf>
    <xf numFmtId="0" fontId="6" fillId="0" borderId="34" xfId="54" applyFont="1" applyFill="1" applyBorder="1" applyAlignment="1" applyProtection="1">
      <alignment horizontal="center"/>
      <protection locked="0"/>
    </xf>
    <xf numFmtId="0" fontId="53" fillId="3" borderId="22" xfId="54" applyFont="1" applyFill="1" applyBorder="1" applyAlignment="1" applyProtection="1">
      <alignment horizontal="center"/>
      <protection locked="0"/>
    </xf>
    <xf numFmtId="0" fontId="54" fillId="23" borderId="22" xfId="54" applyFont="1" applyFill="1" applyBorder="1" applyAlignment="1" applyProtection="1">
      <alignment horizontal="center"/>
      <protection locked="0"/>
    </xf>
    <xf numFmtId="172" fontId="48" fillId="28" borderId="30" xfId="54" applyNumberFormat="1" applyFont="1" applyFill="1" applyBorder="1" applyAlignment="1" applyProtection="1" quotePrefix="1">
      <alignment horizontal="center"/>
      <protection locked="0"/>
    </xf>
    <xf numFmtId="172" fontId="48" fillId="28" borderId="40" xfId="54" applyNumberFormat="1" applyFont="1" applyFill="1" applyBorder="1" applyAlignment="1" applyProtection="1" quotePrefix="1">
      <alignment horizontal="center"/>
      <protection locked="0"/>
    </xf>
    <xf numFmtId="172" fontId="34" fillId="8" borderId="22" xfId="54" applyNumberFormat="1" applyFont="1" applyFill="1" applyBorder="1" applyAlignment="1" applyProtection="1" quotePrefix="1">
      <alignment horizontal="center"/>
      <protection locked="0"/>
    </xf>
    <xf numFmtId="0" fontId="6" fillId="0" borderId="32" xfId="54" applyFont="1" applyFill="1" applyBorder="1" applyAlignment="1" applyProtection="1">
      <alignment horizontal="left"/>
      <protection locked="0"/>
    </xf>
    <xf numFmtId="0" fontId="39" fillId="0" borderId="23" xfId="54" applyFont="1" applyFill="1" applyBorder="1" applyAlignment="1">
      <alignment horizontal="center"/>
      <protection/>
    </xf>
    <xf numFmtId="0" fontId="55" fillId="0" borderId="32" xfId="54" applyFont="1" applyFill="1" applyBorder="1" applyAlignment="1" applyProtection="1">
      <alignment horizontal="center"/>
      <protection locked="0"/>
    </xf>
    <xf numFmtId="175" fontId="5" fillId="0" borderId="23" xfId="54" applyNumberFormat="1" applyFont="1" applyFill="1" applyBorder="1" applyAlignment="1" applyProtection="1">
      <alignment horizontal="center"/>
      <protection locked="0"/>
    </xf>
    <xf numFmtId="174" fontId="33" fillId="16" borderId="23" xfId="54" applyNumberFormat="1" applyFont="1" applyFill="1" applyBorder="1" applyAlignment="1" applyProtection="1">
      <alignment horizontal="center"/>
      <protection locked="0"/>
    </xf>
    <xf numFmtId="22" fontId="6" fillId="0" borderId="24" xfId="54" applyNumberFormat="1" applyFont="1" applyFill="1" applyBorder="1" applyAlignment="1" applyProtection="1">
      <alignment horizontal="center"/>
      <protection locked="0"/>
    </xf>
    <xf numFmtId="22" fontId="6" fillId="0" borderId="35" xfId="54" applyNumberFormat="1" applyFont="1" applyFill="1" applyBorder="1" applyAlignment="1" applyProtection="1">
      <alignment horizontal="center"/>
      <protection locked="0"/>
    </xf>
    <xf numFmtId="168" fontId="6" fillId="0" borderId="23" xfId="54" applyNumberFormat="1" applyFont="1" applyFill="1" applyBorder="1" applyAlignment="1" applyProtection="1" quotePrefix="1">
      <alignment horizontal="center"/>
      <protection/>
    </xf>
    <xf numFmtId="168" fontId="53" fillId="3" borderId="23" xfId="54" applyNumberFormat="1" applyFont="1" applyFill="1" applyBorder="1" applyAlignment="1" applyProtection="1">
      <alignment horizontal="center"/>
      <protection locked="0"/>
    </xf>
    <xf numFmtId="2" fontId="54" fillId="23" borderId="23" xfId="54" applyNumberFormat="1" applyFont="1" applyFill="1" applyBorder="1" applyAlignment="1" applyProtection="1">
      <alignment horizontal="center"/>
      <protection locked="0"/>
    </xf>
    <xf numFmtId="172" fontId="48" fillId="28" borderId="33" xfId="54" applyNumberFormat="1" applyFont="1" applyFill="1" applyBorder="1" applyAlignment="1" applyProtection="1" quotePrefix="1">
      <alignment horizontal="center"/>
      <protection locked="0"/>
    </xf>
    <xf numFmtId="172" fontId="48" fillId="28" borderId="35" xfId="54" applyNumberFormat="1" applyFont="1" applyFill="1" applyBorder="1" applyAlignment="1" applyProtection="1" quotePrefix="1">
      <alignment horizontal="center"/>
      <protection locked="0"/>
    </xf>
    <xf numFmtId="172" fontId="34" fillId="8" borderId="23" xfId="54" applyNumberFormat="1" applyFont="1" applyFill="1" applyBorder="1" applyAlignment="1" applyProtection="1" quotePrefix="1">
      <alignment horizontal="center"/>
      <protection locked="0"/>
    </xf>
    <xf numFmtId="172" fontId="6" fillId="0" borderId="32" xfId="54" applyNumberFormat="1" applyFont="1" applyFill="1" applyBorder="1" applyAlignment="1" applyProtection="1">
      <alignment horizontal="center"/>
      <protection locked="0"/>
    </xf>
    <xf numFmtId="172" fontId="39" fillId="0" borderId="23" xfId="54" applyNumberFormat="1" applyFont="1" applyFill="1" applyBorder="1" applyAlignment="1">
      <alignment horizontal="center"/>
      <protection/>
    </xf>
    <xf numFmtId="175" fontId="5" fillId="0" borderId="23" xfId="54" applyNumberFormat="1" applyFont="1" applyFill="1" applyBorder="1" applyAlignment="1" applyProtection="1" quotePrefix="1">
      <alignment horizontal="center"/>
      <protection locked="0"/>
    </xf>
    <xf numFmtId="172" fontId="39" fillId="0" borderId="23" xfId="54" applyNumberFormat="1" applyFont="1" applyFill="1" applyBorder="1" applyAlignment="1">
      <alignment horizontal="right"/>
      <protection/>
    </xf>
    <xf numFmtId="0" fontId="33" fillId="16" borderId="25" xfId="54" applyFont="1" applyFill="1" applyBorder="1">
      <alignment/>
      <protection/>
    </xf>
    <xf numFmtId="0" fontId="53" fillId="3" borderId="25" xfId="54" applyFont="1" applyFill="1" applyBorder="1">
      <alignment/>
      <protection/>
    </xf>
    <xf numFmtId="0" fontId="54" fillId="23" borderId="25" xfId="54" applyFont="1" applyFill="1" applyBorder="1">
      <alignment/>
      <protection/>
    </xf>
    <xf numFmtId="0" fontId="48" fillId="28" borderId="36" xfId="54" applyFont="1" applyFill="1" applyBorder="1">
      <alignment/>
      <protection/>
    </xf>
    <xf numFmtId="0" fontId="48" fillId="28" borderId="37" xfId="54" applyFont="1" applyFill="1" applyBorder="1">
      <alignment/>
      <protection/>
    </xf>
    <xf numFmtId="0" fontId="34" fillId="8" borderId="25" xfId="54" applyFont="1" applyFill="1" applyBorder="1">
      <alignment/>
      <protection/>
    </xf>
    <xf numFmtId="0" fontId="39" fillId="0" borderId="27" xfId="54" applyFont="1" applyFill="1" applyBorder="1">
      <alignment/>
      <protection/>
    </xf>
    <xf numFmtId="2" fontId="54" fillId="23" borderId="20" xfId="54" applyNumberFormat="1" applyFont="1" applyFill="1" applyBorder="1" applyAlignment="1">
      <alignment horizontal="center"/>
      <protection/>
    </xf>
    <xf numFmtId="2" fontId="48" fillId="28" borderId="20" xfId="54" applyNumberFormat="1" applyFont="1" applyFill="1" applyBorder="1" applyAlignment="1">
      <alignment horizontal="center"/>
      <protection/>
    </xf>
    <xf numFmtId="2" fontId="34" fillId="8" borderId="20" xfId="54" applyNumberFormat="1" applyFont="1" applyFill="1" applyBorder="1" applyAlignment="1">
      <alignment horizontal="center"/>
      <protection/>
    </xf>
    <xf numFmtId="7" fontId="6" fillId="0" borderId="0" xfId="54" applyNumberFormat="1" applyFont="1" applyFill="1" applyBorder="1" applyAlignment="1">
      <alignment horizontal="center"/>
      <protection/>
    </xf>
    <xf numFmtId="7" fontId="2" fillId="0" borderId="20" xfId="54" applyNumberFormat="1" applyFont="1" applyFill="1" applyBorder="1" applyAlignment="1" applyProtection="1">
      <alignment horizontal="right"/>
      <protection locked="0"/>
    </xf>
    <xf numFmtId="7" fontId="44" fillId="0" borderId="0" xfId="54" applyNumberFormat="1" applyFont="1" applyFill="1" applyBorder="1" applyAlignment="1" applyProtection="1">
      <alignment horizontal="center"/>
      <protection locked="0"/>
    </xf>
    <xf numFmtId="0" fontId="1" fillId="0" borderId="0" xfId="54" applyFont="1">
      <alignment/>
      <protection/>
    </xf>
    <xf numFmtId="0" fontId="56" fillId="0" borderId="0" xfId="54" applyFont="1" applyAlignment="1">
      <alignment horizontal="right" vertical="top"/>
      <protection/>
    </xf>
    <xf numFmtId="0" fontId="56" fillId="0" borderId="0" xfId="54" applyFont="1" applyFill="1" applyAlignment="1">
      <alignment horizontal="right" vertical="top"/>
      <protection/>
    </xf>
    <xf numFmtId="0" fontId="21" fillId="0" borderId="0" xfId="54" applyFont="1" applyBorder="1" applyAlignment="1">
      <alignment horizontal="center"/>
      <protection/>
    </xf>
    <xf numFmtId="0" fontId="57" fillId="0" borderId="0" xfId="54" applyNumberFormat="1" applyFont="1" applyBorder="1" applyAlignment="1">
      <alignment horizontal="left"/>
      <protection/>
    </xf>
    <xf numFmtId="0" fontId="6" fillId="0" borderId="32" xfId="54" applyFont="1" applyFill="1" applyBorder="1" applyProtection="1">
      <alignment/>
      <protection locked="0"/>
    </xf>
    <xf numFmtId="0" fontId="25" fillId="0" borderId="20" xfId="0" applyFont="1" applyBorder="1" applyAlignment="1">
      <alignment horizontal="center" vertical="center"/>
    </xf>
    <xf numFmtId="0" fontId="1" fillId="16" borderId="41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41" xfId="0" applyFont="1" applyBorder="1" applyAlignment="1">
      <alignment/>
    </xf>
    <xf numFmtId="0" fontId="1" fillId="0" borderId="41" xfId="0" applyFont="1" applyBorder="1" applyAlignment="1" quotePrefix="1">
      <alignment/>
    </xf>
    <xf numFmtId="0" fontId="59" fillId="16" borderId="41" xfId="0" applyFont="1" applyFill="1" applyBorder="1" applyAlignment="1">
      <alignment horizontal="center"/>
    </xf>
    <xf numFmtId="0" fontId="1" fillId="29" borderId="0" xfId="0" applyFont="1" applyFill="1" applyAlignment="1">
      <alignment/>
    </xf>
    <xf numFmtId="0" fontId="1" fillId="29" borderId="0" xfId="0" applyNumberFormat="1" applyFont="1" applyFill="1" applyAlignment="1">
      <alignment/>
    </xf>
    <xf numFmtId="0" fontId="59" fillId="0" borderId="41" xfId="0" applyFont="1" applyFill="1" applyBorder="1" applyAlignment="1">
      <alignment horizontal="center"/>
    </xf>
    <xf numFmtId="0" fontId="1" fillId="29" borderId="0" xfId="53" applyFont="1" applyFill="1" applyAlignment="1">
      <alignment/>
      <protection/>
    </xf>
    <xf numFmtId="0" fontId="1" fillId="0" borderId="0" xfId="0" applyFont="1" applyFill="1" applyAlignment="1">
      <alignment/>
    </xf>
    <xf numFmtId="0" fontId="7" fillId="0" borderId="41" xfId="0" applyFont="1" applyBorder="1" applyAlignment="1">
      <alignment/>
    </xf>
    <xf numFmtId="0" fontId="7" fillId="0" borderId="41" xfId="0" applyFont="1" applyFill="1" applyBorder="1" applyAlignment="1">
      <alignment/>
    </xf>
    <xf numFmtId="0" fontId="7" fillId="0" borderId="42" xfId="0" applyFont="1" applyBorder="1" applyAlignment="1">
      <alignment/>
    </xf>
    <xf numFmtId="0" fontId="60" fillId="0" borderId="41" xfId="0" applyFont="1" applyFill="1" applyBorder="1" applyAlignment="1">
      <alignment/>
    </xf>
    <xf numFmtId="0" fontId="60" fillId="0" borderId="42" xfId="0" applyFont="1" applyFill="1" applyBorder="1" applyAlignment="1">
      <alignment/>
    </xf>
    <xf numFmtId="174" fontId="1" fillId="0" borderId="38" xfId="54" applyNumberFormat="1" applyFont="1" applyBorder="1" applyAlignment="1">
      <alignment horizontal="center"/>
      <protection/>
    </xf>
    <xf numFmtId="0" fontId="53" fillId="0" borderId="0" xfId="54" applyFont="1" applyBorder="1">
      <alignment/>
      <protection/>
    </xf>
    <xf numFmtId="0" fontId="53" fillId="0" borderId="0" xfId="54" applyFont="1" applyFill="1" applyBorder="1">
      <alignment/>
      <protection/>
    </xf>
    <xf numFmtId="8" fontId="39" fillId="0" borderId="22" xfId="54" applyNumberFormat="1" applyFont="1" applyBorder="1" applyAlignment="1">
      <alignment horizontal="center"/>
      <protection/>
    </xf>
    <xf numFmtId="169" fontId="6" fillId="0" borderId="24" xfId="54" applyNumberFormat="1" applyFont="1" applyBorder="1" applyAlignment="1" applyProtection="1">
      <alignment horizontal="center"/>
      <protection locked="0"/>
    </xf>
    <xf numFmtId="0" fontId="62" fillId="0" borderId="0" xfId="54" applyFont="1" applyBorder="1" applyAlignment="1">
      <alignment horizontal="left"/>
      <protection/>
    </xf>
    <xf numFmtId="0" fontId="62" fillId="0" borderId="28" xfId="54" applyFont="1" applyBorder="1" applyAlignment="1">
      <alignment horizontal="center"/>
      <protection/>
    </xf>
    <xf numFmtId="0" fontId="6" fillId="0" borderId="24" xfId="54" applyNumberFormat="1" applyFont="1" applyBorder="1" applyAlignment="1" applyProtection="1">
      <alignment horizontal="center"/>
      <protection locked="0"/>
    </xf>
    <xf numFmtId="0" fontId="57" fillId="0" borderId="13" xfId="54" applyNumberFormat="1" applyFont="1" applyBorder="1" applyAlignment="1">
      <alignment horizontal="left"/>
      <protection/>
    </xf>
    <xf numFmtId="0" fontId="1" fillId="0" borderId="0" xfId="55">
      <alignment/>
      <protection/>
    </xf>
    <xf numFmtId="0" fontId="56" fillId="0" borderId="0" xfId="55" applyFont="1" applyAlignment="1">
      <alignment horizontal="right" vertical="top"/>
      <protection/>
    </xf>
    <xf numFmtId="0" fontId="81" fillId="0" borderId="0" xfId="55" applyFont="1">
      <alignment/>
      <protection/>
    </xf>
    <xf numFmtId="0" fontId="82" fillId="0" borderId="0" xfId="55" applyFont="1" applyAlignment="1">
      <alignment horizontal="centerContinuous"/>
      <protection/>
    </xf>
    <xf numFmtId="0" fontId="4" fillId="0" borderId="0" xfId="55" applyFont="1" applyBorder="1" applyAlignment="1" applyProtection="1">
      <alignment horizontal="centerContinuous" vertical="center"/>
      <protection/>
    </xf>
    <xf numFmtId="0" fontId="59" fillId="0" borderId="0" xfId="55" applyFont="1" applyAlignment="1">
      <alignment horizontal="centerContinuous" vertical="center"/>
      <protection/>
    </xf>
    <xf numFmtId="0" fontId="59" fillId="0" borderId="0" xfId="55" applyFont="1">
      <alignment/>
      <protection/>
    </xf>
    <xf numFmtId="0" fontId="83" fillId="0" borderId="0" xfId="55" applyFont="1" applyBorder="1" applyAlignment="1">
      <alignment horizontal="centerContinuous"/>
      <protection/>
    </xf>
    <xf numFmtId="0" fontId="84" fillId="0" borderId="0" xfId="55" applyFont="1" applyBorder="1" applyAlignment="1" applyProtection="1">
      <alignment horizontal="left"/>
      <protection/>
    </xf>
    <xf numFmtId="0" fontId="85" fillId="0" borderId="0" xfId="55" applyFont="1" applyBorder="1" applyAlignment="1">
      <alignment horizontal="centerContinuous"/>
      <protection/>
    </xf>
    <xf numFmtId="0" fontId="86" fillId="0" borderId="0" xfId="55" applyFont="1" applyBorder="1" applyAlignment="1" applyProtection="1">
      <alignment horizontal="centerContinuous"/>
      <protection/>
    </xf>
    <xf numFmtId="0" fontId="1" fillId="0" borderId="0" xfId="55" applyAlignment="1">
      <alignment horizontal="centerContinuous"/>
      <protection/>
    </xf>
    <xf numFmtId="0" fontId="86" fillId="0" borderId="0" xfId="55" applyFont="1" applyAlignment="1">
      <alignment horizontal="centerContinuous"/>
      <protection/>
    </xf>
    <xf numFmtId="0" fontId="1" fillId="0" borderId="10" xfId="55" applyBorder="1">
      <alignment/>
      <protection/>
    </xf>
    <xf numFmtId="0" fontId="1" fillId="0" borderId="11" xfId="55" applyBorder="1">
      <alignment/>
      <protection/>
    </xf>
    <xf numFmtId="0" fontId="87" fillId="0" borderId="11" xfId="55" applyFont="1" applyBorder="1">
      <alignment/>
      <protection/>
    </xf>
    <xf numFmtId="0" fontId="1" fillId="0" borderId="12" xfId="55" applyBorder="1">
      <alignment/>
      <protection/>
    </xf>
    <xf numFmtId="0" fontId="20" fillId="0" borderId="13" xfId="55" applyFont="1" applyBorder="1" applyAlignment="1">
      <alignment horizontal="centerContinuous"/>
      <protection/>
    </xf>
    <xf numFmtId="0" fontId="87" fillId="0" borderId="0" xfId="55" applyFont="1" applyBorder="1" applyAlignment="1">
      <alignment horizontal="centerContinuous"/>
      <protection/>
    </xf>
    <xf numFmtId="0" fontId="1" fillId="0" borderId="0" xfId="55" applyBorder="1" applyAlignment="1">
      <alignment horizontal="centerContinuous"/>
      <protection/>
    </xf>
    <xf numFmtId="0" fontId="1" fillId="0" borderId="14" xfId="55" applyBorder="1" applyAlignment="1">
      <alignment horizontal="centerContinuous"/>
      <protection/>
    </xf>
    <xf numFmtId="0" fontId="1" fillId="0" borderId="13" xfId="55" applyBorder="1">
      <alignment/>
      <protection/>
    </xf>
    <xf numFmtId="0" fontId="1" fillId="0" borderId="43" xfId="55" applyBorder="1">
      <alignment/>
      <protection/>
    </xf>
    <xf numFmtId="0" fontId="87" fillId="0" borderId="0" xfId="55" applyFont="1" applyBorder="1" applyAlignment="1" applyProtection="1">
      <alignment horizontal="center"/>
      <protection/>
    </xf>
    <xf numFmtId="0" fontId="87" fillId="0" borderId="0" xfId="55" applyFont="1" applyBorder="1">
      <alignment/>
      <protection/>
    </xf>
    <xf numFmtId="0" fontId="1" fillId="0" borderId="0" xfId="55" applyBorder="1">
      <alignment/>
      <protection/>
    </xf>
    <xf numFmtId="0" fontId="1" fillId="0" borderId="14" xfId="55" applyBorder="1">
      <alignment/>
      <protection/>
    </xf>
    <xf numFmtId="0" fontId="88" fillId="0" borderId="0" xfId="55" applyFont="1" applyAlignment="1">
      <alignment horizontal="centerContinuous" vertical="center"/>
      <protection/>
    </xf>
    <xf numFmtId="0" fontId="88" fillId="0" borderId="13" xfId="55" applyFont="1" applyBorder="1" applyAlignment="1">
      <alignment horizontal="centerContinuous" vertical="center"/>
      <protection/>
    </xf>
    <xf numFmtId="0" fontId="88" fillId="30" borderId="44" xfId="55" applyFont="1" applyFill="1" applyBorder="1" applyAlignment="1" applyProtection="1">
      <alignment horizontal="centerContinuous" vertical="center"/>
      <protection/>
    </xf>
    <xf numFmtId="0" fontId="88" fillId="30" borderId="44" xfId="55" applyFont="1" applyFill="1" applyBorder="1" applyAlignment="1" applyProtection="1">
      <alignment horizontal="centerContinuous" vertical="center" wrapText="1"/>
      <protection/>
    </xf>
    <xf numFmtId="172" fontId="88" fillId="30" borderId="20" xfId="55" applyNumberFormat="1" applyFont="1" applyFill="1" applyBorder="1" applyAlignment="1" applyProtection="1">
      <alignment horizontal="centerContinuous" vertical="center" wrapText="1"/>
      <protection/>
    </xf>
    <xf numFmtId="17" fontId="88" fillId="30" borderId="16" xfId="55" applyNumberFormat="1" applyFont="1" applyFill="1" applyBorder="1" applyAlignment="1">
      <alignment horizontal="center" vertical="center"/>
      <protection/>
    </xf>
    <xf numFmtId="0" fontId="88" fillId="0" borderId="14" xfId="55" applyFont="1" applyBorder="1" applyAlignment="1">
      <alignment vertical="center"/>
      <protection/>
    </xf>
    <xf numFmtId="0" fontId="88" fillId="0" borderId="0" xfId="55" applyFont="1" applyAlignment="1">
      <alignment vertical="center"/>
      <protection/>
    </xf>
    <xf numFmtId="0" fontId="88" fillId="0" borderId="13" xfId="55" applyFont="1" applyBorder="1" applyAlignment="1">
      <alignment vertical="center"/>
      <protection/>
    </xf>
    <xf numFmtId="0" fontId="88" fillId="0" borderId="45" xfId="55" applyFont="1" applyBorder="1" applyAlignment="1">
      <alignment vertical="center"/>
      <protection/>
    </xf>
    <xf numFmtId="0" fontId="88" fillId="0" borderId="27" xfId="55" applyFont="1" applyBorder="1" applyAlignment="1">
      <alignment vertical="center"/>
      <protection/>
    </xf>
    <xf numFmtId="0" fontId="88" fillId="31" borderId="27" xfId="56" applyFont="1" applyFill="1" applyBorder="1" applyAlignment="1">
      <alignment vertical="center"/>
      <protection/>
    </xf>
    <xf numFmtId="0" fontId="88" fillId="0" borderId="46" xfId="55" applyFont="1" applyBorder="1" applyAlignment="1">
      <alignment vertical="center"/>
      <protection/>
    </xf>
    <xf numFmtId="1" fontId="88" fillId="31" borderId="47" xfId="56" applyNumberFormat="1" applyFont="1" applyFill="1" applyBorder="1" applyAlignment="1">
      <alignment horizontal="center" vertical="center"/>
      <protection/>
    </xf>
    <xf numFmtId="0" fontId="88" fillId="0" borderId="48" xfId="55" applyFont="1" applyBorder="1" applyAlignment="1">
      <alignment horizontal="center" vertical="center"/>
      <protection/>
    </xf>
    <xf numFmtId="0" fontId="88" fillId="0" borderId="49" xfId="55" applyFont="1" applyBorder="1" applyAlignment="1" applyProtection="1">
      <alignment horizontal="left" vertical="center"/>
      <protection/>
    </xf>
    <xf numFmtId="0" fontId="88" fillId="0" borderId="49" xfId="55" applyFont="1" applyBorder="1" applyAlignment="1" applyProtection="1">
      <alignment horizontal="center" vertical="center"/>
      <protection/>
    </xf>
    <xf numFmtId="2" fontId="88" fillId="0" borderId="26" xfId="55" applyNumberFormat="1" applyFont="1" applyBorder="1" applyAlignment="1" applyProtection="1">
      <alignment horizontal="center" vertical="center"/>
      <protection/>
    </xf>
    <xf numFmtId="0" fontId="88" fillId="0" borderId="0" xfId="55" applyFont="1" applyBorder="1" applyAlignment="1">
      <alignment horizontal="center" vertical="center"/>
      <protection/>
    </xf>
    <xf numFmtId="0" fontId="88" fillId="0" borderId="0" xfId="55" applyFont="1" applyBorder="1" applyAlignment="1" applyProtection="1">
      <alignment horizontal="left" vertical="center"/>
      <protection/>
    </xf>
    <xf numFmtId="0" fontId="89" fillId="0" borderId="28" xfId="55" applyFont="1" applyBorder="1" applyAlignment="1" applyProtection="1">
      <alignment horizontal="right" vertical="center"/>
      <protection/>
    </xf>
    <xf numFmtId="172" fontId="89" fillId="0" borderId="26" xfId="55" applyNumberFormat="1" applyFont="1" applyBorder="1" applyAlignment="1" applyProtection="1">
      <alignment horizontal="center" vertical="center"/>
      <protection/>
    </xf>
    <xf numFmtId="1" fontId="88" fillId="0" borderId="20" xfId="55" applyNumberFormat="1" applyFont="1" applyFill="1" applyBorder="1" applyAlignment="1">
      <alignment horizontal="center" vertical="center"/>
      <protection/>
    </xf>
    <xf numFmtId="1" fontId="88" fillId="0" borderId="20" xfId="55" applyNumberFormat="1" applyFont="1" applyBorder="1" applyAlignment="1">
      <alignment horizontal="center" vertical="center"/>
      <protection/>
    </xf>
    <xf numFmtId="0" fontId="88" fillId="0" borderId="0" xfId="55" applyFont="1" applyBorder="1" applyAlignment="1">
      <alignment vertical="center"/>
      <protection/>
    </xf>
    <xf numFmtId="0" fontId="88" fillId="0" borderId="0" xfId="55" applyFont="1" applyBorder="1" applyAlignment="1" applyProtection="1">
      <alignment horizontal="center" vertical="center"/>
      <protection/>
    </xf>
    <xf numFmtId="0" fontId="89" fillId="0" borderId="0" xfId="55" applyFont="1" applyAlignment="1">
      <alignment horizontal="right" vertical="center"/>
      <protection/>
    </xf>
    <xf numFmtId="1" fontId="88" fillId="0" borderId="38" xfId="55" applyNumberFormat="1" applyFont="1" applyBorder="1" applyAlignment="1" applyProtection="1">
      <alignment horizontal="center" vertical="center"/>
      <protection/>
    </xf>
    <xf numFmtId="17" fontId="89" fillId="0" borderId="0" xfId="55" applyNumberFormat="1" applyFont="1" applyBorder="1" applyAlignment="1">
      <alignment horizontal="right" vertical="center"/>
      <protection/>
    </xf>
    <xf numFmtId="2" fontId="89" fillId="32" borderId="26" xfId="56" applyNumberFormat="1" applyFont="1" applyFill="1" applyBorder="1" applyAlignment="1">
      <alignment horizontal="center" vertical="center"/>
      <protection/>
    </xf>
    <xf numFmtId="0" fontId="6" fillId="0" borderId="0" xfId="55" applyFont="1" applyBorder="1">
      <alignment/>
      <protection/>
    </xf>
    <xf numFmtId="0" fontId="3" fillId="0" borderId="0" xfId="55" applyFont="1" applyBorder="1" applyAlignment="1" applyProtection="1">
      <alignment horizontal="center"/>
      <protection/>
    </xf>
    <xf numFmtId="172" fontId="3" fillId="0" borderId="0" xfId="55" applyNumberFormat="1" applyFont="1" applyBorder="1" applyAlignment="1" applyProtection="1">
      <alignment horizontal="right"/>
      <protection/>
    </xf>
    <xf numFmtId="2" fontId="1" fillId="0" borderId="0" xfId="55" applyNumberFormat="1" applyBorder="1" applyAlignment="1">
      <alignment horizontal="center"/>
      <protection/>
    </xf>
    <xf numFmtId="2" fontId="1" fillId="0" borderId="14" xfId="55" applyNumberFormat="1" applyBorder="1" applyAlignment="1">
      <alignment horizontal="center"/>
      <protection/>
    </xf>
    <xf numFmtId="0" fontId="90" fillId="0" borderId="13" xfId="55" applyFont="1" applyBorder="1">
      <alignment/>
      <protection/>
    </xf>
    <xf numFmtId="0" fontId="1" fillId="0" borderId="15" xfId="55" applyFont="1" applyBorder="1">
      <alignment/>
      <protection/>
    </xf>
    <xf numFmtId="0" fontId="91" fillId="0" borderId="21" xfId="55" applyFont="1" applyBorder="1" applyAlignment="1">
      <alignment horizontal="center"/>
      <protection/>
    </xf>
    <xf numFmtId="2" fontId="92" fillId="0" borderId="21" xfId="55" applyNumberFormat="1" applyFont="1" applyBorder="1" applyAlignment="1">
      <alignment horizontal="center"/>
      <protection/>
    </xf>
    <xf numFmtId="0" fontId="93" fillId="0" borderId="21" xfId="55" applyFont="1" applyBorder="1">
      <alignment/>
      <protection/>
    </xf>
    <xf numFmtId="0" fontId="1" fillId="0" borderId="21" xfId="55" applyBorder="1">
      <alignment/>
      <protection/>
    </xf>
    <xf numFmtId="0" fontId="1" fillId="0" borderId="16" xfId="55" applyBorder="1">
      <alignment/>
      <protection/>
    </xf>
    <xf numFmtId="1" fontId="1" fillId="0" borderId="0" xfId="55" applyNumberFormat="1" applyBorder="1" applyAlignment="1">
      <alignment horizontal="center"/>
      <protection/>
    </xf>
    <xf numFmtId="0" fontId="90" fillId="0" borderId="17" xfId="55" applyFont="1" applyBorder="1">
      <alignment/>
      <protection/>
    </xf>
    <xf numFmtId="0" fontId="3" fillId="0" borderId="18" xfId="55" applyFont="1" applyBorder="1" applyAlignment="1" applyProtection="1">
      <alignment horizontal="left"/>
      <protection/>
    </xf>
    <xf numFmtId="0" fontId="6" fillId="0" borderId="18" xfId="55" applyFont="1" applyBorder="1">
      <alignment/>
      <protection/>
    </xf>
    <xf numFmtId="0" fontId="3" fillId="0" borderId="18" xfId="55" applyFont="1" applyBorder="1" applyAlignment="1">
      <alignment horizontal="center"/>
      <protection/>
    </xf>
    <xf numFmtId="0" fontId="1" fillId="0" borderId="18" xfId="55" applyBorder="1">
      <alignment/>
      <protection/>
    </xf>
    <xf numFmtId="0" fontId="1" fillId="0" borderId="19" xfId="55" applyBorder="1">
      <alignment/>
      <protection/>
    </xf>
    <xf numFmtId="0" fontId="4" fillId="0" borderId="0" xfId="54" applyFont="1" applyFill="1" applyBorder="1" applyAlignment="1" applyProtection="1">
      <alignment horizontal="center"/>
      <protection/>
    </xf>
    <xf numFmtId="0" fontId="88" fillId="0" borderId="50" xfId="55" applyFont="1" applyBorder="1" applyAlignment="1">
      <alignment vertical="center"/>
      <protection/>
    </xf>
    <xf numFmtId="0" fontId="88" fillId="33" borderId="51" xfId="55" applyFont="1" applyFill="1" applyBorder="1" applyAlignment="1">
      <alignment horizontal="center" vertical="center"/>
      <protection/>
    </xf>
    <xf numFmtId="0" fontId="88" fillId="33" borderId="24" xfId="55" applyFont="1" applyFill="1" applyBorder="1" applyAlignment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omahue" xfId="53"/>
    <cellStyle name="Normal_Cuyo" xfId="54"/>
    <cellStyle name="Normal_T0002CUY" xfId="55"/>
    <cellStyle name="Normal_T9904CUY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0</xdr:row>
      <xdr:rowOff>0</xdr:rowOff>
    </xdr:from>
    <xdr:to>
      <xdr:col>0</xdr:col>
      <xdr:colOff>1171575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1038225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5048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0</xdr:rowOff>
    </xdr:from>
    <xdr:to>
      <xdr:col>0</xdr:col>
      <xdr:colOff>1066800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5048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9525</xdr:rowOff>
    </xdr:from>
    <xdr:to>
      <xdr:col>0</xdr:col>
      <xdr:colOff>1057275</xdr:colOff>
      <xdr:row>2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9525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0</xdr:rowOff>
    </xdr:from>
    <xdr:to>
      <xdr:col>0</xdr:col>
      <xdr:colOff>1047750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1066800</xdr:colOff>
      <xdr:row>0</xdr:row>
      <xdr:rowOff>28575</xdr:rowOff>
    </xdr:from>
    <xdr:to>
      <xdr:col>1</xdr:col>
      <xdr:colOff>28575</xdr:colOff>
      <xdr:row>1</xdr:row>
      <xdr:rowOff>428625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28575"/>
          <a:ext cx="476250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x_server\files\transporte\Transporte\ARCHIVOS.XLS\P-DSCUYO\TBASECU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DSCUYO\TBASECU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</sheetNames>
    <sheetDataSet>
      <sheetData sheetId="0"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</sheetNames>
    <sheetDataSet>
      <sheetData sheetId="0">
        <row r="17">
          <cell r="C17">
            <v>1</v>
          </cell>
          <cell r="D17" t="str">
            <v>AGUA DEL TORO - CRUZ DE PIEDRA</v>
          </cell>
          <cell r="E17">
            <v>220</v>
          </cell>
          <cell r="F17">
            <v>177.87</v>
          </cell>
        </row>
        <row r="18">
          <cell r="C18">
            <v>2</v>
          </cell>
          <cell r="D18" t="str">
            <v>AGUA DEL TORO - LOS REYUNOS</v>
          </cell>
          <cell r="E18">
            <v>220</v>
          </cell>
          <cell r="F18">
            <v>42.95</v>
          </cell>
          <cell r="GV18">
            <v>1</v>
          </cell>
        </row>
        <row r="19">
          <cell r="C19">
            <v>3</v>
          </cell>
          <cell r="D19" t="str">
            <v>AGUA DEL TORO - NIHUIL II</v>
          </cell>
          <cell r="E19">
            <v>220</v>
          </cell>
          <cell r="F19">
            <v>53.49</v>
          </cell>
        </row>
        <row r="20">
          <cell r="C20">
            <v>4</v>
          </cell>
          <cell r="D20" t="str">
            <v>CRUZ DE PIEDRA - SAN JUAN</v>
          </cell>
          <cell r="E20">
            <v>220</v>
          </cell>
          <cell r="F20">
            <v>171.6</v>
          </cell>
          <cell r="GY20">
            <v>1</v>
          </cell>
        </row>
        <row r="21">
          <cell r="C21">
            <v>5</v>
          </cell>
          <cell r="D21" t="str">
            <v>LOS REYUNOS - GRAN MENDOZA</v>
          </cell>
          <cell r="E21">
            <v>220</v>
          </cell>
          <cell r="F21">
            <v>188.32</v>
          </cell>
          <cell r="HC21">
            <v>1</v>
          </cell>
        </row>
        <row r="22">
          <cell r="C22">
            <v>6</v>
          </cell>
          <cell r="D22" t="str">
            <v>CRUZ DE PIEDRA - CAÑADA HONDA</v>
          </cell>
          <cell r="E22">
            <v>132</v>
          </cell>
          <cell r="F22">
            <v>125.8</v>
          </cell>
          <cell r="HE22">
            <v>1</v>
          </cell>
        </row>
        <row r="23">
          <cell r="C23">
            <v>7</v>
          </cell>
          <cell r="D23" t="str">
            <v>ANCHORIS - CAPIZ</v>
          </cell>
          <cell r="E23">
            <v>132</v>
          </cell>
          <cell r="F23">
            <v>41.95</v>
          </cell>
          <cell r="HA23">
            <v>1</v>
          </cell>
          <cell r="HD23">
            <v>1</v>
          </cell>
        </row>
        <row r="24">
          <cell r="C24">
            <v>8</v>
          </cell>
          <cell r="D24" t="str">
            <v>ANCHORIS - CRUZ DE PIEDRA</v>
          </cell>
          <cell r="E24">
            <v>132</v>
          </cell>
          <cell r="F24">
            <v>33.5</v>
          </cell>
        </row>
        <row r="25">
          <cell r="C25">
            <v>9</v>
          </cell>
          <cell r="D25" t="str">
            <v>ANCHORIZ -Deriv."T" a LC 35-B.R.Tunuyan</v>
          </cell>
          <cell r="E25">
            <v>132</v>
          </cell>
          <cell r="F25">
            <v>52.86</v>
          </cell>
          <cell r="HB25">
            <v>1</v>
          </cell>
        </row>
        <row r="26">
          <cell r="C26">
            <v>10</v>
          </cell>
          <cell r="D26" t="str">
            <v>CAPIZ - PEDRO VARGAS</v>
          </cell>
          <cell r="E26">
            <v>132</v>
          </cell>
          <cell r="F26">
            <v>122.13</v>
          </cell>
          <cell r="GU26">
            <v>1</v>
          </cell>
          <cell r="HA26">
            <v>1</v>
          </cell>
        </row>
        <row r="27">
          <cell r="C27">
            <v>11</v>
          </cell>
          <cell r="D27" t="str">
            <v>SAN RAFAEL - PEDRO VARGAS</v>
          </cell>
          <cell r="E27">
            <v>132</v>
          </cell>
          <cell r="F27">
            <v>15.59</v>
          </cell>
        </row>
        <row r="28">
          <cell r="C28">
            <v>12</v>
          </cell>
          <cell r="D28" t="str">
            <v>GRAN MENDOZA - MONTE CASEROS 1</v>
          </cell>
          <cell r="E28">
            <v>132</v>
          </cell>
          <cell r="F28">
            <v>19.06</v>
          </cell>
        </row>
        <row r="29">
          <cell r="C29">
            <v>13</v>
          </cell>
          <cell r="D29" t="str">
            <v>GRAN MENDOZA - MONTE CASEROS 2</v>
          </cell>
          <cell r="E29">
            <v>132</v>
          </cell>
          <cell r="F29">
            <v>19.06</v>
          </cell>
        </row>
        <row r="30">
          <cell r="C30">
            <v>14</v>
          </cell>
          <cell r="D30" t="str">
            <v>CRUZ DE PIEDRA - GRAN MENDOZA 1</v>
          </cell>
          <cell r="E30">
            <v>132</v>
          </cell>
          <cell r="F30">
            <v>21.98</v>
          </cell>
        </row>
        <row r="31">
          <cell r="C31">
            <v>15</v>
          </cell>
          <cell r="D31" t="str">
            <v>CRUZ DE PIEDRA - GRAN MENDOZA 2</v>
          </cell>
          <cell r="E31">
            <v>132</v>
          </cell>
          <cell r="F31">
            <v>21.98</v>
          </cell>
        </row>
        <row r="32">
          <cell r="C32">
            <v>16</v>
          </cell>
          <cell r="D32" t="str">
            <v>CRUZ DE PIEDRA - SAN JUAN</v>
          </cell>
          <cell r="E32">
            <v>132</v>
          </cell>
          <cell r="F32">
            <v>180.18</v>
          </cell>
          <cell r="GT32">
            <v>1</v>
          </cell>
          <cell r="GV32">
            <v>1</v>
          </cell>
          <cell r="GW32">
            <v>1</v>
          </cell>
        </row>
        <row r="33">
          <cell r="C33">
            <v>17</v>
          </cell>
          <cell r="D33" t="str">
            <v>CRUZ DE PIEDRA - LUJAN DE CUYO 1</v>
          </cell>
          <cell r="E33">
            <v>132</v>
          </cell>
          <cell r="F33">
            <v>18.08</v>
          </cell>
          <cell r="GU33">
            <v>1</v>
          </cell>
        </row>
        <row r="34">
          <cell r="C34">
            <v>18</v>
          </cell>
          <cell r="D34" t="str">
            <v>CRUZ DE PIEDRA - LUJAN DE CUYO 2</v>
          </cell>
          <cell r="E34">
            <v>132</v>
          </cell>
          <cell r="F34">
            <v>18.08</v>
          </cell>
        </row>
        <row r="35">
          <cell r="C35">
            <v>19</v>
          </cell>
          <cell r="D35" t="str">
            <v>C.H. NIHUIL I - PEDRO VARGAS</v>
          </cell>
          <cell r="E35">
            <v>132</v>
          </cell>
          <cell r="F35">
            <v>46.45</v>
          </cell>
        </row>
        <row r="36">
          <cell r="C36" t="str">
            <v/>
          </cell>
          <cell r="D36" t="str">
            <v/>
          </cell>
          <cell r="E36" t="str">
            <v/>
          </cell>
        </row>
        <row r="39">
          <cell r="GT39">
            <v>1.09</v>
          </cell>
          <cell r="GU39">
            <v>1.02</v>
          </cell>
          <cell r="GV39">
            <v>1.09</v>
          </cell>
          <cell r="GW39">
            <v>1.17</v>
          </cell>
          <cell r="GX39">
            <v>1.17</v>
          </cell>
          <cell r="GY39">
            <v>1.09</v>
          </cell>
          <cell r="GZ39">
            <v>1.09</v>
          </cell>
          <cell r="HA39">
            <v>0.95</v>
          </cell>
          <cell r="HB39">
            <v>1.09</v>
          </cell>
          <cell r="HC39">
            <v>1.02</v>
          </cell>
          <cell r="HD39">
            <v>1.02</v>
          </cell>
          <cell r="HE39">
            <v>1.09</v>
          </cell>
          <cell r="HF39">
            <v>0.95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Transporte/Transporte/AA%20PROCESO%20AUT/EXCEL/DISTROCUYO/FABIA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S44"/>
  <sheetViews>
    <sheetView tabSelected="1" zoomScale="70" zoomScaleNormal="70" workbookViewId="0" topLeftCell="A1">
      <selection activeCell="C36" sqref="C36"/>
    </sheetView>
  </sheetViews>
  <sheetFormatPr defaultColWidth="11.421875" defaultRowHeight="12.75"/>
  <cols>
    <col min="1" max="1" width="18.8515625" style="10" customWidth="1"/>
    <col min="2" max="2" width="7.7109375" style="10" customWidth="1"/>
    <col min="3" max="3" width="9.8515625" style="10" customWidth="1"/>
    <col min="4" max="4" width="8.421875" style="10" customWidth="1"/>
    <col min="5" max="5" width="9.421875" style="10" customWidth="1"/>
    <col min="6" max="7" width="17.7109375" style="10" customWidth="1"/>
    <col min="8" max="8" width="8.00390625" style="10" customWidth="1"/>
    <col min="9" max="9" width="15.7109375" style="10" customWidth="1"/>
    <col min="10" max="10" width="13.28125" style="10" customWidth="1"/>
    <col min="11" max="11" width="15.7109375" style="10" customWidth="1"/>
    <col min="12" max="13" width="11.421875" style="10" customWidth="1"/>
    <col min="14" max="14" width="14.140625" style="10" customWidth="1"/>
    <col min="15" max="15" width="11.421875" style="10" customWidth="1"/>
    <col min="16" max="16" width="14.7109375" style="10" customWidth="1"/>
    <col min="17" max="17" width="11.421875" style="10" customWidth="1"/>
    <col min="18" max="18" width="12.00390625" style="10" customWidth="1"/>
    <col min="19" max="16384" width="11.421875" style="10" customWidth="1"/>
  </cols>
  <sheetData>
    <row r="1" spans="2:11" s="6" customFormat="1" ht="26.25">
      <c r="B1" s="7"/>
      <c r="K1" s="394"/>
    </row>
    <row r="2" spans="2:10" s="6" customFormat="1" ht="26.25">
      <c r="B2" s="7" t="s">
        <v>169</v>
      </c>
      <c r="C2" s="8"/>
      <c r="D2" s="9"/>
      <c r="E2" s="9"/>
      <c r="F2" s="9"/>
      <c r="G2" s="9"/>
      <c r="H2" s="9"/>
      <c r="I2" s="9"/>
      <c r="J2" s="9"/>
    </row>
    <row r="3" spans="3:19" ht="12.75">
      <c r="C3" s="1"/>
      <c r="D3" s="11"/>
      <c r="E3" s="11"/>
      <c r="F3" s="11"/>
      <c r="G3" s="11"/>
      <c r="H3" s="11"/>
      <c r="I3" s="11"/>
      <c r="J3" s="11"/>
      <c r="P3" s="12"/>
      <c r="Q3" s="12"/>
      <c r="R3" s="12"/>
      <c r="S3" s="12"/>
    </row>
    <row r="4" spans="1:19" s="13" customFormat="1" ht="11.25">
      <c r="A4" s="500" t="s">
        <v>3</v>
      </c>
      <c r="B4" s="500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s="13" customFormat="1" ht="11.25">
      <c r="A5" s="500" t="s">
        <v>4</v>
      </c>
      <c r="B5" s="500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2:19" s="6" customFormat="1" ht="8.25" customHeight="1">
      <c r="B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2:19" s="17" customFormat="1" ht="19.5">
      <c r="B7" s="18" t="s">
        <v>0</v>
      </c>
      <c r="C7" s="19"/>
      <c r="D7" s="20"/>
      <c r="E7" s="20"/>
      <c r="F7" s="21"/>
      <c r="G7" s="21"/>
      <c r="H7" s="21"/>
      <c r="I7" s="21"/>
      <c r="J7" s="21"/>
      <c r="K7" s="22"/>
      <c r="L7" s="22"/>
      <c r="M7" s="22"/>
      <c r="N7" s="22"/>
      <c r="O7" s="22"/>
      <c r="P7" s="22"/>
      <c r="Q7" s="22"/>
      <c r="R7" s="22"/>
      <c r="S7" s="22"/>
    </row>
    <row r="8" spans="9:19" ht="12.75"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2:19" s="17" customFormat="1" ht="19.5">
      <c r="B9" s="18" t="s">
        <v>1</v>
      </c>
      <c r="C9" s="19"/>
      <c r="D9" s="20"/>
      <c r="E9" s="20"/>
      <c r="F9" s="21"/>
      <c r="G9" s="21"/>
      <c r="H9" s="21"/>
      <c r="I9" s="21"/>
      <c r="J9" s="21"/>
      <c r="K9" s="22"/>
      <c r="L9" s="22"/>
      <c r="M9" s="22"/>
      <c r="N9" s="22"/>
      <c r="O9" s="22"/>
      <c r="P9" s="22"/>
      <c r="Q9" s="22"/>
      <c r="R9" s="22"/>
      <c r="S9" s="22"/>
    </row>
    <row r="10" spans="4:19" ht="12.75">
      <c r="D10" s="23"/>
      <c r="E10" s="23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2:19" s="17" customFormat="1" ht="19.5">
      <c r="B11" s="18" t="s">
        <v>170</v>
      </c>
      <c r="C11" s="19"/>
      <c r="D11" s="20"/>
      <c r="E11" s="20"/>
      <c r="F11" s="21"/>
      <c r="G11" s="21"/>
      <c r="H11" s="21"/>
      <c r="I11" s="21"/>
      <c r="J11" s="21"/>
      <c r="K11" s="22"/>
      <c r="L11" s="22"/>
      <c r="M11" s="22"/>
      <c r="N11" s="22"/>
      <c r="O11" s="22"/>
      <c r="P11" s="22"/>
      <c r="Q11" s="22"/>
      <c r="R11" s="22"/>
      <c r="S11" s="22"/>
    </row>
    <row r="12" spans="4:19" s="24" customFormat="1" ht="16.5" thickBot="1">
      <c r="D12" s="25"/>
      <c r="E12" s="25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pans="2:19" s="24" customFormat="1" ht="16.5" thickTop="1">
      <c r="B13" s="27">
        <v>1</v>
      </c>
      <c r="C13" s="28" t="b">
        <v>0</v>
      </c>
      <c r="D13" s="29"/>
      <c r="E13" s="29"/>
      <c r="F13" s="29"/>
      <c r="G13" s="29"/>
      <c r="H13" s="29"/>
      <c r="I13" s="29"/>
      <c r="J13" s="30"/>
      <c r="K13" s="26"/>
      <c r="L13" s="26"/>
      <c r="M13" s="26"/>
      <c r="N13" s="26"/>
      <c r="O13" s="26"/>
      <c r="P13" s="26"/>
      <c r="Q13" s="26"/>
      <c r="R13" s="26"/>
      <c r="S13" s="26"/>
    </row>
    <row r="14" spans="2:19" s="17" customFormat="1" ht="19.5">
      <c r="B14" s="31" t="s">
        <v>129</v>
      </c>
      <c r="C14" s="32"/>
      <c r="D14" s="33"/>
      <c r="E14" s="34"/>
      <c r="F14" s="34"/>
      <c r="G14" s="34"/>
      <c r="H14" s="34"/>
      <c r="I14" s="21"/>
      <c r="J14" s="35"/>
      <c r="K14" s="22"/>
      <c r="L14" s="22"/>
      <c r="M14" s="22"/>
      <c r="N14" s="22"/>
      <c r="O14" s="22"/>
      <c r="P14" s="22"/>
      <c r="Q14" s="22"/>
      <c r="R14" s="22"/>
      <c r="S14" s="22"/>
    </row>
    <row r="15" spans="2:19" s="17" customFormat="1" ht="19.5" hidden="1">
      <c r="B15" s="36"/>
      <c r="C15" s="37"/>
      <c r="D15" s="37"/>
      <c r="E15" s="22"/>
      <c r="F15" s="38"/>
      <c r="G15" s="38"/>
      <c r="H15" s="38"/>
      <c r="I15" s="22"/>
      <c r="J15" s="39"/>
      <c r="K15" s="22"/>
      <c r="L15" s="22"/>
      <c r="M15" s="22"/>
      <c r="N15" s="22"/>
      <c r="O15" s="22"/>
      <c r="P15" s="22"/>
      <c r="Q15" s="22"/>
      <c r="R15" s="22"/>
      <c r="S15" s="22"/>
    </row>
    <row r="16" spans="2:19" s="17" customFormat="1" ht="19.5" hidden="1">
      <c r="B16" s="31" t="s">
        <v>5</v>
      </c>
      <c r="C16" s="40"/>
      <c r="D16" s="40"/>
      <c r="E16" s="21"/>
      <c r="F16" s="34"/>
      <c r="G16" s="34"/>
      <c r="H16" s="34"/>
      <c r="I16" s="21"/>
      <c r="J16" s="35"/>
      <c r="K16" s="1"/>
      <c r="L16" s="22"/>
      <c r="M16" s="22"/>
      <c r="N16" s="22"/>
      <c r="O16" s="22"/>
      <c r="P16" s="22"/>
      <c r="Q16" s="22"/>
      <c r="R16" s="22"/>
      <c r="S16" s="22"/>
    </row>
    <row r="17" spans="2:19" s="17" customFormat="1" ht="19.5">
      <c r="B17" s="36"/>
      <c r="C17" s="37"/>
      <c r="D17" s="37"/>
      <c r="E17" s="22"/>
      <c r="F17" s="38"/>
      <c r="G17" s="38"/>
      <c r="H17" s="38"/>
      <c r="I17" s="22"/>
      <c r="J17" s="39"/>
      <c r="K17" s="1"/>
      <c r="L17" s="22"/>
      <c r="M17" s="22"/>
      <c r="N17" s="22"/>
      <c r="O17" s="22"/>
      <c r="P17" s="22"/>
      <c r="Q17" s="22"/>
      <c r="R17" s="22"/>
      <c r="S17" s="22"/>
    </row>
    <row r="18" spans="2:19" s="17" customFormat="1" ht="19.5">
      <c r="B18" s="36"/>
      <c r="C18" s="41" t="s">
        <v>6</v>
      </c>
      <c r="D18" s="42" t="s">
        <v>2</v>
      </c>
      <c r="E18" s="22"/>
      <c r="F18" s="38"/>
      <c r="G18" s="38"/>
      <c r="H18" s="38"/>
      <c r="I18" s="43">
        <f>'LI-10 (2)'!AA42</f>
        <v>65823.85</v>
      </c>
      <c r="J18" s="39"/>
      <c r="K18" s="22"/>
      <c r="L18" s="22"/>
      <c r="M18" s="22"/>
      <c r="N18" s="22"/>
      <c r="O18" s="22"/>
      <c r="P18" s="22"/>
      <c r="Q18" s="22"/>
      <c r="R18" s="22"/>
      <c r="S18" s="22"/>
    </row>
    <row r="19" spans="2:19" ht="13.5">
      <c r="B19" s="44"/>
      <c r="C19" s="45"/>
      <c r="D19" s="46"/>
      <c r="E19" s="12"/>
      <c r="F19" s="47"/>
      <c r="G19" s="47"/>
      <c r="H19" s="47"/>
      <c r="I19" s="48"/>
      <c r="J19" s="49"/>
      <c r="K19" s="12"/>
      <c r="L19" s="12"/>
      <c r="M19" s="12"/>
      <c r="N19" s="12"/>
      <c r="O19" s="12"/>
      <c r="P19" s="12"/>
      <c r="Q19" s="12"/>
      <c r="R19" s="12"/>
      <c r="S19" s="12"/>
    </row>
    <row r="20" spans="2:19" s="17" customFormat="1" ht="19.5">
      <c r="B20" s="36"/>
      <c r="C20" s="41" t="s">
        <v>7</v>
      </c>
      <c r="D20" s="42" t="s">
        <v>8</v>
      </c>
      <c r="E20" s="22"/>
      <c r="F20" s="38"/>
      <c r="G20" s="38"/>
      <c r="H20" s="38"/>
      <c r="I20" s="43"/>
      <c r="J20" s="39"/>
      <c r="K20" s="22"/>
      <c r="L20" s="22"/>
      <c r="M20" s="22"/>
      <c r="N20" s="22"/>
      <c r="O20" s="22"/>
      <c r="P20" s="22"/>
      <c r="Q20" s="22"/>
      <c r="R20" s="22"/>
      <c r="S20" s="22"/>
    </row>
    <row r="21" spans="2:19" ht="13.5">
      <c r="B21" s="44"/>
      <c r="C21" s="45"/>
      <c r="D21" s="45"/>
      <c r="E21" s="12"/>
      <c r="F21" s="47"/>
      <c r="G21" s="47"/>
      <c r="H21" s="47"/>
      <c r="I21" s="50"/>
      <c r="J21" s="49"/>
      <c r="K21" s="12"/>
      <c r="L21" s="12"/>
      <c r="M21" s="12"/>
      <c r="N21" s="12"/>
      <c r="O21" s="12"/>
      <c r="P21" s="12"/>
      <c r="Q21" s="12"/>
      <c r="R21" s="12"/>
      <c r="S21" s="12"/>
    </row>
    <row r="22" spans="2:19" s="17" customFormat="1" ht="19.5">
      <c r="B22" s="36"/>
      <c r="C22" s="41"/>
      <c r="D22" s="41" t="s">
        <v>9</v>
      </c>
      <c r="E22" s="51" t="s">
        <v>10</v>
      </c>
      <c r="F22" s="38"/>
      <c r="G22" s="38"/>
      <c r="H22" s="38"/>
      <c r="I22" s="43">
        <f>'T-10 (1)'!AC43</f>
        <v>25748.07</v>
      </c>
      <c r="J22" s="39"/>
      <c r="K22" s="22"/>
      <c r="L22" s="22"/>
      <c r="M22" s="22"/>
      <c r="N22" s="22"/>
      <c r="O22" s="22"/>
      <c r="P22" s="22"/>
      <c r="Q22" s="22"/>
      <c r="R22" s="22"/>
      <c r="S22" s="22"/>
    </row>
    <row r="23" spans="2:19" ht="13.5">
      <c r="B23" s="44"/>
      <c r="C23" s="45"/>
      <c r="D23" s="45"/>
      <c r="E23" s="12"/>
      <c r="F23" s="47"/>
      <c r="G23" s="47"/>
      <c r="H23" s="47"/>
      <c r="I23" s="50"/>
      <c r="J23" s="49"/>
      <c r="K23" s="12"/>
      <c r="L23" s="12"/>
      <c r="M23" s="12"/>
      <c r="N23" s="12"/>
      <c r="O23" s="12"/>
      <c r="P23" s="12"/>
      <c r="Q23" s="12"/>
      <c r="R23" s="12"/>
      <c r="S23" s="12"/>
    </row>
    <row r="24" spans="2:19" s="17" customFormat="1" ht="19.5">
      <c r="B24" s="36"/>
      <c r="C24" s="41"/>
      <c r="D24" s="41" t="s">
        <v>11</v>
      </c>
      <c r="E24" s="51" t="s">
        <v>12</v>
      </c>
      <c r="F24" s="38"/>
      <c r="G24" s="38"/>
      <c r="H24" s="38"/>
      <c r="I24" s="43">
        <f>'SA-10 (1)'!V43</f>
        <v>171.99</v>
      </c>
      <c r="J24" s="39"/>
      <c r="K24" s="22"/>
      <c r="L24" s="22"/>
      <c r="M24" s="22"/>
      <c r="N24" s="22"/>
      <c r="O24" s="22"/>
      <c r="P24" s="22"/>
      <c r="Q24" s="22"/>
      <c r="R24" s="22"/>
      <c r="S24" s="22"/>
    </row>
    <row r="25" spans="2:19" s="17" customFormat="1" ht="19.5">
      <c r="B25" s="36"/>
      <c r="C25" s="37"/>
      <c r="D25" s="37"/>
      <c r="E25" s="51"/>
      <c r="F25" s="38"/>
      <c r="G25" s="38"/>
      <c r="H25" s="38"/>
      <c r="I25" s="43"/>
      <c r="J25" s="39"/>
      <c r="K25" s="22"/>
      <c r="L25" s="22"/>
      <c r="M25" s="22"/>
      <c r="N25" s="22"/>
      <c r="O25" s="22"/>
      <c r="P25" s="22"/>
      <c r="Q25" s="22"/>
      <c r="R25" s="22"/>
      <c r="S25" s="22"/>
    </row>
    <row r="26" spans="2:19" s="17" customFormat="1" ht="19.5">
      <c r="B26" s="36"/>
      <c r="C26" s="37"/>
      <c r="D26" s="37"/>
      <c r="E26" s="22"/>
      <c r="F26" s="38"/>
      <c r="G26" s="38"/>
      <c r="H26" s="38"/>
      <c r="I26" s="52"/>
      <c r="J26" s="39"/>
      <c r="K26" s="22"/>
      <c r="L26" s="22"/>
      <c r="M26" s="22"/>
      <c r="N26" s="22"/>
      <c r="O26" s="22"/>
      <c r="P26" s="22"/>
      <c r="Q26" s="22"/>
      <c r="R26" s="22"/>
      <c r="S26" s="22"/>
    </row>
    <row r="27" spans="2:19" s="17" customFormat="1" ht="20.25" thickBot="1">
      <c r="B27" s="36"/>
      <c r="C27" s="37"/>
      <c r="D27" s="37"/>
      <c r="E27" s="22"/>
      <c r="F27" s="38"/>
      <c r="G27" s="38"/>
      <c r="H27" s="38"/>
      <c r="I27" s="22"/>
      <c r="J27" s="39"/>
      <c r="K27" s="22"/>
      <c r="L27" s="22"/>
      <c r="M27" s="22"/>
      <c r="N27" s="22"/>
      <c r="O27" s="22"/>
      <c r="P27" s="22"/>
      <c r="Q27" s="22"/>
      <c r="R27" s="22"/>
      <c r="S27" s="22"/>
    </row>
    <row r="28" spans="2:19" s="17" customFormat="1" ht="20.25" thickBot="1" thickTop="1">
      <c r="B28" s="36"/>
      <c r="C28" s="41"/>
      <c r="D28" s="41"/>
      <c r="F28" s="53" t="s">
        <v>13</v>
      </c>
      <c r="G28" s="54">
        <f>SUM(I18:I26)</f>
        <v>91743.91000000002</v>
      </c>
      <c r="H28" s="55"/>
      <c r="J28" s="39"/>
      <c r="K28" s="22"/>
      <c r="L28" s="22"/>
      <c r="M28" s="22"/>
      <c r="N28" s="22"/>
      <c r="O28" s="22"/>
      <c r="P28" s="22"/>
      <c r="Q28" s="22"/>
      <c r="R28" s="22"/>
      <c r="S28" s="22"/>
    </row>
    <row r="29" spans="2:19" s="17" customFormat="1" ht="19.5" thickTop="1">
      <c r="B29" s="36"/>
      <c r="C29" s="41"/>
      <c r="D29" s="41"/>
      <c r="F29" s="396"/>
      <c r="G29" s="55"/>
      <c r="H29" s="55"/>
      <c r="J29" s="39"/>
      <c r="K29" s="22"/>
      <c r="L29" s="22"/>
      <c r="M29" s="22"/>
      <c r="N29" s="22"/>
      <c r="O29" s="22"/>
      <c r="P29" s="22"/>
      <c r="Q29" s="22"/>
      <c r="R29" s="22"/>
      <c r="S29" s="22"/>
    </row>
    <row r="30" spans="2:19" s="17" customFormat="1" ht="18.75">
      <c r="B30" s="36"/>
      <c r="C30" s="397" t="s">
        <v>171</v>
      </c>
      <c r="D30" s="41"/>
      <c r="F30" s="396"/>
      <c r="G30" s="55"/>
      <c r="H30" s="55"/>
      <c r="J30" s="39"/>
      <c r="K30" s="22"/>
      <c r="L30" s="22"/>
      <c r="M30" s="22"/>
      <c r="N30" s="22"/>
      <c r="O30" s="22"/>
      <c r="P30" s="22"/>
      <c r="Q30" s="22"/>
      <c r="R30" s="22"/>
      <c r="S30" s="22"/>
    </row>
    <row r="31" spans="2:19" s="17" customFormat="1" ht="18.75">
      <c r="B31" s="36"/>
      <c r="C31" s="397" t="s">
        <v>172</v>
      </c>
      <c r="D31" s="41"/>
      <c r="F31" s="396"/>
      <c r="G31" s="55"/>
      <c r="H31" s="55"/>
      <c r="J31" s="39"/>
      <c r="K31" s="22"/>
      <c r="L31" s="22"/>
      <c r="M31" s="22"/>
      <c r="N31" s="22"/>
      <c r="O31" s="22"/>
      <c r="P31" s="22"/>
      <c r="Q31" s="22"/>
      <c r="R31" s="22"/>
      <c r="S31" s="22"/>
    </row>
    <row r="32" spans="2:19" s="17" customFormat="1" ht="18.75">
      <c r="B32" s="423"/>
      <c r="C32" s="397" t="s">
        <v>173</v>
      </c>
      <c r="D32" s="41"/>
      <c r="F32" s="396"/>
      <c r="G32" s="55"/>
      <c r="H32" s="55"/>
      <c r="J32" s="39"/>
      <c r="K32" s="22"/>
      <c r="L32" s="22"/>
      <c r="M32" s="22"/>
      <c r="N32" s="22"/>
      <c r="O32" s="22"/>
      <c r="P32" s="22"/>
      <c r="Q32" s="22"/>
      <c r="R32" s="22"/>
      <c r="S32" s="22"/>
    </row>
    <row r="33" spans="2:19" s="24" customFormat="1" ht="16.5" thickBot="1">
      <c r="B33" s="56"/>
      <c r="C33" s="57"/>
      <c r="D33" s="57"/>
      <c r="E33" s="58"/>
      <c r="F33" s="58"/>
      <c r="G33" s="58"/>
      <c r="H33" s="58"/>
      <c r="I33" s="58"/>
      <c r="J33" s="59"/>
      <c r="K33" s="26"/>
      <c r="L33" s="26"/>
      <c r="M33" s="60"/>
      <c r="N33" s="61"/>
      <c r="O33" s="61"/>
      <c r="P33" s="62"/>
      <c r="Q33" s="63"/>
      <c r="R33" s="26"/>
      <c r="S33" s="26"/>
    </row>
    <row r="34" spans="4:19" ht="13.5" thickTop="1">
      <c r="D34" s="12"/>
      <c r="F34" s="12"/>
      <c r="G34" s="12"/>
      <c r="H34" s="12"/>
      <c r="I34" s="12"/>
      <c r="J34" s="12"/>
      <c r="K34" s="12"/>
      <c r="L34" s="12"/>
      <c r="M34" s="64"/>
      <c r="N34" s="65"/>
      <c r="O34" s="65"/>
      <c r="P34" s="12"/>
      <c r="Q34" s="4"/>
      <c r="R34" s="12"/>
      <c r="S34" s="12"/>
    </row>
    <row r="35" spans="4:19" ht="12.75">
      <c r="D35" s="12"/>
      <c r="F35" s="12"/>
      <c r="G35" s="12"/>
      <c r="H35" s="12"/>
      <c r="I35" s="12"/>
      <c r="J35" s="12"/>
      <c r="K35" s="12"/>
      <c r="L35" s="12"/>
      <c r="M35" s="12"/>
      <c r="N35" s="66"/>
      <c r="O35" s="66"/>
      <c r="P35" s="67"/>
      <c r="Q35" s="4"/>
      <c r="R35" s="12"/>
      <c r="S35" s="12"/>
    </row>
    <row r="36" spans="4:19" ht="12.75"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66"/>
      <c r="O36" s="66"/>
      <c r="P36" s="67"/>
      <c r="Q36" s="4"/>
      <c r="R36" s="12"/>
      <c r="S36" s="12"/>
    </row>
    <row r="37" spans="4:19" ht="12.75">
      <c r="D37" s="12"/>
      <c r="E37" s="12"/>
      <c r="L37" s="12"/>
      <c r="M37" s="12"/>
      <c r="N37" s="12"/>
      <c r="O37" s="12"/>
      <c r="P37" s="12"/>
      <c r="Q37" s="12"/>
      <c r="R37" s="12"/>
      <c r="S37" s="12"/>
    </row>
    <row r="38" spans="4:19" ht="12.75">
      <c r="D38" s="12"/>
      <c r="E38" s="12"/>
      <c r="P38" s="12"/>
      <c r="Q38" s="12"/>
      <c r="R38" s="12"/>
      <c r="S38" s="12"/>
    </row>
    <row r="39" spans="4:19" ht="12.75">
      <c r="D39" s="12"/>
      <c r="E39" s="12"/>
      <c r="P39" s="12"/>
      <c r="Q39" s="12"/>
      <c r="R39" s="12"/>
      <c r="S39" s="12"/>
    </row>
    <row r="40" spans="4:19" ht="12.75">
      <c r="D40" s="12"/>
      <c r="E40" s="12"/>
      <c r="P40" s="12"/>
      <c r="Q40" s="12"/>
      <c r="R40" s="12"/>
      <c r="S40" s="12"/>
    </row>
    <row r="41" spans="4:19" ht="12.75">
      <c r="D41" s="12"/>
      <c r="E41" s="12"/>
      <c r="P41" s="12"/>
      <c r="Q41" s="12"/>
      <c r="R41" s="12"/>
      <c r="S41" s="12"/>
    </row>
    <row r="42" spans="4:19" ht="12.75">
      <c r="D42" s="12"/>
      <c r="E42" s="12"/>
      <c r="P42" s="12"/>
      <c r="Q42" s="12"/>
      <c r="R42" s="12"/>
      <c r="S42" s="12"/>
    </row>
    <row r="43" spans="16:19" ht="12.75">
      <c r="P43" s="12"/>
      <c r="Q43" s="12"/>
      <c r="R43" s="12"/>
      <c r="S43" s="12"/>
    </row>
    <row r="44" spans="16:19" ht="12.75">
      <c r="P44" s="12"/>
      <c r="Q44" s="12"/>
      <c r="R44" s="12"/>
      <c r="S44" s="12"/>
    </row>
  </sheetData>
  <mergeCells count="2">
    <mergeCell ref="A4:B4"/>
    <mergeCell ref="A5:B5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91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AB90"/>
  <sheetViews>
    <sheetView zoomScale="70" zoomScaleNormal="70" workbookViewId="0" topLeftCell="A1">
      <selection activeCell="G14" sqref="G14:G16"/>
    </sheetView>
  </sheetViews>
  <sheetFormatPr defaultColWidth="11.421875" defaultRowHeight="12.75"/>
  <cols>
    <col min="1" max="1" width="19.28125" style="1" customWidth="1"/>
    <col min="2" max="2" width="4.140625" style="1" customWidth="1"/>
    <col min="3" max="3" width="5.57421875" style="1" customWidth="1"/>
    <col min="4" max="5" width="13.57421875" style="1" customWidth="1"/>
    <col min="6" max="6" width="45.7109375" style="1" customWidth="1"/>
    <col min="7" max="7" width="8.7109375" style="1" customWidth="1"/>
    <col min="8" max="8" width="9.7109375" style="1" customWidth="1"/>
    <col min="9" max="9" width="14.28125" style="1" hidden="1" customWidth="1"/>
    <col min="10" max="11" width="15.7109375" style="1" customWidth="1"/>
    <col min="12" max="14" width="9.7109375" style="1" customWidth="1"/>
    <col min="15" max="15" width="8.7109375" style="1" customWidth="1"/>
    <col min="16" max="17" width="14.7109375" style="1" hidden="1" customWidth="1"/>
    <col min="18" max="18" width="15.421875" style="1" hidden="1" customWidth="1"/>
    <col min="19" max="19" width="13.8515625" style="1" hidden="1" customWidth="1"/>
    <col min="20" max="25" width="14.00390625" style="1" hidden="1" customWidth="1"/>
    <col min="26" max="26" width="9.7109375" style="1" customWidth="1"/>
    <col min="27" max="27" width="15.7109375" style="1" customWidth="1"/>
    <col min="28" max="28" width="4.140625" style="1" customWidth="1"/>
    <col min="29" max="16384" width="11.421875" style="1" customWidth="1"/>
  </cols>
  <sheetData>
    <row r="1" s="6" customFormat="1" ht="29.25" customHeight="1">
      <c r="AB1" s="394"/>
    </row>
    <row r="2" spans="2:28" s="6" customFormat="1" ht="26.25">
      <c r="B2" s="68" t="str">
        <f>+'TOT-1012'!B2</f>
        <v>ANEXO V al Memorándum  D.T.E.E.  N°         /2013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2:28" s="10" customFormat="1" ht="12.75">
      <c r="B3" s="69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" s="13" customFormat="1" ht="11.25">
      <c r="A4" s="70" t="s">
        <v>3</v>
      </c>
      <c r="B4" s="70"/>
    </row>
    <row r="5" spans="1:2" s="13" customFormat="1" ht="11.25">
      <c r="A5" s="70" t="s">
        <v>4</v>
      </c>
      <c r="B5" s="70"/>
    </row>
    <row r="6" s="10" customFormat="1" ht="16.5" customHeight="1" thickBot="1"/>
    <row r="7" spans="2:28" s="10" customFormat="1" ht="16.5" customHeight="1" thickTop="1"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3"/>
    </row>
    <row r="8" spans="2:28" s="74" customFormat="1" ht="20.25">
      <c r="B8" s="75"/>
      <c r="F8" s="76" t="s">
        <v>14</v>
      </c>
      <c r="G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8"/>
    </row>
    <row r="9" spans="2:28" s="10" customFormat="1" ht="16.5" customHeight="1">
      <c r="B9" s="44"/>
      <c r="F9" s="79"/>
      <c r="G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49"/>
    </row>
    <row r="10" spans="2:28" s="74" customFormat="1" ht="20.25">
      <c r="B10" s="75"/>
      <c r="F10" s="76" t="s">
        <v>15</v>
      </c>
      <c r="G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8"/>
    </row>
    <row r="11" spans="2:28" s="10" customFormat="1" ht="16.5" customHeight="1">
      <c r="B11" s="44"/>
      <c r="C11" s="79"/>
      <c r="D11" s="79"/>
      <c r="E11" s="79"/>
      <c r="G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49"/>
    </row>
    <row r="12" spans="2:28" s="17" customFormat="1" ht="19.5">
      <c r="B12" s="31" t="str">
        <f>+'TOT-1012'!B14</f>
        <v>Desde el 01 al 31 de octubre de 2012</v>
      </c>
      <c r="C12" s="80"/>
      <c r="D12" s="80"/>
      <c r="E12" s="80"/>
      <c r="F12" s="34"/>
      <c r="G12" s="34"/>
      <c r="H12" s="81"/>
      <c r="I12" s="82"/>
      <c r="J12" s="81"/>
      <c r="K12" s="82"/>
      <c r="L12" s="82"/>
      <c r="M12" s="82"/>
      <c r="N12" s="82"/>
      <c r="O12" s="82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83"/>
    </row>
    <row r="13" spans="2:28" s="10" customFormat="1" ht="16.5" customHeight="1" thickBot="1">
      <c r="B13" s="44"/>
      <c r="C13" s="12"/>
      <c r="D13" s="12"/>
      <c r="E13" s="12"/>
      <c r="F13" s="12"/>
      <c r="G13" s="84"/>
      <c r="H13" s="85"/>
      <c r="I13" s="86"/>
      <c r="J13" s="86"/>
      <c r="K13" s="86"/>
      <c r="L13" s="86"/>
      <c r="M13" s="86"/>
      <c r="N13" s="86"/>
      <c r="O13" s="86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49"/>
    </row>
    <row r="14" spans="2:28" s="10" customFormat="1" ht="16.5" customHeight="1" thickBot="1" thickTop="1">
      <c r="B14" s="44"/>
      <c r="C14" s="12"/>
      <c r="D14" s="12"/>
      <c r="E14" s="12"/>
      <c r="F14" s="87" t="s">
        <v>16</v>
      </c>
      <c r="G14" s="88">
        <v>421.011</v>
      </c>
      <c r="H14" s="89"/>
      <c r="I14" s="86"/>
      <c r="J14" s="86"/>
      <c r="K14" s="86"/>
      <c r="L14" s="86"/>
      <c r="M14" s="86"/>
      <c r="N14" s="86"/>
      <c r="O14" s="86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49"/>
    </row>
    <row r="15" spans="2:28" s="10" customFormat="1" ht="16.5" customHeight="1" thickBot="1" thickTop="1">
      <c r="B15" s="44"/>
      <c r="C15" s="12"/>
      <c r="D15" s="12"/>
      <c r="E15" s="12"/>
      <c r="F15" s="87" t="s">
        <v>17</v>
      </c>
      <c r="G15" s="88">
        <v>402.3</v>
      </c>
      <c r="H15" s="90"/>
      <c r="I15" s="12"/>
      <c r="J15" s="91"/>
      <c r="K15" s="92" t="s">
        <v>18</v>
      </c>
      <c r="L15" s="93">
        <f>30*'TOT-1012'!B13</f>
        <v>30</v>
      </c>
      <c r="M15" s="94" t="str">
        <f>IF(L15=30," ",IF(L15=60,"Coeficiente duplicado por tasa de falla &gt;4 Sal. x año/100 km.","REVISAR COEFICIENTE"))</f>
        <v> 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49"/>
    </row>
    <row r="16" spans="2:28" s="10" customFormat="1" ht="16.5" customHeight="1" thickBot="1" thickTop="1">
      <c r="B16" s="44"/>
      <c r="C16" s="12"/>
      <c r="D16" s="12"/>
      <c r="E16" s="12"/>
      <c r="F16" s="87" t="s">
        <v>19</v>
      </c>
      <c r="G16" s="88">
        <v>402.3</v>
      </c>
      <c r="H16" s="90"/>
      <c r="I16" s="12"/>
      <c r="J16" s="12"/>
      <c r="K16" s="12"/>
      <c r="L16" s="50"/>
      <c r="M16" s="95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49"/>
    </row>
    <row r="17" spans="2:28" s="10" customFormat="1" ht="16.5" customHeight="1" thickBot="1" thickTop="1">
      <c r="B17" s="44"/>
      <c r="C17" s="12"/>
      <c r="D17" s="416">
        <v>4</v>
      </c>
      <c r="E17" s="416">
        <v>5</v>
      </c>
      <c r="F17" s="416">
        <v>6</v>
      </c>
      <c r="G17" s="416">
        <v>7</v>
      </c>
      <c r="H17" s="416">
        <v>8</v>
      </c>
      <c r="I17" s="416">
        <v>9</v>
      </c>
      <c r="J17" s="416">
        <v>10</v>
      </c>
      <c r="K17" s="416">
        <v>11</v>
      </c>
      <c r="L17" s="416">
        <v>12</v>
      </c>
      <c r="M17" s="416">
        <v>13</v>
      </c>
      <c r="N17" s="416">
        <v>14</v>
      </c>
      <c r="O17" s="416">
        <v>15</v>
      </c>
      <c r="P17" s="416">
        <v>16</v>
      </c>
      <c r="Q17" s="416">
        <v>17</v>
      </c>
      <c r="R17" s="416">
        <v>18</v>
      </c>
      <c r="S17" s="416">
        <v>19</v>
      </c>
      <c r="T17" s="416">
        <v>20</v>
      </c>
      <c r="U17" s="416">
        <v>21</v>
      </c>
      <c r="V17" s="416">
        <v>22</v>
      </c>
      <c r="W17" s="416">
        <v>23</v>
      </c>
      <c r="X17" s="416">
        <v>24</v>
      </c>
      <c r="Y17" s="416">
        <v>25</v>
      </c>
      <c r="Z17" s="416">
        <v>26</v>
      </c>
      <c r="AA17" s="416">
        <v>27</v>
      </c>
      <c r="AB17" s="49"/>
    </row>
    <row r="18" spans="2:28" s="96" customFormat="1" ht="34.5" customHeight="1" thickBot="1" thickTop="1">
      <c r="B18" s="97"/>
      <c r="C18" s="399" t="s">
        <v>20</v>
      </c>
      <c r="D18" s="399" t="s">
        <v>73</v>
      </c>
      <c r="E18" s="399" t="s">
        <v>74</v>
      </c>
      <c r="F18" s="98" t="s">
        <v>2</v>
      </c>
      <c r="G18" s="99" t="s">
        <v>21</v>
      </c>
      <c r="H18" s="99" t="s">
        <v>22</v>
      </c>
      <c r="I18" s="100" t="s">
        <v>23</v>
      </c>
      <c r="J18" s="98" t="s">
        <v>24</v>
      </c>
      <c r="K18" s="98" t="s">
        <v>25</v>
      </c>
      <c r="L18" s="99" t="s">
        <v>26</v>
      </c>
      <c r="M18" s="99" t="s">
        <v>27</v>
      </c>
      <c r="N18" s="99" t="s">
        <v>72</v>
      </c>
      <c r="O18" s="99" t="s">
        <v>28</v>
      </c>
      <c r="P18" s="101" t="s">
        <v>29</v>
      </c>
      <c r="Q18" s="102" t="s">
        <v>30</v>
      </c>
      <c r="R18" s="103" t="s">
        <v>31</v>
      </c>
      <c r="S18" s="104"/>
      <c r="T18" s="105"/>
      <c r="U18" s="106" t="s">
        <v>32</v>
      </c>
      <c r="V18" s="107"/>
      <c r="W18" s="108"/>
      <c r="X18" s="109" t="s">
        <v>33</v>
      </c>
      <c r="Y18" s="110" t="s">
        <v>34</v>
      </c>
      <c r="Z18" s="111" t="s">
        <v>35</v>
      </c>
      <c r="AA18" s="111" t="s">
        <v>36</v>
      </c>
      <c r="AB18" s="112"/>
    </row>
    <row r="19" spans="2:28" s="10" customFormat="1" ht="16.5" customHeight="1" thickTop="1">
      <c r="B19" s="44"/>
      <c r="C19" s="113"/>
      <c r="D19" s="113"/>
      <c r="E19" s="113"/>
      <c r="F19" s="114"/>
      <c r="G19" s="113"/>
      <c r="H19" s="113"/>
      <c r="I19" s="115"/>
      <c r="J19" s="113"/>
      <c r="K19" s="114"/>
      <c r="L19" s="116"/>
      <c r="M19" s="116"/>
      <c r="N19" s="113"/>
      <c r="O19" s="113"/>
      <c r="P19" s="117"/>
      <c r="Q19" s="118"/>
      <c r="R19" s="119"/>
      <c r="S19" s="120"/>
      <c r="T19" s="120"/>
      <c r="U19" s="121"/>
      <c r="V19" s="121"/>
      <c r="W19" s="121"/>
      <c r="X19" s="122"/>
      <c r="Y19" s="123"/>
      <c r="Z19" s="113"/>
      <c r="AA19" s="124"/>
      <c r="AB19" s="49"/>
    </row>
    <row r="20" spans="2:28" s="10" customFormat="1" ht="16.5" customHeight="1">
      <c r="B20" s="44"/>
      <c r="C20" s="125"/>
      <c r="D20" s="125"/>
      <c r="E20" s="125"/>
      <c r="F20" s="126"/>
      <c r="G20" s="126"/>
      <c r="H20" s="125"/>
      <c r="I20" s="127"/>
      <c r="J20" s="125"/>
      <c r="K20" s="128"/>
      <c r="L20" s="129"/>
      <c r="M20" s="129"/>
      <c r="N20" s="125"/>
      <c r="O20" s="125"/>
      <c r="P20" s="130"/>
      <c r="Q20" s="131"/>
      <c r="R20" s="132"/>
      <c r="S20" s="133"/>
      <c r="T20" s="133"/>
      <c r="U20" s="134"/>
      <c r="V20" s="134"/>
      <c r="W20" s="134"/>
      <c r="X20" s="135"/>
      <c r="Y20" s="136"/>
      <c r="Z20" s="125"/>
      <c r="AA20" s="137"/>
      <c r="AB20" s="49"/>
    </row>
    <row r="21" spans="2:28" s="10" customFormat="1" ht="16.5" customHeight="1">
      <c r="B21" s="44"/>
      <c r="C21" s="128">
        <v>1</v>
      </c>
      <c r="D21" s="128">
        <v>252343</v>
      </c>
      <c r="E21" s="128">
        <v>697</v>
      </c>
      <c r="F21" s="126" t="s">
        <v>130</v>
      </c>
      <c r="G21" s="126">
        <v>220</v>
      </c>
      <c r="H21" s="138">
        <v>177.8699951171875</v>
      </c>
      <c r="I21" s="139">
        <f aca="true" t="shared" si="0" ref="I21:I40">IF(G21=220,$G$14*IF(H21&gt;25,H21,25),IF(G21=132,$G$15*IF(H21&gt;25,+H21,25),$G$16*IF(H21&gt;25,H21,25)))/100</f>
        <v>748.8522451428223</v>
      </c>
      <c r="J21" s="140">
        <v>41185.32638888889</v>
      </c>
      <c r="K21" s="140">
        <v>41185.745833333334</v>
      </c>
      <c r="L21" s="141">
        <f aca="true" t="shared" si="1" ref="L21:L40">IF(F21="","",(K21-J21)*24)</f>
        <v>10.066666666651145</v>
      </c>
      <c r="M21" s="142">
        <f aca="true" t="shared" si="2" ref="M21:M40">IF(F21="","",ROUND((K21-J21)*24*60,0))</f>
        <v>604</v>
      </c>
      <c r="N21" s="143" t="s">
        <v>131</v>
      </c>
      <c r="O21" s="143" t="s">
        <v>132</v>
      </c>
      <c r="P21" s="145">
        <f aca="true" t="shared" si="3" ref="P21:P40">IF(N21="P",ROUND(M21/60,2)*I21*$L$15*0.01,"--")</f>
        <v>2262.2826325764663</v>
      </c>
      <c r="Q21" s="146" t="str">
        <f aca="true" t="shared" si="4" ref="Q21:Q40">IF(N21="RP",ROUND(M21/60,2)*I21*$L$15*0.01*O21/100,"--")</f>
        <v>--</v>
      </c>
      <c r="R21" s="147" t="str">
        <f aca="true" t="shared" si="5" ref="R21:R40">IF(N21="F",I21*$L$15,"--")</f>
        <v>--</v>
      </c>
      <c r="S21" s="147" t="str">
        <f aca="true" t="shared" si="6" ref="S21:S40">IF(AND(M21&gt;10,N21="F"),$L$15*I21*IF(M21&gt;180,3,ROUND((M21)/60,2)),"--")</f>
        <v>--</v>
      </c>
      <c r="T21" s="148" t="str">
        <f aca="true" t="shared" si="7" ref="T21:T40">IF(AND(N21="F",M21&gt;180),(ROUND(M21/60,2)-3)*I21*$L$15*0.1,"--")</f>
        <v>--</v>
      </c>
      <c r="U21" s="149" t="str">
        <f aca="true" t="shared" si="8" ref="U21:U40">IF(N21="R",I21*$L$15*O21/100,"--")</f>
        <v>--</v>
      </c>
      <c r="V21" s="149" t="str">
        <f aca="true" t="shared" si="9" ref="V21:V40">IF(AND(M21&gt;10,N21="R"),$L$15*I21*O21/100*IF(M21&gt;180,3,ROUND((M21)/60,2)),"--")</f>
        <v>--</v>
      </c>
      <c r="W21" s="150" t="str">
        <f aca="true" t="shared" si="10" ref="W21:W40">IF(AND(N21="R",M21&gt;180),(ROUND(M21/60,2)-3)*I21*$L$15*0.1*O21/100,"--")</f>
        <v>--</v>
      </c>
      <c r="X21" s="151" t="str">
        <f aca="true" t="shared" si="11" ref="X21:X40">IF(N21="RF",ROUND(M21/60,2)*I21*$L$15*0.1,"--")</f>
        <v>--</v>
      </c>
      <c r="Y21" s="152" t="str">
        <f aca="true" t="shared" si="12" ref="Y21:Y40">IF(N21="RR",ROUND(M21/60,2)*I21*$L$15*0.1*O21/100,"--")</f>
        <v>--</v>
      </c>
      <c r="Z21" s="153" t="str">
        <f aca="true" t="shared" si="13" ref="Z21:Z40">IF(F21="","","SI")</f>
        <v>SI</v>
      </c>
      <c r="AA21" s="154">
        <f aca="true" t="shared" si="14" ref="AA21:AA40">IF(F21="","",SUM(P21:Y21)*IF(Z21="SI",1,2))</f>
        <v>2262.2826325764663</v>
      </c>
      <c r="AB21" s="155"/>
    </row>
    <row r="22" spans="2:28" s="10" customFormat="1" ht="16.5" customHeight="1">
      <c r="B22" s="44"/>
      <c r="C22" s="128">
        <v>2</v>
      </c>
      <c r="D22" s="128">
        <v>252344</v>
      </c>
      <c r="E22" s="128">
        <v>697</v>
      </c>
      <c r="F22" s="126" t="s">
        <v>130</v>
      </c>
      <c r="G22" s="126">
        <v>220</v>
      </c>
      <c r="H22" s="138">
        <v>177.8699951171875</v>
      </c>
      <c r="I22" s="139">
        <f t="shared" si="0"/>
        <v>748.8522451428223</v>
      </c>
      <c r="J22" s="140">
        <v>41186.33472222222</v>
      </c>
      <c r="K22" s="140">
        <v>41186.79375</v>
      </c>
      <c r="L22" s="141">
        <f t="shared" si="1"/>
        <v>11.016666666604578</v>
      </c>
      <c r="M22" s="142">
        <f t="shared" si="2"/>
        <v>661</v>
      </c>
      <c r="N22" s="143" t="s">
        <v>131</v>
      </c>
      <c r="O22" s="143" t="s">
        <v>132</v>
      </c>
      <c r="P22" s="145">
        <f t="shared" si="3"/>
        <v>2475.7055224421706</v>
      </c>
      <c r="Q22" s="146" t="str">
        <f t="shared" si="4"/>
        <v>--</v>
      </c>
      <c r="R22" s="147" t="str">
        <f t="shared" si="5"/>
        <v>--</v>
      </c>
      <c r="S22" s="147" t="str">
        <f t="shared" si="6"/>
        <v>--</v>
      </c>
      <c r="T22" s="148" t="str">
        <f t="shared" si="7"/>
        <v>--</v>
      </c>
      <c r="U22" s="149" t="str">
        <f t="shared" si="8"/>
        <v>--</v>
      </c>
      <c r="V22" s="149" t="str">
        <f t="shared" si="9"/>
        <v>--</v>
      </c>
      <c r="W22" s="150" t="str">
        <f t="shared" si="10"/>
        <v>--</v>
      </c>
      <c r="X22" s="151" t="str">
        <f t="shared" si="11"/>
        <v>--</v>
      </c>
      <c r="Y22" s="152" t="str">
        <f t="shared" si="12"/>
        <v>--</v>
      </c>
      <c r="Z22" s="153" t="str">
        <f t="shared" si="13"/>
        <v>SI</v>
      </c>
      <c r="AA22" s="154">
        <f t="shared" si="14"/>
        <v>2475.7055224421706</v>
      </c>
      <c r="AB22" s="155"/>
    </row>
    <row r="23" spans="2:28" s="10" customFormat="1" ht="16.5" customHeight="1">
      <c r="B23" s="44"/>
      <c r="C23" s="128">
        <v>3</v>
      </c>
      <c r="D23" s="128">
        <v>252345</v>
      </c>
      <c r="E23" s="128">
        <v>697</v>
      </c>
      <c r="F23" s="126" t="s">
        <v>130</v>
      </c>
      <c r="G23" s="126">
        <v>220</v>
      </c>
      <c r="H23" s="138">
        <v>177.8699951171875</v>
      </c>
      <c r="I23" s="139">
        <f t="shared" si="0"/>
        <v>748.8522451428223</v>
      </c>
      <c r="J23" s="140">
        <v>41187.34444444445</v>
      </c>
      <c r="K23" s="140">
        <v>41187.73541666667</v>
      </c>
      <c r="L23" s="141">
        <f t="shared" si="1"/>
        <v>9.383333333360497</v>
      </c>
      <c r="M23" s="142">
        <f t="shared" si="2"/>
        <v>563</v>
      </c>
      <c r="N23" s="143" t="s">
        <v>131</v>
      </c>
      <c r="O23" s="143" t="s">
        <v>132</v>
      </c>
      <c r="P23" s="145">
        <f t="shared" si="3"/>
        <v>2107.270217831902</v>
      </c>
      <c r="Q23" s="146" t="str">
        <f t="shared" si="4"/>
        <v>--</v>
      </c>
      <c r="R23" s="147" t="str">
        <f t="shared" si="5"/>
        <v>--</v>
      </c>
      <c r="S23" s="147" t="str">
        <f t="shared" si="6"/>
        <v>--</v>
      </c>
      <c r="T23" s="148" t="str">
        <f t="shared" si="7"/>
        <v>--</v>
      </c>
      <c r="U23" s="149" t="str">
        <f t="shared" si="8"/>
        <v>--</v>
      </c>
      <c r="V23" s="149" t="str">
        <f t="shared" si="9"/>
        <v>--</v>
      </c>
      <c r="W23" s="150" t="str">
        <f t="shared" si="10"/>
        <v>--</v>
      </c>
      <c r="X23" s="151" t="str">
        <f t="shared" si="11"/>
        <v>--</v>
      </c>
      <c r="Y23" s="152" t="str">
        <f t="shared" si="12"/>
        <v>--</v>
      </c>
      <c r="Z23" s="153" t="str">
        <f t="shared" si="13"/>
        <v>SI</v>
      </c>
      <c r="AA23" s="154">
        <f t="shared" si="14"/>
        <v>2107.270217831902</v>
      </c>
      <c r="AB23" s="155"/>
    </row>
    <row r="24" spans="2:28" s="10" customFormat="1" ht="16.5" customHeight="1">
      <c r="B24" s="44"/>
      <c r="C24" s="128">
        <v>4</v>
      </c>
      <c r="D24" s="128">
        <v>252346</v>
      </c>
      <c r="E24" s="128">
        <v>4662</v>
      </c>
      <c r="F24" s="126" t="s">
        <v>153</v>
      </c>
      <c r="G24" s="126">
        <v>132</v>
      </c>
      <c r="H24" s="138">
        <v>54.4</v>
      </c>
      <c r="I24" s="139">
        <f t="shared" si="0"/>
        <v>218.85119999999998</v>
      </c>
      <c r="J24" s="140">
        <v>41187.379166666666</v>
      </c>
      <c r="K24" s="140">
        <v>41187.50555555556</v>
      </c>
      <c r="L24" s="141">
        <f t="shared" si="1"/>
        <v>3.0333333334419876</v>
      </c>
      <c r="M24" s="142">
        <f t="shared" si="2"/>
        <v>182</v>
      </c>
      <c r="N24" s="143" t="s">
        <v>131</v>
      </c>
      <c r="O24" s="143" t="s">
        <v>132</v>
      </c>
      <c r="P24" s="145">
        <f t="shared" si="3"/>
        <v>198.9357408</v>
      </c>
      <c r="Q24" s="146" t="str">
        <f t="shared" si="4"/>
        <v>--</v>
      </c>
      <c r="R24" s="147" t="str">
        <f t="shared" si="5"/>
        <v>--</v>
      </c>
      <c r="S24" s="147" t="str">
        <f t="shared" si="6"/>
        <v>--</v>
      </c>
      <c r="T24" s="148" t="str">
        <f t="shared" si="7"/>
        <v>--</v>
      </c>
      <c r="U24" s="149" t="str">
        <f t="shared" si="8"/>
        <v>--</v>
      </c>
      <c r="V24" s="149" t="str">
        <f t="shared" si="9"/>
        <v>--</v>
      </c>
      <c r="W24" s="150" t="str">
        <f t="shared" si="10"/>
        <v>--</v>
      </c>
      <c r="X24" s="151" t="str">
        <f t="shared" si="11"/>
        <v>--</v>
      </c>
      <c r="Y24" s="152" t="str">
        <f t="shared" si="12"/>
        <v>--</v>
      </c>
      <c r="Z24" s="153" t="str">
        <f t="shared" si="13"/>
        <v>SI</v>
      </c>
      <c r="AA24" s="154">
        <f t="shared" si="14"/>
        <v>198.9357408</v>
      </c>
      <c r="AB24" s="155"/>
    </row>
    <row r="25" spans="2:28" s="10" customFormat="1" ht="16.5" customHeight="1">
      <c r="B25" s="44"/>
      <c r="C25" s="128">
        <v>5</v>
      </c>
      <c r="D25" s="128">
        <v>252347</v>
      </c>
      <c r="E25" s="128">
        <v>701</v>
      </c>
      <c r="F25" s="126" t="s">
        <v>133</v>
      </c>
      <c r="G25" s="126">
        <v>132</v>
      </c>
      <c r="H25" s="138">
        <v>33.5</v>
      </c>
      <c r="I25" s="139">
        <f t="shared" si="0"/>
        <v>134.7705</v>
      </c>
      <c r="J25" s="140">
        <v>41189.32777777778</v>
      </c>
      <c r="K25" s="140">
        <v>41189.78194444445</v>
      </c>
      <c r="L25" s="141">
        <f t="shared" si="1"/>
        <v>10.90000000008149</v>
      </c>
      <c r="M25" s="142">
        <f t="shared" si="2"/>
        <v>654</v>
      </c>
      <c r="N25" s="143" t="s">
        <v>131</v>
      </c>
      <c r="O25" s="143" t="s">
        <v>132</v>
      </c>
      <c r="P25" s="145">
        <f t="shared" si="3"/>
        <v>440.699535</v>
      </c>
      <c r="Q25" s="146" t="str">
        <f t="shared" si="4"/>
        <v>--</v>
      </c>
      <c r="R25" s="147" t="str">
        <f t="shared" si="5"/>
        <v>--</v>
      </c>
      <c r="S25" s="147" t="str">
        <f t="shared" si="6"/>
        <v>--</v>
      </c>
      <c r="T25" s="148" t="str">
        <f t="shared" si="7"/>
        <v>--</v>
      </c>
      <c r="U25" s="149" t="str">
        <f t="shared" si="8"/>
        <v>--</v>
      </c>
      <c r="V25" s="149" t="str">
        <f t="shared" si="9"/>
        <v>--</v>
      </c>
      <c r="W25" s="150" t="str">
        <f t="shared" si="10"/>
        <v>--</v>
      </c>
      <c r="X25" s="151" t="str">
        <f t="shared" si="11"/>
        <v>--</v>
      </c>
      <c r="Y25" s="152" t="str">
        <f t="shared" si="12"/>
        <v>--</v>
      </c>
      <c r="Z25" s="153" t="str">
        <f t="shared" si="13"/>
        <v>SI</v>
      </c>
      <c r="AA25" s="154">
        <f t="shared" si="14"/>
        <v>440.699535</v>
      </c>
      <c r="AB25" s="155"/>
    </row>
    <row r="26" spans="2:28" s="10" customFormat="1" ht="16.5" customHeight="1">
      <c r="B26" s="44"/>
      <c r="C26" s="128">
        <v>6</v>
      </c>
      <c r="D26" s="128">
        <v>252348</v>
      </c>
      <c r="E26" s="128">
        <v>706</v>
      </c>
      <c r="F26" s="126" t="s">
        <v>134</v>
      </c>
      <c r="G26" s="126">
        <v>220</v>
      </c>
      <c r="H26" s="138">
        <v>171.60000610351562</v>
      </c>
      <c r="I26" s="139">
        <f t="shared" si="0"/>
        <v>722.4549016964722</v>
      </c>
      <c r="J26" s="140">
        <v>41189.89513888889</v>
      </c>
      <c r="K26" s="140">
        <v>41189.9</v>
      </c>
      <c r="L26" s="141">
        <f t="shared" si="1"/>
        <v>0.11666666669771075</v>
      </c>
      <c r="M26" s="142">
        <f t="shared" si="2"/>
        <v>7</v>
      </c>
      <c r="N26" s="140" t="s">
        <v>135</v>
      </c>
      <c r="O26" s="143" t="s">
        <v>132</v>
      </c>
      <c r="P26" s="145" t="str">
        <f t="shared" si="3"/>
        <v>--</v>
      </c>
      <c r="Q26" s="146" t="str">
        <f t="shared" si="4"/>
        <v>--</v>
      </c>
      <c r="R26" s="147">
        <f t="shared" si="5"/>
        <v>21673.647050894167</v>
      </c>
      <c r="S26" s="147" t="str">
        <f t="shared" si="6"/>
        <v>--</v>
      </c>
      <c r="T26" s="148" t="str">
        <f t="shared" si="7"/>
        <v>--</v>
      </c>
      <c r="U26" s="149" t="str">
        <f t="shared" si="8"/>
        <v>--</v>
      </c>
      <c r="V26" s="149" t="str">
        <f t="shared" si="9"/>
        <v>--</v>
      </c>
      <c r="W26" s="150" t="str">
        <f t="shared" si="10"/>
        <v>--</v>
      </c>
      <c r="X26" s="151" t="str">
        <f t="shared" si="11"/>
        <v>--</v>
      </c>
      <c r="Y26" s="152" t="str">
        <f t="shared" si="12"/>
        <v>--</v>
      </c>
      <c r="Z26" s="153" t="str">
        <f t="shared" si="13"/>
        <v>SI</v>
      </c>
      <c r="AA26" s="154">
        <f t="shared" si="14"/>
        <v>21673.647050894167</v>
      </c>
      <c r="AB26" s="155"/>
    </row>
    <row r="27" spans="2:28" s="10" customFormat="1" ht="16.5" customHeight="1">
      <c r="B27" s="44"/>
      <c r="C27" s="128">
        <v>7</v>
      </c>
      <c r="D27" s="128">
        <v>252824</v>
      </c>
      <c r="E27" s="128">
        <v>714</v>
      </c>
      <c r="F27" s="126" t="s">
        <v>136</v>
      </c>
      <c r="G27" s="126">
        <v>132</v>
      </c>
      <c r="H27" s="138">
        <v>122.12999725341797</v>
      </c>
      <c r="I27" s="139">
        <f t="shared" si="0"/>
        <v>491.3289789505005</v>
      </c>
      <c r="J27" s="140">
        <v>41195.30138888889</v>
      </c>
      <c r="K27" s="140">
        <v>41196.65833333333</v>
      </c>
      <c r="L27" s="141">
        <f t="shared" si="1"/>
        <v>32.566666666651145</v>
      </c>
      <c r="M27" s="142">
        <f t="shared" si="2"/>
        <v>1954</v>
      </c>
      <c r="N27" s="140" t="s">
        <v>131</v>
      </c>
      <c r="O27" s="143" t="s">
        <v>132</v>
      </c>
      <c r="P27" s="145">
        <f t="shared" si="3"/>
        <v>4800.775453325341</v>
      </c>
      <c r="Q27" s="146" t="str">
        <f t="shared" si="4"/>
        <v>--</v>
      </c>
      <c r="R27" s="147" t="str">
        <f t="shared" si="5"/>
        <v>--</v>
      </c>
      <c r="S27" s="147" t="str">
        <f t="shared" si="6"/>
        <v>--</v>
      </c>
      <c r="T27" s="148" t="str">
        <f t="shared" si="7"/>
        <v>--</v>
      </c>
      <c r="U27" s="149" t="str">
        <f t="shared" si="8"/>
        <v>--</v>
      </c>
      <c r="V27" s="149" t="str">
        <f t="shared" si="9"/>
        <v>--</v>
      </c>
      <c r="W27" s="150" t="str">
        <f t="shared" si="10"/>
        <v>--</v>
      </c>
      <c r="X27" s="151" t="str">
        <f t="shared" si="11"/>
        <v>--</v>
      </c>
      <c r="Y27" s="152" t="str">
        <f t="shared" si="12"/>
        <v>--</v>
      </c>
      <c r="Z27" s="153" t="str">
        <f t="shared" si="13"/>
        <v>SI</v>
      </c>
      <c r="AA27" s="154">
        <f t="shared" si="14"/>
        <v>4800.775453325341</v>
      </c>
      <c r="AB27" s="155"/>
    </row>
    <row r="28" spans="2:28" s="10" customFormat="1" ht="16.5" customHeight="1">
      <c r="B28" s="44"/>
      <c r="C28" s="128">
        <v>8</v>
      </c>
      <c r="D28" s="128">
        <v>253041</v>
      </c>
      <c r="E28" s="128">
        <v>697</v>
      </c>
      <c r="F28" s="126" t="s">
        <v>130</v>
      </c>
      <c r="G28" s="126">
        <v>220</v>
      </c>
      <c r="H28" s="138">
        <v>177.8699951171875</v>
      </c>
      <c r="I28" s="139">
        <f t="shared" si="0"/>
        <v>748.8522451428223</v>
      </c>
      <c r="J28" s="140">
        <v>41198.384722222225</v>
      </c>
      <c r="K28" s="140">
        <v>41198.72083333333</v>
      </c>
      <c r="L28" s="141">
        <f t="shared" si="1"/>
        <v>8.066666666592937</v>
      </c>
      <c r="M28" s="142">
        <f t="shared" si="2"/>
        <v>484</v>
      </c>
      <c r="N28" s="140" t="s">
        <v>131</v>
      </c>
      <c r="O28" s="143" t="s">
        <v>132</v>
      </c>
      <c r="P28" s="145">
        <f t="shared" si="3"/>
        <v>1812.971285490773</v>
      </c>
      <c r="Q28" s="146" t="str">
        <f t="shared" si="4"/>
        <v>--</v>
      </c>
      <c r="R28" s="147" t="str">
        <f t="shared" si="5"/>
        <v>--</v>
      </c>
      <c r="S28" s="147" t="str">
        <f t="shared" si="6"/>
        <v>--</v>
      </c>
      <c r="T28" s="148" t="str">
        <f t="shared" si="7"/>
        <v>--</v>
      </c>
      <c r="U28" s="149" t="str">
        <f t="shared" si="8"/>
        <v>--</v>
      </c>
      <c r="V28" s="149" t="str">
        <f t="shared" si="9"/>
        <v>--</v>
      </c>
      <c r="W28" s="150" t="str">
        <f t="shared" si="10"/>
        <v>--</v>
      </c>
      <c r="X28" s="151" t="str">
        <f t="shared" si="11"/>
        <v>--</v>
      </c>
      <c r="Y28" s="152" t="str">
        <f t="shared" si="12"/>
        <v>--</v>
      </c>
      <c r="Z28" s="153" t="str">
        <f t="shared" si="13"/>
        <v>SI</v>
      </c>
      <c r="AA28" s="154">
        <f t="shared" si="14"/>
        <v>1812.971285490773</v>
      </c>
      <c r="AB28" s="155"/>
    </row>
    <row r="29" spans="2:28" s="10" customFormat="1" ht="16.5" customHeight="1">
      <c r="B29" s="44"/>
      <c r="C29" s="128">
        <v>9</v>
      </c>
      <c r="D29" s="128">
        <v>253042</v>
      </c>
      <c r="E29" s="128">
        <v>705</v>
      </c>
      <c r="F29" s="126" t="s">
        <v>137</v>
      </c>
      <c r="G29" s="126">
        <v>132</v>
      </c>
      <c r="H29" s="138">
        <v>18.079999923706055</v>
      </c>
      <c r="I29" s="139">
        <f t="shared" si="0"/>
        <v>100.575</v>
      </c>
      <c r="J29" s="140">
        <v>41198.42986111111</v>
      </c>
      <c r="K29" s="140">
        <v>41198.53333333333</v>
      </c>
      <c r="L29" s="141">
        <f t="shared" si="1"/>
        <v>2.4833333333954215</v>
      </c>
      <c r="M29" s="142">
        <f t="shared" si="2"/>
        <v>149</v>
      </c>
      <c r="N29" s="140" t="s">
        <v>135</v>
      </c>
      <c r="O29" s="143" t="s">
        <v>132</v>
      </c>
      <c r="P29" s="145" t="str">
        <f t="shared" si="3"/>
        <v>--</v>
      </c>
      <c r="Q29" s="146" t="str">
        <f t="shared" si="4"/>
        <v>--</v>
      </c>
      <c r="R29" s="147">
        <f t="shared" si="5"/>
        <v>3017.25</v>
      </c>
      <c r="S29" s="147">
        <f t="shared" si="6"/>
        <v>7482.78</v>
      </c>
      <c r="T29" s="148" t="str">
        <f t="shared" si="7"/>
        <v>--</v>
      </c>
      <c r="U29" s="149" t="str">
        <f t="shared" si="8"/>
        <v>--</v>
      </c>
      <c r="V29" s="149" t="str">
        <f t="shared" si="9"/>
        <v>--</v>
      </c>
      <c r="W29" s="150" t="str">
        <f t="shared" si="10"/>
        <v>--</v>
      </c>
      <c r="X29" s="151" t="str">
        <f t="shared" si="11"/>
        <v>--</v>
      </c>
      <c r="Y29" s="152" t="str">
        <f t="shared" si="12"/>
        <v>--</v>
      </c>
      <c r="Z29" s="153" t="str">
        <f t="shared" si="13"/>
        <v>SI</v>
      </c>
      <c r="AA29" s="154">
        <f t="shared" si="14"/>
        <v>10500.029999999999</v>
      </c>
      <c r="AB29" s="155"/>
    </row>
    <row r="30" spans="2:28" s="10" customFormat="1" ht="16.5" customHeight="1">
      <c r="B30" s="44"/>
      <c r="C30" s="128">
        <v>10</v>
      </c>
      <c r="D30" s="128">
        <v>253043</v>
      </c>
      <c r="E30" s="128">
        <v>697</v>
      </c>
      <c r="F30" s="126" t="s">
        <v>130</v>
      </c>
      <c r="G30" s="126">
        <v>220</v>
      </c>
      <c r="H30" s="138">
        <v>177.8699951171875</v>
      </c>
      <c r="I30" s="139">
        <f t="shared" si="0"/>
        <v>748.8522451428223</v>
      </c>
      <c r="J30" s="140">
        <v>41199.44027777778</v>
      </c>
      <c r="K30" s="140">
        <v>41199.73541666667</v>
      </c>
      <c r="L30" s="141">
        <f t="shared" si="1"/>
        <v>7.083333333372138</v>
      </c>
      <c r="M30" s="142">
        <f t="shared" si="2"/>
        <v>425</v>
      </c>
      <c r="N30" s="140" t="s">
        <v>131</v>
      </c>
      <c r="O30" s="143" t="s">
        <v>132</v>
      </c>
      <c r="P30" s="145">
        <f t="shared" si="3"/>
        <v>1590.5621686833547</v>
      </c>
      <c r="Q30" s="146" t="str">
        <f t="shared" si="4"/>
        <v>--</v>
      </c>
      <c r="R30" s="147" t="str">
        <f t="shared" si="5"/>
        <v>--</v>
      </c>
      <c r="S30" s="147" t="str">
        <f t="shared" si="6"/>
        <v>--</v>
      </c>
      <c r="T30" s="148" t="str">
        <f t="shared" si="7"/>
        <v>--</v>
      </c>
      <c r="U30" s="149" t="str">
        <f t="shared" si="8"/>
        <v>--</v>
      </c>
      <c r="V30" s="149" t="str">
        <f t="shared" si="9"/>
        <v>--</v>
      </c>
      <c r="W30" s="150" t="str">
        <f t="shared" si="10"/>
        <v>--</v>
      </c>
      <c r="X30" s="151" t="str">
        <f t="shared" si="11"/>
        <v>--</v>
      </c>
      <c r="Y30" s="152" t="str">
        <f t="shared" si="12"/>
        <v>--</v>
      </c>
      <c r="Z30" s="153" t="str">
        <f t="shared" si="13"/>
        <v>SI</v>
      </c>
      <c r="AA30" s="154">
        <f t="shared" si="14"/>
        <v>1590.5621686833547</v>
      </c>
      <c r="AB30" s="155"/>
    </row>
    <row r="31" spans="2:28" s="10" customFormat="1" ht="16.5" customHeight="1">
      <c r="B31" s="44"/>
      <c r="C31" s="128">
        <v>11</v>
      </c>
      <c r="D31" s="128">
        <v>253044</v>
      </c>
      <c r="E31" s="128">
        <v>697</v>
      </c>
      <c r="F31" s="126" t="s">
        <v>130</v>
      </c>
      <c r="G31" s="126">
        <v>220</v>
      </c>
      <c r="H31" s="138">
        <v>177.8699951171875</v>
      </c>
      <c r="I31" s="139">
        <f t="shared" si="0"/>
        <v>748.8522451428223</v>
      </c>
      <c r="J31" s="140">
        <v>41200.39027777778</v>
      </c>
      <c r="K31" s="140">
        <v>41200.72222222222</v>
      </c>
      <c r="L31" s="141">
        <f t="shared" si="1"/>
        <v>7.96666666661622</v>
      </c>
      <c r="M31" s="142">
        <f t="shared" si="2"/>
        <v>478</v>
      </c>
      <c r="N31" s="140" t="s">
        <v>131</v>
      </c>
      <c r="O31" s="143" t="s">
        <v>132</v>
      </c>
      <c r="P31" s="145">
        <f t="shared" si="3"/>
        <v>1790.505718136488</v>
      </c>
      <c r="Q31" s="146" t="str">
        <f t="shared" si="4"/>
        <v>--</v>
      </c>
      <c r="R31" s="147" t="str">
        <f t="shared" si="5"/>
        <v>--</v>
      </c>
      <c r="S31" s="147" t="str">
        <f t="shared" si="6"/>
        <v>--</v>
      </c>
      <c r="T31" s="148" t="str">
        <f t="shared" si="7"/>
        <v>--</v>
      </c>
      <c r="U31" s="149" t="str">
        <f t="shared" si="8"/>
        <v>--</v>
      </c>
      <c r="V31" s="149" t="str">
        <f t="shared" si="9"/>
        <v>--</v>
      </c>
      <c r="W31" s="150" t="str">
        <f t="shared" si="10"/>
        <v>--</v>
      </c>
      <c r="X31" s="151" t="str">
        <f t="shared" si="11"/>
        <v>--</v>
      </c>
      <c r="Y31" s="152" t="str">
        <f t="shared" si="12"/>
        <v>--</v>
      </c>
      <c r="Z31" s="153" t="str">
        <f t="shared" si="13"/>
        <v>SI</v>
      </c>
      <c r="AA31" s="154">
        <f t="shared" si="14"/>
        <v>1790.505718136488</v>
      </c>
      <c r="AB31" s="155"/>
    </row>
    <row r="32" spans="2:28" s="10" customFormat="1" ht="16.5" customHeight="1">
      <c r="B32" s="44"/>
      <c r="C32" s="128">
        <v>12</v>
      </c>
      <c r="D32" s="128">
        <v>253045</v>
      </c>
      <c r="E32" s="128">
        <v>697</v>
      </c>
      <c r="F32" s="126" t="s">
        <v>130</v>
      </c>
      <c r="G32" s="126">
        <v>220</v>
      </c>
      <c r="H32" s="138">
        <v>177.8699951171875</v>
      </c>
      <c r="I32" s="139">
        <f t="shared" si="0"/>
        <v>748.8522451428223</v>
      </c>
      <c r="J32" s="140">
        <v>41201.37708333333</v>
      </c>
      <c r="K32" s="140">
        <v>41201.72361111111</v>
      </c>
      <c r="L32" s="141">
        <f t="shared" si="1"/>
        <v>8.316666666709352</v>
      </c>
      <c r="M32" s="142">
        <f t="shared" si="2"/>
        <v>499</v>
      </c>
      <c r="N32" s="140" t="s">
        <v>131</v>
      </c>
      <c r="O32" s="143" t="s">
        <v>132</v>
      </c>
      <c r="P32" s="145">
        <f t="shared" si="3"/>
        <v>1869.1352038764846</v>
      </c>
      <c r="Q32" s="146" t="str">
        <f t="shared" si="4"/>
        <v>--</v>
      </c>
      <c r="R32" s="147" t="str">
        <f t="shared" si="5"/>
        <v>--</v>
      </c>
      <c r="S32" s="147" t="str">
        <f t="shared" si="6"/>
        <v>--</v>
      </c>
      <c r="T32" s="148" t="str">
        <f t="shared" si="7"/>
        <v>--</v>
      </c>
      <c r="U32" s="149" t="str">
        <f t="shared" si="8"/>
        <v>--</v>
      </c>
      <c r="V32" s="149" t="str">
        <f t="shared" si="9"/>
        <v>--</v>
      </c>
      <c r="W32" s="150" t="str">
        <f t="shared" si="10"/>
        <v>--</v>
      </c>
      <c r="X32" s="151" t="str">
        <f t="shared" si="11"/>
        <v>--</v>
      </c>
      <c r="Y32" s="152" t="str">
        <f t="shared" si="12"/>
        <v>--</v>
      </c>
      <c r="Z32" s="153" t="str">
        <f t="shared" si="13"/>
        <v>SI</v>
      </c>
      <c r="AA32" s="154">
        <f t="shared" si="14"/>
        <v>1869.1352038764846</v>
      </c>
      <c r="AB32" s="155"/>
    </row>
    <row r="33" spans="2:28" s="10" customFormat="1" ht="16.5" customHeight="1">
      <c r="B33" s="44"/>
      <c r="C33" s="128">
        <v>13</v>
      </c>
      <c r="D33" s="128">
        <v>253290</v>
      </c>
      <c r="E33" s="128">
        <v>706</v>
      </c>
      <c r="F33" s="126" t="s">
        <v>134</v>
      </c>
      <c r="G33" s="126">
        <v>220</v>
      </c>
      <c r="H33" s="138">
        <v>171.60000610351562</v>
      </c>
      <c r="I33" s="139">
        <f t="shared" si="0"/>
        <v>722.4549016964722</v>
      </c>
      <c r="J33" s="140">
        <v>41205.41875</v>
      </c>
      <c r="K33" s="140">
        <v>41205.76597222222</v>
      </c>
      <c r="L33" s="141">
        <f t="shared" si="1"/>
        <v>8.333333333430346</v>
      </c>
      <c r="M33" s="142">
        <f t="shared" si="2"/>
        <v>500</v>
      </c>
      <c r="N33" s="140" t="s">
        <v>131</v>
      </c>
      <c r="O33" s="143" t="s">
        <v>132</v>
      </c>
      <c r="P33" s="145">
        <f t="shared" si="3"/>
        <v>1805.4147993394843</v>
      </c>
      <c r="Q33" s="146" t="str">
        <f t="shared" si="4"/>
        <v>--</v>
      </c>
      <c r="R33" s="147" t="str">
        <f t="shared" si="5"/>
        <v>--</v>
      </c>
      <c r="S33" s="147" t="str">
        <f t="shared" si="6"/>
        <v>--</v>
      </c>
      <c r="T33" s="148" t="str">
        <f t="shared" si="7"/>
        <v>--</v>
      </c>
      <c r="U33" s="149" t="str">
        <f t="shared" si="8"/>
        <v>--</v>
      </c>
      <c r="V33" s="149" t="str">
        <f t="shared" si="9"/>
        <v>--</v>
      </c>
      <c r="W33" s="150" t="str">
        <f t="shared" si="10"/>
        <v>--</v>
      </c>
      <c r="X33" s="151" t="str">
        <f t="shared" si="11"/>
        <v>--</v>
      </c>
      <c r="Y33" s="152" t="str">
        <f t="shared" si="12"/>
        <v>--</v>
      </c>
      <c r="Z33" s="153" t="str">
        <f t="shared" si="13"/>
        <v>SI</v>
      </c>
      <c r="AA33" s="154">
        <f t="shared" si="14"/>
        <v>1805.4147993394843</v>
      </c>
      <c r="AB33" s="155"/>
    </row>
    <row r="34" spans="2:28" s="10" customFormat="1" ht="16.5" customHeight="1">
      <c r="B34" s="156"/>
      <c r="C34" s="128">
        <v>14</v>
      </c>
      <c r="D34" s="128">
        <v>253291</v>
      </c>
      <c r="E34" s="128">
        <v>706</v>
      </c>
      <c r="F34" s="126" t="s">
        <v>134</v>
      </c>
      <c r="G34" s="126">
        <v>220</v>
      </c>
      <c r="H34" s="138">
        <v>171.60000610351562</v>
      </c>
      <c r="I34" s="139">
        <f t="shared" si="0"/>
        <v>722.4549016964722</v>
      </c>
      <c r="J34" s="140">
        <v>41206.37013888889</v>
      </c>
      <c r="K34" s="140">
        <v>41206.771527777775</v>
      </c>
      <c r="L34" s="141">
        <f t="shared" si="1"/>
        <v>9.63333333330229</v>
      </c>
      <c r="M34" s="142">
        <f t="shared" si="2"/>
        <v>578</v>
      </c>
      <c r="N34" s="140" t="s">
        <v>131</v>
      </c>
      <c r="O34" s="143" t="s">
        <v>132</v>
      </c>
      <c r="P34" s="145">
        <f t="shared" si="3"/>
        <v>2087.1722110011087</v>
      </c>
      <c r="Q34" s="146" t="str">
        <f t="shared" si="4"/>
        <v>--</v>
      </c>
      <c r="R34" s="147" t="str">
        <f t="shared" si="5"/>
        <v>--</v>
      </c>
      <c r="S34" s="147" t="str">
        <f t="shared" si="6"/>
        <v>--</v>
      </c>
      <c r="T34" s="148" t="str">
        <f t="shared" si="7"/>
        <v>--</v>
      </c>
      <c r="U34" s="149" t="str">
        <f t="shared" si="8"/>
        <v>--</v>
      </c>
      <c r="V34" s="149" t="str">
        <f t="shared" si="9"/>
        <v>--</v>
      </c>
      <c r="W34" s="150" t="str">
        <f t="shared" si="10"/>
        <v>--</v>
      </c>
      <c r="X34" s="151" t="str">
        <f t="shared" si="11"/>
        <v>--</v>
      </c>
      <c r="Y34" s="152" t="str">
        <f t="shared" si="12"/>
        <v>--</v>
      </c>
      <c r="Z34" s="153" t="str">
        <f t="shared" si="13"/>
        <v>SI</v>
      </c>
      <c r="AA34" s="154">
        <f t="shared" si="14"/>
        <v>2087.1722110011087</v>
      </c>
      <c r="AB34" s="155"/>
    </row>
    <row r="35" spans="2:28" s="10" customFormat="1" ht="16.5" customHeight="1">
      <c r="B35" s="156"/>
      <c r="C35" s="128">
        <v>15</v>
      </c>
      <c r="D35" s="128">
        <v>253292</v>
      </c>
      <c r="E35" s="128">
        <v>4661</v>
      </c>
      <c r="F35" s="126" t="s">
        <v>138</v>
      </c>
      <c r="G35" s="126">
        <v>132</v>
      </c>
      <c r="H35" s="138">
        <v>130.1999969482422</v>
      </c>
      <c r="I35" s="139">
        <f t="shared" si="0"/>
        <v>523.7945877227783</v>
      </c>
      <c r="J35" s="140">
        <v>41207.35</v>
      </c>
      <c r="K35" s="140">
        <v>41207.42986111111</v>
      </c>
      <c r="L35" s="141">
        <f t="shared" si="1"/>
        <v>1.9166666666278616</v>
      </c>
      <c r="M35" s="142">
        <f t="shared" si="2"/>
        <v>115</v>
      </c>
      <c r="N35" s="140" t="s">
        <v>131</v>
      </c>
      <c r="O35" s="143" t="s">
        <v>132</v>
      </c>
      <c r="P35" s="145">
        <f t="shared" si="3"/>
        <v>301.70568252832027</v>
      </c>
      <c r="Q35" s="146" t="str">
        <f t="shared" si="4"/>
        <v>--</v>
      </c>
      <c r="R35" s="147" t="str">
        <f t="shared" si="5"/>
        <v>--</v>
      </c>
      <c r="S35" s="147" t="str">
        <f t="shared" si="6"/>
        <v>--</v>
      </c>
      <c r="T35" s="148" t="str">
        <f t="shared" si="7"/>
        <v>--</v>
      </c>
      <c r="U35" s="149" t="str">
        <f t="shared" si="8"/>
        <v>--</v>
      </c>
      <c r="V35" s="149" t="str">
        <f t="shared" si="9"/>
        <v>--</v>
      </c>
      <c r="W35" s="150" t="str">
        <f t="shared" si="10"/>
        <v>--</v>
      </c>
      <c r="X35" s="151" t="str">
        <f t="shared" si="11"/>
        <v>--</v>
      </c>
      <c r="Y35" s="152" t="str">
        <f t="shared" si="12"/>
        <v>--</v>
      </c>
      <c r="Z35" s="153" t="str">
        <f t="shared" si="13"/>
        <v>SI</v>
      </c>
      <c r="AA35" s="154">
        <f t="shared" si="14"/>
        <v>301.70568252832027</v>
      </c>
      <c r="AB35" s="155"/>
    </row>
    <row r="36" spans="2:28" s="10" customFormat="1" ht="16.5" customHeight="1">
      <c r="B36" s="156"/>
      <c r="C36" s="128">
        <v>16</v>
      </c>
      <c r="D36" s="128">
        <v>253293</v>
      </c>
      <c r="E36" s="128">
        <v>706</v>
      </c>
      <c r="F36" s="126" t="s">
        <v>134</v>
      </c>
      <c r="G36" s="126">
        <v>220</v>
      </c>
      <c r="H36" s="138">
        <v>171.60000610351562</v>
      </c>
      <c r="I36" s="139">
        <f t="shared" si="0"/>
        <v>722.4549016964722</v>
      </c>
      <c r="J36" s="140">
        <v>41207.43541666667</v>
      </c>
      <c r="K36" s="140">
        <v>41207.775</v>
      </c>
      <c r="L36" s="141">
        <f t="shared" si="1"/>
        <v>8.150000000023283</v>
      </c>
      <c r="M36" s="142">
        <f t="shared" si="2"/>
        <v>489</v>
      </c>
      <c r="N36" s="140" t="s">
        <v>131</v>
      </c>
      <c r="O36" s="143" t="s">
        <v>132</v>
      </c>
      <c r="P36" s="145">
        <f t="shared" si="3"/>
        <v>1766.4022346478748</v>
      </c>
      <c r="Q36" s="146" t="str">
        <f t="shared" si="4"/>
        <v>--</v>
      </c>
      <c r="R36" s="147" t="str">
        <f t="shared" si="5"/>
        <v>--</v>
      </c>
      <c r="S36" s="147" t="str">
        <f t="shared" si="6"/>
        <v>--</v>
      </c>
      <c r="T36" s="148" t="str">
        <f t="shared" si="7"/>
        <v>--</v>
      </c>
      <c r="U36" s="149" t="str">
        <f t="shared" si="8"/>
        <v>--</v>
      </c>
      <c r="V36" s="149" t="str">
        <f t="shared" si="9"/>
        <v>--</v>
      </c>
      <c r="W36" s="150" t="str">
        <f t="shared" si="10"/>
        <v>--</v>
      </c>
      <c r="X36" s="151" t="str">
        <f t="shared" si="11"/>
        <v>--</v>
      </c>
      <c r="Y36" s="152" t="str">
        <f t="shared" si="12"/>
        <v>--</v>
      </c>
      <c r="Z36" s="153" t="str">
        <f t="shared" si="13"/>
        <v>SI</v>
      </c>
      <c r="AA36" s="154">
        <f t="shared" si="14"/>
        <v>1766.4022346478748</v>
      </c>
      <c r="AB36" s="155"/>
    </row>
    <row r="37" spans="2:28" s="10" customFormat="1" ht="16.5" customHeight="1">
      <c r="B37" s="156"/>
      <c r="C37" s="128">
        <v>17</v>
      </c>
      <c r="D37" s="128">
        <v>253294</v>
      </c>
      <c r="E37" s="128">
        <v>706</v>
      </c>
      <c r="F37" s="126" t="s">
        <v>134</v>
      </c>
      <c r="G37" s="126">
        <v>220</v>
      </c>
      <c r="H37" s="138">
        <v>171.60000610351562</v>
      </c>
      <c r="I37" s="139">
        <f t="shared" si="0"/>
        <v>722.4549016964722</v>
      </c>
      <c r="J37" s="140">
        <v>41208.4125</v>
      </c>
      <c r="K37" s="140">
        <v>41208.799305555556</v>
      </c>
      <c r="L37" s="141">
        <f t="shared" si="1"/>
        <v>9.28333333338378</v>
      </c>
      <c r="M37" s="142">
        <f t="shared" si="2"/>
        <v>557</v>
      </c>
      <c r="N37" s="140" t="s">
        <v>131</v>
      </c>
      <c r="O37" s="143" t="s">
        <v>132</v>
      </c>
      <c r="P37" s="145">
        <f t="shared" si="3"/>
        <v>2011.3144463229785</v>
      </c>
      <c r="Q37" s="146" t="str">
        <f t="shared" si="4"/>
        <v>--</v>
      </c>
      <c r="R37" s="147" t="str">
        <f t="shared" si="5"/>
        <v>--</v>
      </c>
      <c r="S37" s="147" t="str">
        <f t="shared" si="6"/>
        <v>--</v>
      </c>
      <c r="T37" s="148" t="str">
        <f t="shared" si="7"/>
        <v>--</v>
      </c>
      <c r="U37" s="149" t="str">
        <f t="shared" si="8"/>
        <v>--</v>
      </c>
      <c r="V37" s="149" t="str">
        <f t="shared" si="9"/>
        <v>--</v>
      </c>
      <c r="W37" s="150" t="str">
        <f t="shared" si="10"/>
        <v>--</v>
      </c>
      <c r="X37" s="151" t="str">
        <f t="shared" si="11"/>
        <v>--</v>
      </c>
      <c r="Y37" s="152" t="str">
        <f t="shared" si="12"/>
        <v>--</v>
      </c>
      <c r="Z37" s="153" t="str">
        <f t="shared" si="13"/>
        <v>SI</v>
      </c>
      <c r="AA37" s="154">
        <f t="shared" si="14"/>
        <v>2011.3144463229785</v>
      </c>
      <c r="AB37" s="155"/>
    </row>
    <row r="38" spans="2:28" s="10" customFormat="1" ht="16.5" customHeight="1">
      <c r="B38" s="156"/>
      <c r="C38" s="128">
        <v>18</v>
      </c>
      <c r="D38" s="128">
        <v>253516</v>
      </c>
      <c r="E38" s="128">
        <v>706</v>
      </c>
      <c r="F38" s="126" t="s">
        <v>134</v>
      </c>
      <c r="G38" s="126">
        <v>220</v>
      </c>
      <c r="H38" s="138">
        <v>171.60000610351562</v>
      </c>
      <c r="I38" s="139">
        <f t="shared" si="0"/>
        <v>722.4549016964722</v>
      </c>
      <c r="J38" s="140">
        <v>41211.37291666667</v>
      </c>
      <c r="K38" s="140">
        <v>41211.754166666666</v>
      </c>
      <c r="L38" s="141">
        <f t="shared" si="1"/>
        <v>9.149999999965075</v>
      </c>
      <c r="M38" s="142">
        <f t="shared" si="2"/>
        <v>549</v>
      </c>
      <c r="N38" s="140" t="s">
        <v>131</v>
      </c>
      <c r="O38" s="143" t="s">
        <v>132</v>
      </c>
      <c r="P38" s="145">
        <f t="shared" si="3"/>
        <v>1983.1387051568163</v>
      </c>
      <c r="Q38" s="146" t="str">
        <f t="shared" si="4"/>
        <v>--</v>
      </c>
      <c r="R38" s="147" t="str">
        <f t="shared" si="5"/>
        <v>--</v>
      </c>
      <c r="S38" s="147" t="str">
        <f t="shared" si="6"/>
        <v>--</v>
      </c>
      <c r="T38" s="148" t="str">
        <f t="shared" si="7"/>
        <v>--</v>
      </c>
      <c r="U38" s="149" t="str">
        <f t="shared" si="8"/>
        <v>--</v>
      </c>
      <c r="V38" s="149" t="str">
        <f t="shared" si="9"/>
        <v>--</v>
      </c>
      <c r="W38" s="150" t="str">
        <f t="shared" si="10"/>
        <v>--</v>
      </c>
      <c r="X38" s="151" t="str">
        <f t="shared" si="11"/>
        <v>--</v>
      </c>
      <c r="Y38" s="152" t="str">
        <f t="shared" si="12"/>
        <v>--</v>
      </c>
      <c r="Z38" s="153" t="str">
        <f t="shared" si="13"/>
        <v>SI</v>
      </c>
      <c r="AA38" s="154">
        <f t="shared" si="14"/>
        <v>1983.1387051568163</v>
      </c>
      <c r="AB38" s="155"/>
    </row>
    <row r="39" spans="2:28" s="10" customFormat="1" ht="16.5" customHeight="1">
      <c r="B39" s="156"/>
      <c r="C39" s="128"/>
      <c r="D39" s="128"/>
      <c r="E39" s="128"/>
      <c r="F39" s="126"/>
      <c r="G39" s="126"/>
      <c r="H39" s="138"/>
      <c r="I39" s="139">
        <f t="shared" si="0"/>
        <v>100.575</v>
      </c>
      <c r="J39" s="140"/>
      <c r="K39" s="140"/>
      <c r="L39" s="141">
        <f t="shared" si="1"/>
      </c>
      <c r="M39" s="142">
        <f t="shared" si="2"/>
      </c>
      <c r="N39" s="140"/>
      <c r="O39" s="144">
        <f>IF(F39="","","--")</f>
      </c>
      <c r="P39" s="145" t="str">
        <f t="shared" si="3"/>
        <v>--</v>
      </c>
      <c r="Q39" s="146" t="str">
        <f t="shared" si="4"/>
        <v>--</v>
      </c>
      <c r="R39" s="147" t="str">
        <f t="shared" si="5"/>
        <v>--</v>
      </c>
      <c r="S39" s="147" t="str">
        <f t="shared" si="6"/>
        <v>--</v>
      </c>
      <c r="T39" s="148" t="str">
        <f t="shared" si="7"/>
        <v>--</v>
      </c>
      <c r="U39" s="149" t="str">
        <f t="shared" si="8"/>
        <v>--</v>
      </c>
      <c r="V39" s="149" t="str">
        <f t="shared" si="9"/>
        <v>--</v>
      </c>
      <c r="W39" s="150" t="str">
        <f t="shared" si="10"/>
        <v>--</v>
      </c>
      <c r="X39" s="151" t="str">
        <f t="shared" si="11"/>
        <v>--</v>
      </c>
      <c r="Y39" s="152" t="str">
        <f t="shared" si="12"/>
        <v>--</v>
      </c>
      <c r="Z39" s="153">
        <f t="shared" si="13"/>
      </c>
      <c r="AA39" s="154">
        <f t="shared" si="14"/>
      </c>
      <c r="AB39" s="155"/>
    </row>
    <row r="40" spans="2:28" s="10" customFormat="1" ht="16.5" customHeight="1">
      <c r="B40" s="156"/>
      <c r="C40" s="128"/>
      <c r="D40" s="128"/>
      <c r="E40" s="128"/>
      <c r="F40" s="126"/>
      <c r="G40" s="126"/>
      <c r="H40" s="138"/>
      <c r="I40" s="139">
        <f t="shared" si="0"/>
        <v>100.575</v>
      </c>
      <c r="J40" s="140"/>
      <c r="K40" s="140"/>
      <c r="L40" s="141">
        <f t="shared" si="1"/>
      </c>
      <c r="M40" s="142">
        <f t="shared" si="2"/>
      </c>
      <c r="N40" s="140"/>
      <c r="O40" s="144">
        <f>IF(F40="","","--")</f>
      </c>
      <c r="P40" s="145" t="str">
        <f t="shared" si="3"/>
        <v>--</v>
      </c>
      <c r="Q40" s="146" t="str">
        <f t="shared" si="4"/>
        <v>--</v>
      </c>
      <c r="R40" s="147" t="str">
        <f t="shared" si="5"/>
        <v>--</v>
      </c>
      <c r="S40" s="147" t="str">
        <f t="shared" si="6"/>
        <v>--</v>
      </c>
      <c r="T40" s="148" t="str">
        <f t="shared" si="7"/>
        <v>--</v>
      </c>
      <c r="U40" s="149" t="str">
        <f t="shared" si="8"/>
        <v>--</v>
      </c>
      <c r="V40" s="149" t="str">
        <f t="shared" si="9"/>
        <v>--</v>
      </c>
      <c r="W40" s="150" t="str">
        <f t="shared" si="10"/>
        <v>--</v>
      </c>
      <c r="X40" s="151" t="str">
        <f t="shared" si="11"/>
        <v>--</v>
      </c>
      <c r="Y40" s="152" t="str">
        <f t="shared" si="12"/>
        <v>--</v>
      </c>
      <c r="Z40" s="153">
        <f t="shared" si="13"/>
      </c>
      <c r="AA40" s="154">
        <f t="shared" si="14"/>
      </c>
      <c r="AB40" s="155"/>
    </row>
    <row r="41" spans="2:28" s="10" customFormat="1" ht="16.5" customHeight="1" thickBot="1">
      <c r="B41" s="44"/>
      <c r="C41" s="157"/>
      <c r="D41" s="157"/>
      <c r="E41" s="157"/>
      <c r="F41" s="158"/>
      <c r="G41" s="159"/>
      <c r="H41" s="160"/>
      <c r="I41" s="161"/>
      <c r="J41" s="160"/>
      <c r="K41" s="160"/>
      <c r="L41" s="160"/>
      <c r="M41" s="160"/>
      <c r="N41" s="160"/>
      <c r="O41" s="162"/>
      <c r="P41" s="163"/>
      <c r="Q41" s="164"/>
      <c r="R41" s="165"/>
      <c r="S41" s="166"/>
      <c r="T41" s="166"/>
      <c r="U41" s="167"/>
      <c r="V41" s="167"/>
      <c r="W41" s="167"/>
      <c r="X41" s="168"/>
      <c r="Y41" s="169"/>
      <c r="Z41" s="170"/>
      <c r="AA41" s="171"/>
      <c r="AB41" s="155"/>
    </row>
    <row r="42" spans="2:28" s="10" customFormat="1" ht="16.5" customHeight="1" thickBot="1" thickTop="1">
      <c r="B42" s="44"/>
      <c r="C42" s="421" t="s">
        <v>155</v>
      </c>
      <c r="D42" s="420" t="s">
        <v>154</v>
      </c>
      <c r="E42" s="186"/>
      <c r="F42" s="172"/>
      <c r="G42" s="3"/>
      <c r="H42" s="5"/>
      <c r="I42" s="173"/>
      <c r="J42" s="173"/>
      <c r="K42" s="173"/>
      <c r="L42" s="173"/>
      <c r="M42" s="173"/>
      <c r="N42" s="173"/>
      <c r="O42" s="174"/>
      <c r="P42" s="175">
        <f aca="true" t="shared" si="15" ref="P42:Y42">SUM(P19:P41)</f>
        <v>29303.99155715956</v>
      </c>
      <c r="Q42" s="176">
        <f t="shared" si="15"/>
        <v>0</v>
      </c>
      <c r="R42" s="177">
        <f t="shared" si="15"/>
        <v>24690.897050894167</v>
      </c>
      <c r="S42" s="177">
        <f t="shared" si="15"/>
        <v>7482.78</v>
      </c>
      <c r="T42" s="177">
        <f t="shared" si="15"/>
        <v>0</v>
      </c>
      <c r="U42" s="178">
        <f t="shared" si="15"/>
        <v>0</v>
      </c>
      <c r="V42" s="178">
        <f t="shared" si="15"/>
        <v>0</v>
      </c>
      <c r="W42" s="178">
        <f t="shared" si="15"/>
        <v>0</v>
      </c>
      <c r="X42" s="179">
        <f t="shared" si="15"/>
        <v>0</v>
      </c>
      <c r="Y42" s="180">
        <f t="shared" si="15"/>
        <v>0</v>
      </c>
      <c r="Z42" s="181"/>
      <c r="AA42" s="182">
        <f>ROUND(SUM(AA19:AA41),2)</f>
        <v>61477.67</v>
      </c>
      <c r="AB42" s="183"/>
    </row>
    <row r="43" spans="2:28" s="184" customFormat="1" ht="9.75" thickTop="1">
      <c r="B43" s="185"/>
      <c r="C43" s="186"/>
      <c r="D43" s="186"/>
      <c r="E43" s="186"/>
      <c r="F43" s="187"/>
      <c r="G43" s="188"/>
      <c r="H43" s="189"/>
      <c r="I43" s="190"/>
      <c r="J43" s="190"/>
      <c r="K43" s="190"/>
      <c r="L43" s="190"/>
      <c r="M43" s="190"/>
      <c r="N43" s="190"/>
      <c r="O43" s="191"/>
      <c r="P43" s="192"/>
      <c r="Q43" s="192"/>
      <c r="R43" s="193"/>
      <c r="S43" s="193"/>
      <c r="T43" s="194"/>
      <c r="U43" s="194"/>
      <c r="V43" s="194"/>
      <c r="W43" s="194"/>
      <c r="X43" s="194"/>
      <c r="Y43" s="194"/>
      <c r="Z43" s="194"/>
      <c r="AA43" s="195"/>
      <c r="AB43" s="196"/>
    </row>
    <row r="44" spans="2:28" s="10" customFormat="1" ht="16.5" customHeight="1" thickBot="1">
      <c r="B44" s="197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9"/>
    </row>
    <row r="45" spans="2:28" ht="13.5" thickTop="1">
      <c r="B45" s="200"/>
      <c r="AB45" s="200"/>
    </row>
    <row r="90" ht="12.75">
      <c r="B90" s="200"/>
    </row>
  </sheetData>
  <printOptions/>
  <pageMargins left="0.2" right="0.1968503937007874" top="0.7874015748031497" bottom="0.64" header="0.5118110236220472" footer="0.4"/>
  <pageSetup fitToHeight="1" fitToWidth="1" orientation="landscape" paperSize="9" scale="64" r:id="rId3"/>
  <headerFooter alignWithMargins="0">
    <oddFooter>&amp;L&amp;"Times New Roman,Normal"&amp;5&amp;F  - TRANSPORTE de ENERGÍA ELÉCTRICA - AJF/rb - &amp;P/&amp;N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AB90"/>
  <sheetViews>
    <sheetView zoomScale="70" zoomScaleNormal="70" workbookViewId="0" topLeftCell="A1">
      <selection activeCell="M29" sqref="M29"/>
    </sheetView>
  </sheetViews>
  <sheetFormatPr defaultColWidth="11.421875" defaultRowHeight="12.75"/>
  <cols>
    <col min="1" max="1" width="19.140625" style="1" customWidth="1"/>
    <col min="2" max="2" width="4.140625" style="1" customWidth="1"/>
    <col min="3" max="3" width="5.57421875" style="1" customWidth="1"/>
    <col min="4" max="5" width="13.57421875" style="1" customWidth="1"/>
    <col min="6" max="6" width="45.7109375" style="1" customWidth="1"/>
    <col min="7" max="7" width="8.7109375" style="1" customWidth="1"/>
    <col min="8" max="8" width="9.7109375" style="1" customWidth="1"/>
    <col min="9" max="9" width="14.28125" style="1" hidden="1" customWidth="1"/>
    <col min="10" max="11" width="15.7109375" style="1" customWidth="1"/>
    <col min="12" max="14" width="9.7109375" style="1" customWidth="1"/>
    <col min="15" max="15" width="8.7109375" style="1" customWidth="1"/>
    <col min="16" max="17" width="14.7109375" style="1" hidden="1" customWidth="1"/>
    <col min="18" max="18" width="15.421875" style="1" hidden="1" customWidth="1"/>
    <col min="19" max="19" width="13.8515625" style="1" hidden="1" customWidth="1"/>
    <col min="20" max="25" width="14.00390625" style="1" hidden="1" customWidth="1"/>
    <col min="26" max="26" width="9.7109375" style="1" customWidth="1"/>
    <col min="27" max="27" width="15.7109375" style="1" customWidth="1"/>
    <col min="28" max="28" width="4.140625" style="1" customWidth="1"/>
    <col min="29" max="16384" width="11.421875" style="1" customWidth="1"/>
  </cols>
  <sheetData>
    <row r="1" s="6" customFormat="1" ht="29.25" customHeight="1">
      <c r="AB1" s="394"/>
    </row>
    <row r="2" spans="2:28" s="6" customFormat="1" ht="26.25">
      <c r="B2" s="68" t="str">
        <f>+'TOT-1012'!B2</f>
        <v>ANEXO V al Memorándum  D.T.E.E.  N°         /2013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2:28" s="10" customFormat="1" ht="12.75">
      <c r="B3" s="69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" s="13" customFormat="1" ht="11.25">
      <c r="A4" s="70" t="s">
        <v>3</v>
      </c>
      <c r="B4" s="70"/>
    </row>
    <row r="5" spans="1:2" s="13" customFormat="1" ht="11.25">
      <c r="A5" s="70" t="s">
        <v>4</v>
      </c>
      <c r="B5" s="70"/>
    </row>
    <row r="6" s="10" customFormat="1" ht="16.5" customHeight="1" thickBot="1"/>
    <row r="7" spans="2:28" s="10" customFormat="1" ht="16.5" customHeight="1" thickTop="1"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3"/>
    </row>
    <row r="8" spans="2:28" s="74" customFormat="1" ht="20.25">
      <c r="B8" s="75"/>
      <c r="F8" s="76" t="s">
        <v>14</v>
      </c>
      <c r="G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8"/>
    </row>
    <row r="9" spans="2:28" s="10" customFormat="1" ht="16.5" customHeight="1">
      <c r="B9" s="44"/>
      <c r="F9" s="79"/>
      <c r="G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49"/>
    </row>
    <row r="10" spans="2:28" s="74" customFormat="1" ht="20.25">
      <c r="B10" s="75"/>
      <c r="F10" s="76" t="s">
        <v>15</v>
      </c>
      <c r="G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8"/>
    </row>
    <row r="11" spans="2:28" s="10" customFormat="1" ht="16.5" customHeight="1">
      <c r="B11" s="44"/>
      <c r="C11" s="79"/>
      <c r="D11" s="79"/>
      <c r="E11" s="79"/>
      <c r="G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49"/>
    </row>
    <row r="12" spans="2:28" s="17" customFormat="1" ht="19.5">
      <c r="B12" s="31" t="str">
        <f>+'TOT-1012'!B14</f>
        <v>Desde el 01 al 31 de octubre de 2012</v>
      </c>
      <c r="C12" s="80"/>
      <c r="D12" s="80"/>
      <c r="E12" s="80"/>
      <c r="F12" s="34"/>
      <c r="G12" s="34"/>
      <c r="H12" s="81"/>
      <c r="I12" s="82"/>
      <c r="J12" s="81"/>
      <c r="K12" s="82"/>
      <c r="L12" s="82"/>
      <c r="M12" s="82"/>
      <c r="N12" s="82"/>
      <c r="O12" s="82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83"/>
    </row>
    <row r="13" spans="2:28" s="10" customFormat="1" ht="16.5" customHeight="1" thickBot="1">
      <c r="B13" s="44"/>
      <c r="C13" s="12"/>
      <c r="D13" s="12"/>
      <c r="E13" s="12"/>
      <c r="F13" s="12"/>
      <c r="G13" s="84"/>
      <c r="H13" s="85"/>
      <c r="I13" s="86"/>
      <c r="J13" s="86"/>
      <c r="K13" s="86"/>
      <c r="L13" s="86"/>
      <c r="M13" s="86"/>
      <c r="N13" s="86"/>
      <c r="O13" s="86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49"/>
    </row>
    <row r="14" spans="2:28" s="10" customFormat="1" ht="16.5" customHeight="1" thickBot="1" thickTop="1">
      <c r="B14" s="44"/>
      <c r="C14" s="12"/>
      <c r="D14" s="12"/>
      <c r="E14" s="12"/>
      <c r="F14" s="87" t="s">
        <v>16</v>
      </c>
      <c r="G14" s="88">
        <v>421.011</v>
      </c>
      <c r="H14" s="89"/>
      <c r="I14" s="86"/>
      <c r="J14" s="86"/>
      <c r="K14" s="86"/>
      <c r="L14" s="86"/>
      <c r="M14" s="86"/>
      <c r="N14" s="86"/>
      <c r="O14" s="86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49"/>
    </row>
    <row r="15" spans="2:28" s="10" customFormat="1" ht="16.5" customHeight="1" thickBot="1" thickTop="1">
      <c r="B15" s="44"/>
      <c r="C15" s="12"/>
      <c r="D15" s="12"/>
      <c r="E15" s="12"/>
      <c r="F15" s="87" t="s">
        <v>17</v>
      </c>
      <c r="G15" s="88">
        <v>402.3</v>
      </c>
      <c r="H15" s="90"/>
      <c r="I15" s="12"/>
      <c r="J15" s="91"/>
      <c r="K15" s="92" t="s">
        <v>18</v>
      </c>
      <c r="L15" s="93">
        <f>30*'TOT-1012'!B13</f>
        <v>30</v>
      </c>
      <c r="M15" s="94" t="str">
        <f>IF(L15=30," ",IF(L15=60,"Coeficiente duplicado por tasa de falla &gt;4 Sal. x año/100 km.","REVISAR COEFICIENTE"))</f>
        <v> 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49"/>
    </row>
    <row r="16" spans="2:28" s="10" customFormat="1" ht="16.5" customHeight="1" thickBot="1" thickTop="1">
      <c r="B16" s="44"/>
      <c r="C16" s="12"/>
      <c r="D16" s="12"/>
      <c r="E16" s="12"/>
      <c r="F16" s="87" t="s">
        <v>19</v>
      </c>
      <c r="G16" s="88">
        <v>402.3</v>
      </c>
      <c r="H16" s="90"/>
      <c r="I16" s="12"/>
      <c r="J16" s="12"/>
      <c r="K16" s="12"/>
      <c r="L16" s="50"/>
      <c r="M16" s="95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49"/>
    </row>
    <row r="17" spans="2:28" s="10" customFormat="1" ht="16.5" customHeight="1" thickBot="1" thickTop="1">
      <c r="B17" s="44"/>
      <c r="C17" s="12"/>
      <c r="D17" s="416">
        <v>4</v>
      </c>
      <c r="E17" s="416">
        <v>5</v>
      </c>
      <c r="F17" s="416">
        <v>6</v>
      </c>
      <c r="G17" s="416">
        <v>7</v>
      </c>
      <c r="H17" s="416">
        <v>8</v>
      </c>
      <c r="I17" s="416">
        <v>9</v>
      </c>
      <c r="J17" s="416">
        <v>10</v>
      </c>
      <c r="K17" s="416">
        <v>11</v>
      </c>
      <c r="L17" s="416">
        <v>12</v>
      </c>
      <c r="M17" s="416">
        <v>13</v>
      </c>
      <c r="N17" s="416">
        <v>14</v>
      </c>
      <c r="O17" s="416">
        <v>15</v>
      </c>
      <c r="P17" s="416">
        <v>16</v>
      </c>
      <c r="Q17" s="416">
        <v>17</v>
      </c>
      <c r="R17" s="416">
        <v>18</v>
      </c>
      <c r="S17" s="416">
        <v>19</v>
      </c>
      <c r="T17" s="416">
        <v>20</v>
      </c>
      <c r="U17" s="416">
        <v>21</v>
      </c>
      <c r="V17" s="416">
        <v>22</v>
      </c>
      <c r="W17" s="416">
        <v>23</v>
      </c>
      <c r="X17" s="416">
        <v>24</v>
      </c>
      <c r="Y17" s="416">
        <v>25</v>
      </c>
      <c r="Z17" s="416">
        <v>26</v>
      </c>
      <c r="AA17" s="416">
        <v>27</v>
      </c>
      <c r="AB17" s="49"/>
    </row>
    <row r="18" spans="2:28" s="96" customFormat="1" ht="34.5" customHeight="1" thickBot="1" thickTop="1">
      <c r="B18" s="97"/>
      <c r="C18" s="399" t="s">
        <v>20</v>
      </c>
      <c r="D18" s="399" t="s">
        <v>73</v>
      </c>
      <c r="E18" s="399" t="s">
        <v>74</v>
      </c>
      <c r="F18" s="98" t="s">
        <v>2</v>
      </c>
      <c r="G18" s="99" t="s">
        <v>21</v>
      </c>
      <c r="H18" s="99" t="s">
        <v>22</v>
      </c>
      <c r="I18" s="100" t="s">
        <v>23</v>
      </c>
      <c r="J18" s="98" t="s">
        <v>24</v>
      </c>
      <c r="K18" s="98" t="s">
        <v>25</v>
      </c>
      <c r="L18" s="99" t="s">
        <v>26</v>
      </c>
      <c r="M18" s="99" t="s">
        <v>27</v>
      </c>
      <c r="N18" s="99" t="s">
        <v>72</v>
      </c>
      <c r="O18" s="99" t="s">
        <v>28</v>
      </c>
      <c r="P18" s="101" t="s">
        <v>29</v>
      </c>
      <c r="Q18" s="102" t="s">
        <v>30</v>
      </c>
      <c r="R18" s="103" t="s">
        <v>31</v>
      </c>
      <c r="S18" s="104"/>
      <c r="T18" s="105"/>
      <c r="U18" s="106" t="s">
        <v>32</v>
      </c>
      <c r="V18" s="107"/>
      <c r="W18" s="108"/>
      <c r="X18" s="109" t="s">
        <v>33</v>
      </c>
      <c r="Y18" s="110" t="s">
        <v>34</v>
      </c>
      <c r="Z18" s="111" t="s">
        <v>35</v>
      </c>
      <c r="AA18" s="111" t="s">
        <v>36</v>
      </c>
      <c r="AB18" s="112"/>
    </row>
    <row r="19" spans="2:28" s="10" customFormat="1" ht="16.5" customHeight="1" thickTop="1">
      <c r="B19" s="44"/>
      <c r="C19" s="113"/>
      <c r="D19" s="113"/>
      <c r="E19" s="113"/>
      <c r="F19" s="114"/>
      <c r="G19" s="113"/>
      <c r="H19" s="113"/>
      <c r="I19" s="115"/>
      <c r="J19" s="113"/>
      <c r="K19" s="114"/>
      <c r="L19" s="116"/>
      <c r="M19" s="116"/>
      <c r="N19" s="113"/>
      <c r="O19" s="113"/>
      <c r="P19" s="117"/>
      <c r="Q19" s="118"/>
      <c r="R19" s="119"/>
      <c r="S19" s="120"/>
      <c r="T19" s="120"/>
      <c r="U19" s="121"/>
      <c r="V19" s="121"/>
      <c r="W19" s="121"/>
      <c r="X19" s="122"/>
      <c r="Y19" s="123"/>
      <c r="Z19" s="113"/>
      <c r="AA19" s="418">
        <f>'LI-10 (1)'!AA42</f>
        <v>61477.67</v>
      </c>
      <c r="AB19" s="49"/>
    </row>
    <row r="20" spans="2:28" s="10" customFormat="1" ht="16.5" customHeight="1">
      <c r="B20" s="44"/>
      <c r="C20" s="125"/>
      <c r="D20" s="125"/>
      <c r="E20" s="125"/>
      <c r="F20" s="126"/>
      <c r="G20" s="126"/>
      <c r="H20" s="125"/>
      <c r="I20" s="127"/>
      <c r="J20" s="125"/>
      <c r="K20" s="128"/>
      <c r="L20" s="129"/>
      <c r="M20" s="129"/>
      <c r="N20" s="125"/>
      <c r="O20" s="125"/>
      <c r="P20" s="130"/>
      <c r="Q20" s="131"/>
      <c r="R20" s="132"/>
      <c r="S20" s="133"/>
      <c r="T20" s="133"/>
      <c r="U20" s="134"/>
      <c r="V20" s="134"/>
      <c r="W20" s="134"/>
      <c r="X20" s="135"/>
      <c r="Y20" s="136"/>
      <c r="Z20" s="125"/>
      <c r="AA20" s="137"/>
      <c r="AB20" s="49"/>
    </row>
    <row r="21" spans="2:28" s="10" customFormat="1" ht="16.5" customHeight="1">
      <c r="B21" s="44"/>
      <c r="C21" s="128">
        <v>19</v>
      </c>
      <c r="D21" s="128">
        <v>253517</v>
      </c>
      <c r="E21" s="128">
        <v>706</v>
      </c>
      <c r="F21" s="126" t="s">
        <v>134</v>
      </c>
      <c r="G21" s="126">
        <v>220</v>
      </c>
      <c r="H21" s="138">
        <v>171.60000610351562</v>
      </c>
      <c r="I21" s="139">
        <f aca="true" t="shared" si="0" ref="I21:I40">IF(G21=220,$G$14*IF(H21&gt;25,H21,25),IF(G21=132,$G$15*IF(H21&gt;25,+H21,25),$G$16*IF(H21&gt;25,H21,25)))/100</f>
        <v>722.4549016964722</v>
      </c>
      <c r="J21" s="140">
        <v>41212.37569444445</v>
      </c>
      <c r="K21" s="140">
        <v>41212.77222222222</v>
      </c>
      <c r="L21" s="141">
        <f aca="true" t="shared" si="1" ref="L21:L40">IF(F21="","",(K21-J21)*24)</f>
        <v>9.516666666604578</v>
      </c>
      <c r="M21" s="142">
        <f aca="true" t="shared" si="2" ref="M21:M40">IF(F21="","",ROUND((K21-J21)*24*60,0))</f>
        <v>571</v>
      </c>
      <c r="N21" s="143" t="s">
        <v>131</v>
      </c>
      <c r="O21" s="143" t="s">
        <v>132</v>
      </c>
      <c r="P21" s="145">
        <f aca="true" t="shared" si="3" ref="P21:P40">IF(N21="P",ROUND(M21/60,2)*I21*$L$15*0.01,"--")</f>
        <v>2063.3311992451245</v>
      </c>
      <c r="Q21" s="146" t="str">
        <f aca="true" t="shared" si="4" ref="Q21:Q40">IF(N21="RP",ROUND(M21/60,2)*I21*$L$15*0.01*O21/100,"--")</f>
        <v>--</v>
      </c>
      <c r="R21" s="147" t="str">
        <f aca="true" t="shared" si="5" ref="R21:R40">IF(N21="F",I21*$L$15,"--")</f>
        <v>--</v>
      </c>
      <c r="S21" s="147" t="str">
        <f aca="true" t="shared" si="6" ref="S21:S40">IF(AND(M21&gt;10,N21="F"),$L$15*I21*IF(M21&gt;180,3,ROUND((M21)/60,2)),"--")</f>
        <v>--</v>
      </c>
      <c r="T21" s="148" t="str">
        <f aca="true" t="shared" si="7" ref="T21:T40">IF(AND(N21="F",M21&gt;180),(ROUND(M21/60,2)-3)*I21*$L$15*0.1,"--")</f>
        <v>--</v>
      </c>
      <c r="U21" s="149" t="str">
        <f aca="true" t="shared" si="8" ref="U21:U40">IF(N21="R",I21*$L$15*O21/100,"--")</f>
        <v>--</v>
      </c>
      <c r="V21" s="149" t="str">
        <f aca="true" t="shared" si="9" ref="V21:V40">IF(AND(M21&gt;10,N21="R"),$L$15*I21*O21/100*IF(M21&gt;180,3,ROUND((M21)/60,2)),"--")</f>
        <v>--</v>
      </c>
      <c r="W21" s="150" t="str">
        <f aca="true" t="shared" si="10" ref="W21:W40">IF(AND(N21="R",M21&gt;180),(ROUND(M21/60,2)-3)*I21*$L$15*0.1*O21/100,"--")</f>
        <v>--</v>
      </c>
      <c r="X21" s="151" t="str">
        <f aca="true" t="shared" si="11" ref="X21:X40">IF(N21="RF",ROUND(M21/60,2)*I21*$L$15*0.1,"--")</f>
        <v>--</v>
      </c>
      <c r="Y21" s="152" t="str">
        <f aca="true" t="shared" si="12" ref="Y21:Y40">IF(N21="RR",ROUND(M21/60,2)*I21*$L$15*0.1*O21/100,"--")</f>
        <v>--</v>
      </c>
      <c r="Z21" s="153" t="str">
        <f aca="true" t="shared" si="13" ref="Z21:Z40">IF(F21="","","SI")</f>
        <v>SI</v>
      </c>
      <c r="AA21" s="154">
        <f aca="true" t="shared" si="14" ref="AA21:AA40">IF(F21="","",SUM(P21:Y21)*IF(Z21="SI",1,2))</f>
        <v>2063.3311992451245</v>
      </c>
      <c r="AB21" s="155"/>
    </row>
    <row r="22" spans="2:28" s="10" customFormat="1" ht="16.5" customHeight="1">
      <c r="B22" s="44"/>
      <c r="C22" s="128">
        <v>20</v>
      </c>
      <c r="D22" s="128">
        <v>253518</v>
      </c>
      <c r="E22" s="128">
        <v>706</v>
      </c>
      <c r="F22" s="126" t="s">
        <v>134</v>
      </c>
      <c r="G22" s="126">
        <v>220</v>
      </c>
      <c r="H22" s="138">
        <v>171.60000610351562</v>
      </c>
      <c r="I22" s="139">
        <f t="shared" si="0"/>
        <v>722.4549016964722</v>
      </c>
      <c r="J22" s="140">
        <v>41213.35763888889</v>
      </c>
      <c r="K22" s="140">
        <v>41213.78055555555</v>
      </c>
      <c r="L22" s="141">
        <f t="shared" si="1"/>
        <v>10.149999999906868</v>
      </c>
      <c r="M22" s="142">
        <f t="shared" si="2"/>
        <v>609</v>
      </c>
      <c r="N22" s="143" t="s">
        <v>131</v>
      </c>
      <c r="O22" s="143" t="s">
        <v>132</v>
      </c>
      <c r="P22" s="145">
        <f t="shared" si="3"/>
        <v>2199.875175665758</v>
      </c>
      <c r="Q22" s="146" t="str">
        <f t="shared" si="4"/>
        <v>--</v>
      </c>
      <c r="R22" s="147" t="str">
        <f t="shared" si="5"/>
        <v>--</v>
      </c>
      <c r="S22" s="147" t="str">
        <f t="shared" si="6"/>
        <v>--</v>
      </c>
      <c r="T22" s="148" t="str">
        <f t="shared" si="7"/>
        <v>--</v>
      </c>
      <c r="U22" s="149" t="str">
        <f t="shared" si="8"/>
        <v>--</v>
      </c>
      <c r="V22" s="149" t="str">
        <f t="shared" si="9"/>
        <v>--</v>
      </c>
      <c r="W22" s="150" t="str">
        <f t="shared" si="10"/>
        <v>--</v>
      </c>
      <c r="X22" s="151" t="str">
        <f t="shared" si="11"/>
        <v>--</v>
      </c>
      <c r="Y22" s="152" t="str">
        <f t="shared" si="12"/>
        <v>--</v>
      </c>
      <c r="Z22" s="153" t="str">
        <f t="shared" si="13"/>
        <v>SI</v>
      </c>
      <c r="AA22" s="154">
        <f t="shared" si="14"/>
        <v>2199.875175665758</v>
      </c>
      <c r="AB22" s="155"/>
    </row>
    <row r="23" spans="2:28" s="10" customFormat="1" ht="16.5" customHeight="1">
      <c r="B23" s="44"/>
      <c r="C23" s="128">
        <v>21</v>
      </c>
      <c r="D23" s="128">
        <v>253519</v>
      </c>
      <c r="E23" s="128">
        <v>705</v>
      </c>
      <c r="F23" s="126" t="s">
        <v>137</v>
      </c>
      <c r="G23" s="126">
        <v>132</v>
      </c>
      <c r="H23" s="138">
        <v>18.079999923706055</v>
      </c>
      <c r="I23" s="139">
        <f t="shared" si="0"/>
        <v>100.575</v>
      </c>
      <c r="J23" s="140">
        <v>41213.373611111114</v>
      </c>
      <c r="K23" s="140">
        <v>41213.48819444444</v>
      </c>
      <c r="L23" s="141">
        <f t="shared" si="1"/>
        <v>2.7499999998835847</v>
      </c>
      <c r="M23" s="142">
        <f t="shared" si="2"/>
        <v>165</v>
      </c>
      <c r="N23" s="143" t="s">
        <v>131</v>
      </c>
      <c r="O23" s="143" t="s">
        <v>132</v>
      </c>
      <c r="P23" s="145">
        <f t="shared" si="3"/>
        <v>82.974375</v>
      </c>
      <c r="Q23" s="146" t="str">
        <f t="shared" si="4"/>
        <v>--</v>
      </c>
      <c r="R23" s="147" t="str">
        <f t="shared" si="5"/>
        <v>--</v>
      </c>
      <c r="S23" s="147" t="str">
        <f t="shared" si="6"/>
        <v>--</v>
      </c>
      <c r="T23" s="148" t="str">
        <f t="shared" si="7"/>
        <v>--</v>
      </c>
      <c r="U23" s="149" t="str">
        <f t="shared" si="8"/>
        <v>--</v>
      </c>
      <c r="V23" s="149" t="str">
        <f t="shared" si="9"/>
        <v>--</v>
      </c>
      <c r="W23" s="150" t="str">
        <f t="shared" si="10"/>
        <v>--</v>
      </c>
      <c r="X23" s="151" t="str">
        <f t="shared" si="11"/>
        <v>--</v>
      </c>
      <c r="Y23" s="152" t="str">
        <f t="shared" si="12"/>
        <v>--</v>
      </c>
      <c r="Z23" s="153" t="str">
        <f t="shared" si="13"/>
        <v>SI</v>
      </c>
      <c r="AA23" s="154">
        <f t="shared" si="14"/>
        <v>82.974375</v>
      </c>
      <c r="AB23" s="155"/>
    </row>
    <row r="24" spans="2:28" s="10" customFormat="1" ht="16.5" customHeight="1">
      <c r="B24" s="44"/>
      <c r="C24" s="128"/>
      <c r="D24" s="128"/>
      <c r="E24" s="128"/>
      <c r="F24" s="126"/>
      <c r="G24" s="126"/>
      <c r="H24" s="138"/>
      <c r="I24" s="139">
        <f t="shared" si="0"/>
        <v>100.575</v>
      </c>
      <c r="J24" s="140"/>
      <c r="K24" s="140"/>
      <c r="L24" s="141">
        <f t="shared" si="1"/>
      </c>
      <c r="M24" s="142">
        <f t="shared" si="2"/>
      </c>
      <c r="N24" s="143"/>
      <c r="O24" s="144">
        <f aca="true" t="shared" si="15" ref="O24:O40">IF(F24="","","--")</f>
      </c>
      <c r="P24" s="145" t="str">
        <f t="shared" si="3"/>
        <v>--</v>
      </c>
      <c r="Q24" s="146" t="str">
        <f t="shared" si="4"/>
        <v>--</v>
      </c>
      <c r="R24" s="147" t="str">
        <f t="shared" si="5"/>
        <v>--</v>
      </c>
      <c r="S24" s="147" t="str">
        <f t="shared" si="6"/>
        <v>--</v>
      </c>
      <c r="T24" s="148" t="str">
        <f t="shared" si="7"/>
        <v>--</v>
      </c>
      <c r="U24" s="149" t="str">
        <f t="shared" si="8"/>
        <v>--</v>
      </c>
      <c r="V24" s="149" t="str">
        <f t="shared" si="9"/>
        <v>--</v>
      </c>
      <c r="W24" s="150" t="str">
        <f t="shared" si="10"/>
        <v>--</v>
      </c>
      <c r="X24" s="151" t="str">
        <f t="shared" si="11"/>
        <v>--</v>
      </c>
      <c r="Y24" s="152" t="str">
        <f t="shared" si="12"/>
        <v>--</v>
      </c>
      <c r="Z24" s="153">
        <f t="shared" si="13"/>
      </c>
      <c r="AA24" s="154">
        <f t="shared" si="14"/>
      </c>
      <c r="AB24" s="155"/>
    </row>
    <row r="25" spans="2:28" s="10" customFormat="1" ht="16.5" customHeight="1">
      <c r="B25" s="44"/>
      <c r="C25" s="128"/>
      <c r="D25" s="128"/>
      <c r="E25" s="128"/>
      <c r="F25" s="126"/>
      <c r="G25" s="126"/>
      <c r="H25" s="138"/>
      <c r="I25" s="139">
        <f t="shared" si="0"/>
        <v>100.575</v>
      </c>
      <c r="J25" s="140"/>
      <c r="K25" s="140"/>
      <c r="L25" s="141">
        <f t="shared" si="1"/>
      </c>
      <c r="M25" s="142">
        <f t="shared" si="2"/>
      </c>
      <c r="N25" s="143"/>
      <c r="O25" s="144">
        <f t="shared" si="15"/>
      </c>
      <c r="P25" s="145" t="str">
        <f t="shared" si="3"/>
        <v>--</v>
      </c>
      <c r="Q25" s="146" t="str">
        <f t="shared" si="4"/>
        <v>--</v>
      </c>
      <c r="R25" s="147" t="str">
        <f t="shared" si="5"/>
        <v>--</v>
      </c>
      <c r="S25" s="147" t="str">
        <f t="shared" si="6"/>
        <v>--</v>
      </c>
      <c r="T25" s="148" t="str">
        <f t="shared" si="7"/>
        <v>--</v>
      </c>
      <c r="U25" s="149" t="str">
        <f t="shared" si="8"/>
        <v>--</v>
      </c>
      <c r="V25" s="149" t="str">
        <f t="shared" si="9"/>
        <v>--</v>
      </c>
      <c r="W25" s="150" t="str">
        <f t="shared" si="10"/>
        <v>--</v>
      </c>
      <c r="X25" s="151" t="str">
        <f t="shared" si="11"/>
        <v>--</v>
      </c>
      <c r="Y25" s="152" t="str">
        <f t="shared" si="12"/>
        <v>--</v>
      </c>
      <c r="Z25" s="153">
        <f t="shared" si="13"/>
      </c>
      <c r="AA25" s="154">
        <f t="shared" si="14"/>
      </c>
      <c r="AB25" s="155"/>
    </row>
    <row r="26" spans="2:28" s="10" customFormat="1" ht="16.5" customHeight="1">
      <c r="B26" s="44"/>
      <c r="C26" s="128"/>
      <c r="D26" s="128"/>
      <c r="E26" s="128"/>
      <c r="F26" s="126"/>
      <c r="G26" s="126"/>
      <c r="H26" s="138"/>
      <c r="I26" s="139">
        <f t="shared" si="0"/>
        <v>100.575</v>
      </c>
      <c r="J26" s="140"/>
      <c r="K26" s="140"/>
      <c r="L26" s="141">
        <f t="shared" si="1"/>
      </c>
      <c r="M26" s="142">
        <f t="shared" si="2"/>
      </c>
      <c r="N26" s="140"/>
      <c r="O26" s="144">
        <f t="shared" si="15"/>
      </c>
      <c r="P26" s="145" t="str">
        <f t="shared" si="3"/>
        <v>--</v>
      </c>
      <c r="Q26" s="146" t="str">
        <f t="shared" si="4"/>
        <v>--</v>
      </c>
      <c r="R26" s="147" t="str">
        <f t="shared" si="5"/>
        <v>--</v>
      </c>
      <c r="S26" s="147" t="str">
        <f t="shared" si="6"/>
        <v>--</v>
      </c>
      <c r="T26" s="148" t="str">
        <f t="shared" si="7"/>
        <v>--</v>
      </c>
      <c r="U26" s="149" t="str">
        <f t="shared" si="8"/>
        <v>--</v>
      </c>
      <c r="V26" s="149" t="str">
        <f t="shared" si="9"/>
        <v>--</v>
      </c>
      <c r="W26" s="150" t="str">
        <f t="shared" si="10"/>
        <v>--</v>
      </c>
      <c r="X26" s="151" t="str">
        <f t="shared" si="11"/>
        <v>--</v>
      </c>
      <c r="Y26" s="152" t="str">
        <f t="shared" si="12"/>
        <v>--</v>
      </c>
      <c r="Z26" s="153">
        <f t="shared" si="13"/>
      </c>
      <c r="AA26" s="154">
        <f t="shared" si="14"/>
      </c>
      <c r="AB26" s="155"/>
    </row>
    <row r="27" spans="2:28" s="10" customFormat="1" ht="16.5" customHeight="1">
      <c r="B27" s="44"/>
      <c r="C27" s="128"/>
      <c r="D27" s="128"/>
      <c r="E27" s="128"/>
      <c r="F27" s="126"/>
      <c r="G27" s="126"/>
      <c r="H27" s="138"/>
      <c r="I27" s="139">
        <f t="shared" si="0"/>
        <v>100.575</v>
      </c>
      <c r="J27" s="140"/>
      <c r="K27" s="140"/>
      <c r="L27" s="141">
        <f t="shared" si="1"/>
      </c>
      <c r="M27" s="142">
        <f t="shared" si="2"/>
      </c>
      <c r="N27" s="140"/>
      <c r="O27" s="144">
        <f t="shared" si="15"/>
      </c>
      <c r="P27" s="145" t="str">
        <f t="shared" si="3"/>
        <v>--</v>
      </c>
      <c r="Q27" s="146" t="str">
        <f t="shared" si="4"/>
        <v>--</v>
      </c>
      <c r="R27" s="147" t="str">
        <f t="shared" si="5"/>
        <v>--</v>
      </c>
      <c r="S27" s="147" t="str">
        <f t="shared" si="6"/>
        <v>--</v>
      </c>
      <c r="T27" s="148" t="str">
        <f t="shared" si="7"/>
        <v>--</v>
      </c>
      <c r="U27" s="149" t="str">
        <f t="shared" si="8"/>
        <v>--</v>
      </c>
      <c r="V27" s="149" t="str">
        <f t="shared" si="9"/>
        <v>--</v>
      </c>
      <c r="W27" s="150" t="str">
        <f t="shared" si="10"/>
        <v>--</v>
      </c>
      <c r="X27" s="151" t="str">
        <f t="shared" si="11"/>
        <v>--</v>
      </c>
      <c r="Y27" s="152" t="str">
        <f t="shared" si="12"/>
        <v>--</v>
      </c>
      <c r="Z27" s="153">
        <f t="shared" si="13"/>
      </c>
      <c r="AA27" s="154">
        <f t="shared" si="14"/>
      </c>
      <c r="AB27" s="155"/>
    </row>
    <row r="28" spans="2:28" s="10" customFormat="1" ht="16.5" customHeight="1">
      <c r="B28" s="44"/>
      <c r="C28" s="128"/>
      <c r="D28" s="128"/>
      <c r="E28" s="128"/>
      <c r="F28" s="126"/>
      <c r="G28" s="126"/>
      <c r="H28" s="138"/>
      <c r="I28" s="139">
        <f t="shared" si="0"/>
        <v>100.575</v>
      </c>
      <c r="J28" s="140"/>
      <c r="K28" s="140"/>
      <c r="L28" s="141">
        <f t="shared" si="1"/>
      </c>
      <c r="M28" s="142">
        <f t="shared" si="2"/>
      </c>
      <c r="N28" s="140"/>
      <c r="O28" s="144">
        <f t="shared" si="15"/>
      </c>
      <c r="P28" s="145" t="str">
        <f t="shared" si="3"/>
        <v>--</v>
      </c>
      <c r="Q28" s="146" t="str">
        <f t="shared" si="4"/>
        <v>--</v>
      </c>
      <c r="R28" s="147" t="str">
        <f t="shared" si="5"/>
        <v>--</v>
      </c>
      <c r="S28" s="147" t="str">
        <f t="shared" si="6"/>
        <v>--</v>
      </c>
      <c r="T28" s="148" t="str">
        <f t="shared" si="7"/>
        <v>--</v>
      </c>
      <c r="U28" s="149" t="str">
        <f t="shared" si="8"/>
        <v>--</v>
      </c>
      <c r="V28" s="149" t="str">
        <f t="shared" si="9"/>
        <v>--</v>
      </c>
      <c r="W28" s="150" t="str">
        <f t="shared" si="10"/>
        <v>--</v>
      </c>
      <c r="X28" s="151" t="str">
        <f t="shared" si="11"/>
        <v>--</v>
      </c>
      <c r="Y28" s="152" t="str">
        <f t="shared" si="12"/>
        <v>--</v>
      </c>
      <c r="Z28" s="153">
        <f t="shared" si="13"/>
      </c>
      <c r="AA28" s="154">
        <f t="shared" si="14"/>
      </c>
      <c r="AB28" s="155"/>
    </row>
    <row r="29" spans="2:28" s="10" customFormat="1" ht="16.5" customHeight="1">
      <c r="B29" s="44"/>
      <c r="C29" s="128"/>
      <c r="D29" s="128"/>
      <c r="E29" s="128"/>
      <c r="F29" s="126"/>
      <c r="G29" s="126"/>
      <c r="H29" s="138"/>
      <c r="I29" s="139">
        <f t="shared" si="0"/>
        <v>100.575</v>
      </c>
      <c r="J29" s="140"/>
      <c r="K29" s="140"/>
      <c r="L29" s="141">
        <f t="shared" si="1"/>
      </c>
      <c r="M29" s="142">
        <f t="shared" si="2"/>
      </c>
      <c r="N29" s="140"/>
      <c r="O29" s="144">
        <f t="shared" si="15"/>
      </c>
      <c r="P29" s="145" t="str">
        <f t="shared" si="3"/>
        <v>--</v>
      </c>
      <c r="Q29" s="146" t="str">
        <f t="shared" si="4"/>
        <v>--</v>
      </c>
      <c r="R29" s="147" t="str">
        <f t="shared" si="5"/>
        <v>--</v>
      </c>
      <c r="S29" s="147" t="str">
        <f t="shared" si="6"/>
        <v>--</v>
      </c>
      <c r="T29" s="148" t="str">
        <f t="shared" si="7"/>
        <v>--</v>
      </c>
      <c r="U29" s="149" t="str">
        <f t="shared" si="8"/>
        <v>--</v>
      </c>
      <c r="V29" s="149" t="str">
        <f t="shared" si="9"/>
        <v>--</v>
      </c>
      <c r="W29" s="150" t="str">
        <f t="shared" si="10"/>
        <v>--</v>
      </c>
      <c r="X29" s="151" t="str">
        <f t="shared" si="11"/>
        <v>--</v>
      </c>
      <c r="Y29" s="152" t="str">
        <f t="shared" si="12"/>
        <v>--</v>
      </c>
      <c r="Z29" s="153">
        <f t="shared" si="13"/>
      </c>
      <c r="AA29" s="154">
        <f t="shared" si="14"/>
      </c>
      <c r="AB29" s="155"/>
    </row>
    <row r="30" spans="2:28" s="10" customFormat="1" ht="16.5" customHeight="1">
      <c r="B30" s="44"/>
      <c r="C30" s="128"/>
      <c r="D30" s="128"/>
      <c r="E30" s="128"/>
      <c r="F30" s="126"/>
      <c r="G30" s="126"/>
      <c r="H30" s="138"/>
      <c r="I30" s="139">
        <f t="shared" si="0"/>
        <v>100.575</v>
      </c>
      <c r="J30" s="140"/>
      <c r="K30" s="140"/>
      <c r="L30" s="141">
        <f t="shared" si="1"/>
      </c>
      <c r="M30" s="142">
        <f t="shared" si="2"/>
      </c>
      <c r="N30" s="140"/>
      <c r="O30" s="144">
        <f t="shared" si="15"/>
      </c>
      <c r="P30" s="145" t="str">
        <f t="shared" si="3"/>
        <v>--</v>
      </c>
      <c r="Q30" s="146" t="str">
        <f t="shared" si="4"/>
        <v>--</v>
      </c>
      <c r="R30" s="147" t="str">
        <f t="shared" si="5"/>
        <v>--</v>
      </c>
      <c r="S30" s="147" t="str">
        <f t="shared" si="6"/>
        <v>--</v>
      </c>
      <c r="T30" s="148" t="str">
        <f t="shared" si="7"/>
        <v>--</v>
      </c>
      <c r="U30" s="149" t="str">
        <f t="shared" si="8"/>
        <v>--</v>
      </c>
      <c r="V30" s="149" t="str">
        <f t="shared" si="9"/>
        <v>--</v>
      </c>
      <c r="W30" s="150" t="str">
        <f t="shared" si="10"/>
        <v>--</v>
      </c>
      <c r="X30" s="151" t="str">
        <f t="shared" si="11"/>
        <v>--</v>
      </c>
      <c r="Y30" s="152" t="str">
        <f t="shared" si="12"/>
        <v>--</v>
      </c>
      <c r="Z30" s="153">
        <f t="shared" si="13"/>
      </c>
      <c r="AA30" s="154">
        <f t="shared" si="14"/>
      </c>
      <c r="AB30" s="155"/>
    </row>
    <row r="31" spans="2:28" s="10" customFormat="1" ht="16.5" customHeight="1">
      <c r="B31" s="44"/>
      <c r="C31" s="128"/>
      <c r="D31" s="128"/>
      <c r="E31" s="128"/>
      <c r="F31" s="126"/>
      <c r="G31" s="126"/>
      <c r="H31" s="138"/>
      <c r="I31" s="139">
        <f t="shared" si="0"/>
        <v>100.575</v>
      </c>
      <c r="J31" s="140"/>
      <c r="K31" s="140"/>
      <c r="L31" s="141">
        <f t="shared" si="1"/>
      </c>
      <c r="M31" s="142">
        <f t="shared" si="2"/>
      </c>
      <c r="N31" s="140"/>
      <c r="O31" s="144">
        <f t="shared" si="15"/>
      </c>
      <c r="P31" s="145" t="str">
        <f t="shared" si="3"/>
        <v>--</v>
      </c>
      <c r="Q31" s="146" t="str">
        <f t="shared" si="4"/>
        <v>--</v>
      </c>
      <c r="R31" s="147" t="str">
        <f t="shared" si="5"/>
        <v>--</v>
      </c>
      <c r="S31" s="147" t="str">
        <f t="shared" si="6"/>
        <v>--</v>
      </c>
      <c r="T31" s="148" t="str">
        <f t="shared" si="7"/>
        <v>--</v>
      </c>
      <c r="U31" s="149" t="str">
        <f t="shared" si="8"/>
        <v>--</v>
      </c>
      <c r="V31" s="149" t="str">
        <f t="shared" si="9"/>
        <v>--</v>
      </c>
      <c r="W31" s="150" t="str">
        <f t="shared" si="10"/>
        <v>--</v>
      </c>
      <c r="X31" s="151" t="str">
        <f t="shared" si="11"/>
        <v>--</v>
      </c>
      <c r="Y31" s="152" t="str">
        <f t="shared" si="12"/>
        <v>--</v>
      </c>
      <c r="Z31" s="153">
        <f t="shared" si="13"/>
      </c>
      <c r="AA31" s="154">
        <f t="shared" si="14"/>
      </c>
      <c r="AB31" s="155"/>
    </row>
    <row r="32" spans="2:28" s="10" customFormat="1" ht="16.5" customHeight="1">
      <c r="B32" s="44"/>
      <c r="C32" s="128"/>
      <c r="D32" s="128"/>
      <c r="E32" s="128"/>
      <c r="F32" s="126"/>
      <c r="G32" s="126"/>
      <c r="H32" s="138"/>
      <c r="I32" s="139">
        <f t="shared" si="0"/>
        <v>100.575</v>
      </c>
      <c r="J32" s="140"/>
      <c r="K32" s="140"/>
      <c r="L32" s="141">
        <f t="shared" si="1"/>
      </c>
      <c r="M32" s="142">
        <f t="shared" si="2"/>
      </c>
      <c r="N32" s="140"/>
      <c r="O32" s="144">
        <f t="shared" si="15"/>
      </c>
      <c r="P32" s="145" t="str">
        <f t="shared" si="3"/>
        <v>--</v>
      </c>
      <c r="Q32" s="146" t="str">
        <f t="shared" si="4"/>
        <v>--</v>
      </c>
      <c r="R32" s="147" t="str">
        <f t="shared" si="5"/>
        <v>--</v>
      </c>
      <c r="S32" s="147" t="str">
        <f t="shared" si="6"/>
        <v>--</v>
      </c>
      <c r="T32" s="148" t="str">
        <f t="shared" si="7"/>
        <v>--</v>
      </c>
      <c r="U32" s="149" t="str">
        <f t="shared" si="8"/>
        <v>--</v>
      </c>
      <c r="V32" s="149" t="str">
        <f t="shared" si="9"/>
        <v>--</v>
      </c>
      <c r="W32" s="150" t="str">
        <f t="shared" si="10"/>
        <v>--</v>
      </c>
      <c r="X32" s="151" t="str">
        <f t="shared" si="11"/>
        <v>--</v>
      </c>
      <c r="Y32" s="152" t="str">
        <f t="shared" si="12"/>
        <v>--</v>
      </c>
      <c r="Z32" s="153">
        <f t="shared" si="13"/>
      </c>
      <c r="AA32" s="154">
        <f t="shared" si="14"/>
      </c>
      <c r="AB32" s="155"/>
    </row>
    <row r="33" spans="2:28" s="10" customFormat="1" ht="16.5" customHeight="1">
      <c r="B33" s="44"/>
      <c r="C33" s="128"/>
      <c r="D33" s="128"/>
      <c r="E33" s="128"/>
      <c r="F33" s="126"/>
      <c r="G33" s="126"/>
      <c r="H33" s="138"/>
      <c r="I33" s="139">
        <f t="shared" si="0"/>
        <v>100.575</v>
      </c>
      <c r="J33" s="140"/>
      <c r="K33" s="140"/>
      <c r="L33" s="141">
        <f t="shared" si="1"/>
      </c>
      <c r="M33" s="142">
        <f t="shared" si="2"/>
      </c>
      <c r="N33" s="140"/>
      <c r="O33" s="144">
        <f t="shared" si="15"/>
      </c>
      <c r="P33" s="145" t="str">
        <f t="shared" si="3"/>
        <v>--</v>
      </c>
      <c r="Q33" s="146" t="str">
        <f t="shared" si="4"/>
        <v>--</v>
      </c>
      <c r="R33" s="147" t="str">
        <f t="shared" si="5"/>
        <v>--</v>
      </c>
      <c r="S33" s="147" t="str">
        <f t="shared" si="6"/>
        <v>--</v>
      </c>
      <c r="T33" s="148" t="str">
        <f t="shared" si="7"/>
        <v>--</v>
      </c>
      <c r="U33" s="149" t="str">
        <f t="shared" si="8"/>
        <v>--</v>
      </c>
      <c r="V33" s="149" t="str">
        <f t="shared" si="9"/>
        <v>--</v>
      </c>
      <c r="W33" s="150" t="str">
        <f t="shared" si="10"/>
        <v>--</v>
      </c>
      <c r="X33" s="151" t="str">
        <f t="shared" si="11"/>
        <v>--</v>
      </c>
      <c r="Y33" s="152" t="str">
        <f t="shared" si="12"/>
        <v>--</v>
      </c>
      <c r="Z33" s="153">
        <f t="shared" si="13"/>
      </c>
      <c r="AA33" s="154">
        <f t="shared" si="14"/>
      </c>
      <c r="AB33" s="155"/>
    </row>
    <row r="34" spans="2:28" s="10" customFormat="1" ht="16.5" customHeight="1">
      <c r="B34" s="156"/>
      <c r="C34" s="128"/>
      <c r="D34" s="128"/>
      <c r="E34" s="128"/>
      <c r="F34" s="126"/>
      <c r="G34" s="126"/>
      <c r="H34" s="138"/>
      <c r="I34" s="139">
        <f t="shared" si="0"/>
        <v>100.575</v>
      </c>
      <c r="J34" s="140"/>
      <c r="K34" s="140"/>
      <c r="L34" s="141">
        <f t="shared" si="1"/>
      </c>
      <c r="M34" s="142">
        <f t="shared" si="2"/>
      </c>
      <c r="N34" s="140"/>
      <c r="O34" s="144">
        <f t="shared" si="15"/>
      </c>
      <c r="P34" s="145" t="str">
        <f t="shared" si="3"/>
        <v>--</v>
      </c>
      <c r="Q34" s="146" t="str">
        <f t="shared" si="4"/>
        <v>--</v>
      </c>
      <c r="R34" s="147" t="str">
        <f t="shared" si="5"/>
        <v>--</v>
      </c>
      <c r="S34" s="147" t="str">
        <f t="shared" si="6"/>
        <v>--</v>
      </c>
      <c r="T34" s="148" t="str">
        <f t="shared" si="7"/>
        <v>--</v>
      </c>
      <c r="U34" s="149" t="str">
        <f t="shared" si="8"/>
        <v>--</v>
      </c>
      <c r="V34" s="149" t="str">
        <f t="shared" si="9"/>
        <v>--</v>
      </c>
      <c r="W34" s="150" t="str">
        <f t="shared" si="10"/>
        <v>--</v>
      </c>
      <c r="X34" s="151" t="str">
        <f t="shared" si="11"/>
        <v>--</v>
      </c>
      <c r="Y34" s="152" t="str">
        <f t="shared" si="12"/>
        <v>--</v>
      </c>
      <c r="Z34" s="153">
        <f t="shared" si="13"/>
      </c>
      <c r="AA34" s="154">
        <f t="shared" si="14"/>
      </c>
      <c r="AB34" s="155"/>
    </row>
    <row r="35" spans="2:28" s="10" customFormat="1" ht="16.5" customHeight="1">
      <c r="B35" s="156"/>
      <c r="C35" s="128"/>
      <c r="D35" s="128"/>
      <c r="E35" s="128"/>
      <c r="F35" s="126"/>
      <c r="G35" s="126"/>
      <c r="H35" s="138"/>
      <c r="I35" s="139">
        <f t="shared" si="0"/>
        <v>100.575</v>
      </c>
      <c r="J35" s="140"/>
      <c r="K35" s="140"/>
      <c r="L35" s="141">
        <f t="shared" si="1"/>
      </c>
      <c r="M35" s="142">
        <f t="shared" si="2"/>
      </c>
      <c r="N35" s="140"/>
      <c r="O35" s="144">
        <f t="shared" si="15"/>
      </c>
      <c r="P35" s="145" t="str">
        <f t="shared" si="3"/>
        <v>--</v>
      </c>
      <c r="Q35" s="146" t="str">
        <f t="shared" si="4"/>
        <v>--</v>
      </c>
      <c r="R35" s="147" t="str">
        <f t="shared" si="5"/>
        <v>--</v>
      </c>
      <c r="S35" s="147" t="str">
        <f t="shared" si="6"/>
        <v>--</v>
      </c>
      <c r="T35" s="148" t="str">
        <f t="shared" si="7"/>
        <v>--</v>
      </c>
      <c r="U35" s="149" t="str">
        <f t="shared" si="8"/>
        <v>--</v>
      </c>
      <c r="V35" s="149" t="str">
        <f t="shared" si="9"/>
        <v>--</v>
      </c>
      <c r="W35" s="150" t="str">
        <f t="shared" si="10"/>
        <v>--</v>
      </c>
      <c r="X35" s="151" t="str">
        <f t="shared" si="11"/>
        <v>--</v>
      </c>
      <c r="Y35" s="152" t="str">
        <f t="shared" si="12"/>
        <v>--</v>
      </c>
      <c r="Z35" s="153">
        <f t="shared" si="13"/>
      </c>
      <c r="AA35" s="154">
        <f t="shared" si="14"/>
      </c>
      <c r="AB35" s="155"/>
    </row>
    <row r="36" spans="2:28" s="10" customFormat="1" ht="16.5" customHeight="1">
      <c r="B36" s="156"/>
      <c r="C36" s="128"/>
      <c r="D36" s="128"/>
      <c r="E36" s="128"/>
      <c r="F36" s="126"/>
      <c r="G36" s="126"/>
      <c r="H36" s="138"/>
      <c r="I36" s="139">
        <f t="shared" si="0"/>
        <v>100.575</v>
      </c>
      <c r="J36" s="140"/>
      <c r="K36" s="140"/>
      <c r="L36" s="141">
        <f t="shared" si="1"/>
      </c>
      <c r="M36" s="142">
        <f t="shared" si="2"/>
      </c>
      <c r="N36" s="140"/>
      <c r="O36" s="144">
        <f t="shared" si="15"/>
      </c>
      <c r="P36" s="145" t="str">
        <f t="shared" si="3"/>
        <v>--</v>
      </c>
      <c r="Q36" s="146" t="str">
        <f t="shared" si="4"/>
        <v>--</v>
      </c>
      <c r="R36" s="147" t="str">
        <f t="shared" si="5"/>
        <v>--</v>
      </c>
      <c r="S36" s="147" t="str">
        <f t="shared" si="6"/>
        <v>--</v>
      </c>
      <c r="T36" s="148" t="str">
        <f t="shared" si="7"/>
        <v>--</v>
      </c>
      <c r="U36" s="149" t="str">
        <f t="shared" si="8"/>
        <v>--</v>
      </c>
      <c r="V36" s="149" t="str">
        <f t="shared" si="9"/>
        <v>--</v>
      </c>
      <c r="W36" s="150" t="str">
        <f t="shared" si="10"/>
        <v>--</v>
      </c>
      <c r="X36" s="151" t="str">
        <f t="shared" si="11"/>
        <v>--</v>
      </c>
      <c r="Y36" s="152" t="str">
        <f t="shared" si="12"/>
        <v>--</v>
      </c>
      <c r="Z36" s="153">
        <f t="shared" si="13"/>
      </c>
      <c r="AA36" s="154">
        <f t="shared" si="14"/>
      </c>
      <c r="AB36" s="155"/>
    </row>
    <row r="37" spans="2:28" s="10" customFormat="1" ht="16.5" customHeight="1">
      <c r="B37" s="156"/>
      <c r="C37" s="128"/>
      <c r="D37" s="128"/>
      <c r="E37" s="128"/>
      <c r="F37" s="126"/>
      <c r="G37" s="126"/>
      <c r="H37" s="138"/>
      <c r="I37" s="139">
        <f t="shared" si="0"/>
        <v>100.575</v>
      </c>
      <c r="J37" s="140"/>
      <c r="K37" s="140"/>
      <c r="L37" s="141">
        <f t="shared" si="1"/>
      </c>
      <c r="M37" s="142">
        <f t="shared" si="2"/>
      </c>
      <c r="N37" s="140"/>
      <c r="O37" s="144">
        <f t="shared" si="15"/>
      </c>
      <c r="P37" s="145" t="str">
        <f t="shared" si="3"/>
        <v>--</v>
      </c>
      <c r="Q37" s="146" t="str">
        <f t="shared" si="4"/>
        <v>--</v>
      </c>
      <c r="R37" s="147" t="str">
        <f t="shared" si="5"/>
        <v>--</v>
      </c>
      <c r="S37" s="147" t="str">
        <f t="shared" si="6"/>
        <v>--</v>
      </c>
      <c r="T37" s="148" t="str">
        <f t="shared" si="7"/>
        <v>--</v>
      </c>
      <c r="U37" s="149" t="str">
        <f t="shared" si="8"/>
        <v>--</v>
      </c>
      <c r="V37" s="149" t="str">
        <f t="shared" si="9"/>
        <v>--</v>
      </c>
      <c r="W37" s="150" t="str">
        <f t="shared" si="10"/>
        <v>--</v>
      </c>
      <c r="X37" s="151" t="str">
        <f t="shared" si="11"/>
        <v>--</v>
      </c>
      <c r="Y37" s="152" t="str">
        <f t="shared" si="12"/>
        <v>--</v>
      </c>
      <c r="Z37" s="153">
        <f t="shared" si="13"/>
      </c>
      <c r="AA37" s="154">
        <f t="shared" si="14"/>
      </c>
      <c r="AB37" s="155"/>
    </row>
    <row r="38" spans="2:28" s="10" customFormat="1" ht="16.5" customHeight="1">
      <c r="B38" s="156"/>
      <c r="C38" s="128"/>
      <c r="D38" s="128"/>
      <c r="E38" s="128"/>
      <c r="F38" s="126"/>
      <c r="G38" s="126"/>
      <c r="H38" s="138"/>
      <c r="I38" s="139">
        <f t="shared" si="0"/>
        <v>100.575</v>
      </c>
      <c r="J38" s="140"/>
      <c r="K38" s="140"/>
      <c r="L38" s="141">
        <f t="shared" si="1"/>
      </c>
      <c r="M38" s="142">
        <f t="shared" si="2"/>
      </c>
      <c r="N38" s="140"/>
      <c r="O38" s="144">
        <f t="shared" si="15"/>
      </c>
      <c r="P38" s="145" t="str">
        <f t="shared" si="3"/>
        <v>--</v>
      </c>
      <c r="Q38" s="146" t="str">
        <f t="shared" si="4"/>
        <v>--</v>
      </c>
      <c r="R38" s="147" t="str">
        <f t="shared" si="5"/>
        <v>--</v>
      </c>
      <c r="S38" s="147" t="str">
        <f t="shared" si="6"/>
        <v>--</v>
      </c>
      <c r="T38" s="148" t="str">
        <f t="shared" si="7"/>
        <v>--</v>
      </c>
      <c r="U38" s="149" t="str">
        <f t="shared" si="8"/>
        <v>--</v>
      </c>
      <c r="V38" s="149" t="str">
        <f t="shared" si="9"/>
        <v>--</v>
      </c>
      <c r="W38" s="150" t="str">
        <f t="shared" si="10"/>
        <v>--</v>
      </c>
      <c r="X38" s="151" t="str">
        <f t="shared" si="11"/>
        <v>--</v>
      </c>
      <c r="Y38" s="152" t="str">
        <f t="shared" si="12"/>
        <v>--</v>
      </c>
      <c r="Z38" s="153">
        <f t="shared" si="13"/>
      </c>
      <c r="AA38" s="154">
        <f t="shared" si="14"/>
      </c>
      <c r="AB38" s="155"/>
    </row>
    <row r="39" spans="2:28" s="10" customFormat="1" ht="16.5" customHeight="1">
      <c r="B39" s="156"/>
      <c r="C39" s="128"/>
      <c r="D39" s="128"/>
      <c r="E39" s="128"/>
      <c r="F39" s="126"/>
      <c r="G39" s="126"/>
      <c r="H39" s="138"/>
      <c r="I39" s="139">
        <f t="shared" si="0"/>
        <v>100.575</v>
      </c>
      <c r="J39" s="140"/>
      <c r="K39" s="140"/>
      <c r="L39" s="141">
        <f t="shared" si="1"/>
      </c>
      <c r="M39" s="142">
        <f t="shared" si="2"/>
      </c>
      <c r="N39" s="140"/>
      <c r="O39" s="144">
        <f t="shared" si="15"/>
      </c>
      <c r="P39" s="145" t="str">
        <f t="shared" si="3"/>
        <v>--</v>
      </c>
      <c r="Q39" s="146" t="str">
        <f t="shared" si="4"/>
        <v>--</v>
      </c>
      <c r="R39" s="147" t="str">
        <f t="shared" si="5"/>
        <v>--</v>
      </c>
      <c r="S39" s="147" t="str">
        <f t="shared" si="6"/>
        <v>--</v>
      </c>
      <c r="T39" s="148" t="str">
        <f t="shared" si="7"/>
        <v>--</v>
      </c>
      <c r="U39" s="149" t="str">
        <f t="shared" si="8"/>
        <v>--</v>
      </c>
      <c r="V39" s="149" t="str">
        <f t="shared" si="9"/>
        <v>--</v>
      </c>
      <c r="W39" s="150" t="str">
        <f t="shared" si="10"/>
        <v>--</v>
      </c>
      <c r="X39" s="151" t="str">
        <f t="shared" si="11"/>
        <v>--</v>
      </c>
      <c r="Y39" s="152" t="str">
        <f t="shared" si="12"/>
        <v>--</v>
      </c>
      <c r="Z39" s="153">
        <f t="shared" si="13"/>
      </c>
      <c r="AA39" s="154">
        <f t="shared" si="14"/>
      </c>
      <c r="AB39" s="155"/>
    </row>
    <row r="40" spans="2:28" s="10" customFormat="1" ht="16.5" customHeight="1">
      <c r="B40" s="156"/>
      <c r="C40" s="128"/>
      <c r="D40" s="128"/>
      <c r="E40" s="128"/>
      <c r="F40" s="126"/>
      <c r="G40" s="126"/>
      <c r="H40" s="138"/>
      <c r="I40" s="139">
        <f t="shared" si="0"/>
        <v>100.575</v>
      </c>
      <c r="J40" s="140"/>
      <c r="K40" s="140"/>
      <c r="L40" s="141">
        <f t="shared" si="1"/>
      </c>
      <c r="M40" s="142">
        <f t="shared" si="2"/>
      </c>
      <c r="N40" s="140"/>
      <c r="O40" s="144">
        <f t="shared" si="15"/>
      </c>
      <c r="P40" s="145" t="str">
        <f t="shared" si="3"/>
        <v>--</v>
      </c>
      <c r="Q40" s="146" t="str">
        <f t="shared" si="4"/>
        <v>--</v>
      </c>
      <c r="R40" s="147" t="str">
        <f t="shared" si="5"/>
        <v>--</v>
      </c>
      <c r="S40" s="147" t="str">
        <f t="shared" si="6"/>
        <v>--</v>
      </c>
      <c r="T40" s="148" t="str">
        <f t="shared" si="7"/>
        <v>--</v>
      </c>
      <c r="U40" s="149" t="str">
        <f t="shared" si="8"/>
        <v>--</v>
      </c>
      <c r="V40" s="149" t="str">
        <f t="shared" si="9"/>
        <v>--</v>
      </c>
      <c r="W40" s="150" t="str">
        <f t="shared" si="10"/>
        <v>--</v>
      </c>
      <c r="X40" s="151" t="str">
        <f t="shared" si="11"/>
        <v>--</v>
      </c>
      <c r="Y40" s="152" t="str">
        <f t="shared" si="12"/>
        <v>--</v>
      </c>
      <c r="Z40" s="153">
        <f t="shared" si="13"/>
      </c>
      <c r="AA40" s="154">
        <f t="shared" si="14"/>
      </c>
      <c r="AB40" s="155"/>
    </row>
    <row r="41" spans="2:28" s="10" customFormat="1" ht="16.5" customHeight="1" thickBot="1">
      <c r="B41" s="44"/>
      <c r="C41" s="157"/>
      <c r="D41" s="157"/>
      <c r="E41" s="157"/>
      <c r="F41" s="158"/>
      <c r="G41" s="159"/>
      <c r="H41" s="160"/>
      <c r="I41" s="161"/>
      <c r="J41" s="160"/>
      <c r="K41" s="160"/>
      <c r="L41" s="160"/>
      <c r="M41" s="160"/>
      <c r="N41" s="160"/>
      <c r="O41" s="162"/>
      <c r="P41" s="163"/>
      <c r="Q41" s="164"/>
      <c r="R41" s="165"/>
      <c r="S41" s="166"/>
      <c r="T41" s="166"/>
      <c r="U41" s="167"/>
      <c r="V41" s="167"/>
      <c r="W41" s="167"/>
      <c r="X41" s="168"/>
      <c r="Y41" s="169"/>
      <c r="Z41" s="170"/>
      <c r="AA41" s="171"/>
      <c r="AB41" s="155"/>
    </row>
    <row r="42" spans="2:28" s="10" customFormat="1" ht="16.5" customHeight="1" thickBot="1" thickTop="1">
      <c r="B42" s="44"/>
      <c r="C42" s="421" t="s">
        <v>155</v>
      </c>
      <c r="D42" s="420" t="s">
        <v>156</v>
      </c>
      <c r="E42" s="186"/>
      <c r="F42" s="172"/>
      <c r="G42" s="3"/>
      <c r="H42" s="5"/>
      <c r="I42" s="173"/>
      <c r="J42" s="173"/>
      <c r="K42" s="173"/>
      <c r="L42" s="173"/>
      <c r="M42" s="173"/>
      <c r="N42" s="173"/>
      <c r="O42" s="174"/>
      <c r="P42" s="175">
        <f aca="true" t="shared" si="16" ref="P42:Y42">SUM(P19:P41)</f>
        <v>4346.180749910882</v>
      </c>
      <c r="Q42" s="176">
        <f t="shared" si="16"/>
        <v>0</v>
      </c>
      <c r="R42" s="177">
        <f t="shared" si="16"/>
        <v>0</v>
      </c>
      <c r="S42" s="177">
        <f t="shared" si="16"/>
        <v>0</v>
      </c>
      <c r="T42" s="177">
        <f t="shared" si="16"/>
        <v>0</v>
      </c>
      <c r="U42" s="178">
        <f t="shared" si="16"/>
        <v>0</v>
      </c>
      <c r="V42" s="178">
        <f t="shared" si="16"/>
        <v>0</v>
      </c>
      <c r="W42" s="178">
        <f t="shared" si="16"/>
        <v>0</v>
      </c>
      <c r="X42" s="179">
        <f t="shared" si="16"/>
        <v>0</v>
      </c>
      <c r="Y42" s="180">
        <f t="shared" si="16"/>
        <v>0</v>
      </c>
      <c r="Z42" s="181"/>
      <c r="AA42" s="182">
        <f>ROUND(SUM(AA19:AA41),2)</f>
        <v>65823.85</v>
      </c>
      <c r="AB42" s="183"/>
    </row>
    <row r="43" spans="2:28" s="184" customFormat="1" ht="9.75" thickTop="1">
      <c r="B43" s="185"/>
      <c r="C43" s="186"/>
      <c r="D43" s="186"/>
      <c r="E43" s="186"/>
      <c r="F43" s="187"/>
      <c r="G43" s="188"/>
      <c r="H43" s="189"/>
      <c r="I43" s="190"/>
      <c r="J43" s="190"/>
      <c r="K43" s="190"/>
      <c r="L43" s="190"/>
      <c r="M43" s="190"/>
      <c r="N43" s="190"/>
      <c r="O43" s="191"/>
      <c r="P43" s="192"/>
      <c r="Q43" s="192"/>
      <c r="R43" s="193"/>
      <c r="S43" s="193"/>
      <c r="T43" s="194"/>
      <c r="U43" s="194"/>
      <c r="V43" s="194"/>
      <c r="W43" s="194"/>
      <c r="X43" s="194"/>
      <c r="Y43" s="194"/>
      <c r="Z43" s="194"/>
      <c r="AA43" s="195"/>
      <c r="AB43" s="196"/>
    </row>
    <row r="44" spans="2:28" s="10" customFormat="1" ht="16.5" customHeight="1" thickBot="1">
      <c r="B44" s="197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9"/>
    </row>
    <row r="45" spans="2:28" ht="13.5" thickTop="1">
      <c r="B45" s="200"/>
      <c r="AB45" s="200"/>
    </row>
    <row r="90" ht="12.75">
      <c r="B90" s="200"/>
    </row>
  </sheetData>
  <printOptions/>
  <pageMargins left="0.24" right="0.1968503937007874" top="0.7874015748031497" bottom="0.63" header="0.5118110236220472" footer="0.36"/>
  <pageSetup fitToHeight="1" fitToWidth="1" orientation="landscape" paperSize="9" scale="64" r:id="rId3"/>
  <headerFooter alignWithMargins="0">
    <oddFooter>&amp;L&amp;"Times New Roman,Normal"&amp;5&amp;F  - TRANSPORTE de ENERGÍA ELÉCTRICA - AJF/rb - &amp;P/&amp;N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AD46"/>
  <sheetViews>
    <sheetView zoomScale="70" zoomScaleNormal="70" workbookViewId="0" topLeftCell="A1">
      <selection activeCell="M29" sqref="M29"/>
    </sheetView>
  </sheetViews>
  <sheetFormatPr defaultColWidth="11.421875" defaultRowHeight="12.75"/>
  <cols>
    <col min="1" max="1" width="19.00390625" style="1" customWidth="1"/>
    <col min="2" max="2" width="4.140625" style="1" customWidth="1"/>
    <col min="3" max="3" width="5.57421875" style="1" customWidth="1"/>
    <col min="4" max="5" width="13.57421875" style="1" customWidth="1"/>
    <col min="6" max="6" width="30.7109375" style="1" customWidth="1"/>
    <col min="7" max="7" width="25.7109375" style="1" customWidth="1"/>
    <col min="8" max="8" width="7.28125" style="1" customWidth="1"/>
    <col min="9" max="9" width="12.00390625" style="1" customWidth="1"/>
    <col min="10" max="10" width="13.28125" style="1" hidden="1" customWidth="1"/>
    <col min="11" max="12" width="15.7109375" style="1" customWidth="1"/>
    <col min="13" max="15" width="9.7109375" style="1" customWidth="1"/>
    <col min="16" max="18" width="7.7109375" style="1" customWidth="1"/>
    <col min="19" max="19" width="13.28125" style="1" hidden="1" customWidth="1"/>
    <col min="20" max="21" width="14.57421875" style="1" hidden="1" customWidth="1"/>
    <col min="22" max="22" width="16.28125" style="1" hidden="1" customWidth="1"/>
    <col min="23" max="23" width="16.8515625" style="1" hidden="1" customWidth="1"/>
    <col min="24" max="24" width="16.28125" style="1" hidden="1" customWidth="1"/>
    <col min="25" max="27" width="16.8515625" style="1" hidden="1" customWidth="1"/>
    <col min="28" max="28" width="9.7109375" style="1" customWidth="1"/>
    <col min="29" max="29" width="15.7109375" style="1" customWidth="1"/>
    <col min="30" max="30" width="4.140625" style="1" customWidth="1"/>
    <col min="31" max="16384" width="11.421875" style="1" customWidth="1"/>
  </cols>
  <sheetData>
    <row r="1" spans="2:30" s="6" customFormat="1" ht="32.25" customHeight="1"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395"/>
    </row>
    <row r="2" spans="2:30" s="6" customFormat="1" ht="26.25">
      <c r="B2" s="68" t="str">
        <f>+'TOT-1012'!B2</f>
        <v>ANEXO V al Memorándum  D.T.E.E.  N°         /2013</v>
      </c>
      <c r="C2" s="202"/>
      <c r="D2" s="202"/>
      <c r="E2" s="202"/>
      <c r="F2" s="202"/>
      <c r="G2" s="9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</row>
    <row r="3" spans="2:30" s="10" customFormat="1" ht="12" customHeight="1">
      <c r="B3" s="69"/>
      <c r="C3" s="203"/>
      <c r="D3" s="203"/>
      <c r="E3" s="203"/>
      <c r="F3" s="203"/>
      <c r="G3" s="11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</row>
    <row r="4" spans="1:30" s="13" customFormat="1" ht="11.25">
      <c r="A4" s="204" t="s">
        <v>3</v>
      </c>
      <c r="B4" s="205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</row>
    <row r="5" spans="1:30" s="13" customFormat="1" ht="11.25">
      <c r="A5" s="204" t="s">
        <v>4</v>
      </c>
      <c r="B5" s="205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</row>
    <row r="6" spans="2:30" s="10" customFormat="1" ht="16.5" customHeight="1" thickBot="1"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</row>
    <row r="7" spans="2:30" s="10" customFormat="1" ht="16.5" customHeight="1" thickTop="1">
      <c r="B7" s="208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10"/>
    </row>
    <row r="8" spans="2:30" s="74" customFormat="1" ht="20.25">
      <c r="B8" s="211"/>
      <c r="C8" s="212"/>
      <c r="D8" s="212"/>
      <c r="E8" s="212"/>
      <c r="F8" s="213" t="s">
        <v>14</v>
      </c>
      <c r="H8" s="212"/>
      <c r="I8" s="214"/>
      <c r="J8" s="214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5"/>
    </row>
    <row r="9" spans="2:30" s="10" customFormat="1" ht="16.5" customHeight="1">
      <c r="B9" s="216"/>
      <c r="C9" s="64"/>
      <c r="D9" s="64"/>
      <c r="E9" s="64"/>
      <c r="F9" s="64"/>
      <c r="G9" s="64"/>
      <c r="H9" s="64"/>
      <c r="I9" s="207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217"/>
    </row>
    <row r="10" spans="2:30" s="74" customFormat="1" ht="20.25">
      <c r="B10" s="211"/>
      <c r="C10" s="212"/>
      <c r="D10" s="212"/>
      <c r="E10" s="212"/>
      <c r="F10" s="213" t="s">
        <v>37</v>
      </c>
      <c r="G10" s="212"/>
      <c r="H10" s="212"/>
      <c r="I10" s="214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5"/>
    </row>
    <row r="11" spans="2:30" s="10" customFormat="1" ht="16.5" customHeight="1">
      <c r="B11" s="216"/>
      <c r="C11" s="64"/>
      <c r="D11" s="64"/>
      <c r="E11" s="64"/>
      <c r="F11" s="218"/>
      <c r="G11" s="64"/>
      <c r="H11" s="64"/>
      <c r="I11" s="207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217"/>
    </row>
    <row r="12" spans="2:30" s="74" customFormat="1" ht="20.25">
      <c r="B12" s="211"/>
      <c r="C12" s="212"/>
      <c r="D12" s="212"/>
      <c r="E12" s="212"/>
      <c r="F12" s="219" t="s">
        <v>38</v>
      </c>
      <c r="G12" s="213"/>
      <c r="H12" s="214"/>
      <c r="I12" s="214"/>
      <c r="J12" s="220"/>
      <c r="K12" s="212"/>
      <c r="L12" s="214"/>
      <c r="M12" s="214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5"/>
    </row>
    <row r="13" spans="2:30" s="10" customFormat="1" ht="16.5" customHeight="1">
      <c r="B13" s="216"/>
      <c r="C13" s="64"/>
      <c r="D13" s="64"/>
      <c r="E13" s="64"/>
      <c r="F13" s="221"/>
      <c r="G13" s="221"/>
      <c r="H13" s="221"/>
      <c r="I13" s="222"/>
      <c r="J13" s="223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217"/>
    </row>
    <row r="14" spans="2:30" s="17" customFormat="1" ht="19.5">
      <c r="B14" s="224" t="str">
        <f>+'TOT-1012'!B14</f>
        <v>Desde el 01 al 31 de octubre de 2012</v>
      </c>
      <c r="C14" s="80"/>
      <c r="D14" s="80"/>
      <c r="E14" s="80"/>
      <c r="F14" s="225"/>
      <c r="G14" s="225"/>
      <c r="H14" s="225"/>
      <c r="I14" s="225"/>
      <c r="J14" s="225"/>
      <c r="K14" s="81"/>
      <c r="L14" s="81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6"/>
    </row>
    <row r="15" spans="2:30" s="10" customFormat="1" ht="16.5" customHeight="1" thickBot="1">
      <c r="B15" s="216"/>
      <c r="C15" s="64"/>
      <c r="D15" s="64"/>
      <c r="E15" s="64"/>
      <c r="F15" s="64"/>
      <c r="G15" s="64"/>
      <c r="H15" s="64"/>
      <c r="I15" s="227"/>
      <c r="J15" s="64"/>
      <c r="K15" s="228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217"/>
    </row>
    <row r="16" spans="2:30" s="10" customFormat="1" ht="16.5" customHeight="1" thickBot="1" thickTop="1">
      <c r="B16" s="216"/>
      <c r="C16" s="64"/>
      <c r="D16" s="64"/>
      <c r="E16" s="64"/>
      <c r="F16" s="229" t="s">
        <v>39</v>
      </c>
      <c r="G16" s="230"/>
      <c r="H16" s="231"/>
      <c r="I16" s="232">
        <v>1.405</v>
      </c>
      <c r="J16" s="207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217"/>
    </row>
    <row r="17" spans="2:30" s="10" customFormat="1" ht="16.5" customHeight="1" thickBot="1" thickTop="1">
      <c r="B17" s="216"/>
      <c r="C17" s="64"/>
      <c r="D17" s="64"/>
      <c r="E17" s="64"/>
      <c r="F17" s="233" t="s">
        <v>40</v>
      </c>
      <c r="G17" s="234"/>
      <c r="H17" s="234"/>
      <c r="I17" s="235">
        <f>30*'TOT-1012'!B13</f>
        <v>30</v>
      </c>
      <c r="J17" s="236" t="str">
        <f>IF(I17=30," ",IF(I17=60,"     Coeficiente duplicado por tasa de falla &gt;4 Sal. x año/100 km.","    REVISAR COEFICIENTE"))</f>
        <v> </v>
      </c>
      <c r="K17" s="236" t="str">
        <f>IF(I17=30," ",IF(I17=60,"    Coeficiente duplicado por tasa de falla &gt;4 Sal. x año/100 km.","    REVISAR COEFICIENTE"))</f>
        <v> 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237"/>
      <c r="X17" s="64"/>
      <c r="Y17" s="237"/>
      <c r="Z17" s="237"/>
      <c r="AA17" s="237"/>
      <c r="AB17" s="237"/>
      <c r="AC17" s="237"/>
      <c r="AD17" s="217"/>
    </row>
    <row r="18" spans="2:30" s="10" customFormat="1" ht="16.5" customHeight="1" thickBot="1" thickTop="1">
      <c r="B18" s="216"/>
      <c r="C18" s="64"/>
      <c r="D18" s="417">
        <v>4</v>
      </c>
      <c r="E18" s="417">
        <v>5</v>
      </c>
      <c r="F18" s="417">
        <v>6</v>
      </c>
      <c r="G18" s="417">
        <v>7</v>
      </c>
      <c r="H18" s="417">
        <v>8</v>
      </c>
      <c r="I18" s="417">
        <v>9</v>
      </c>
      <c r="J18" s="417">
        <v>10</v>
      </c>
      <c r="K18" s="417">
        <v>11</v>
      </c>
      <c r="L18" s="417">
        <v>12</v>
      </c>
      <c r="M18" s="417">
        <v>13</v>
      </c>
      <c r="N18" s="417">
        <v>14</v>
      </c>
      <c r="O18" s="417">
        <v>15</v>
      </c>
      <c r="P18" s="417">
        <v>16</v>
      </c>
      <c r="Q18" s="417">
        <v>17</v>
      </c>
      <c r="R18" s="417">
        <v>18</v>
      </c>
      <c r="S18" s="417">
        <v>19</v>
      </c>
      <c r="T18" s="417">
        <v>20</v>
      </c>
      <c r="U18" s="417">
        <v>21</v>
      </c>
      <c r="V18" s="417">
        <v>22</v>
      </c>
      <c r="W18" s="417">
        <v>23</v>
      </c>
      <c r="X18" s="417">
        <v>24</v>
      </c>
      <c r="Y18" s="417">
        <v>25</v>
      </c>
      <c r="Z18" s="417">
        <v>26</v>
      </c>
      <c r="AA18" s="417">
        <v>27</v>
      </c>
      <c r="AB18" s="417">
        <v>28</v>
      </c>
      <c r="AC18" s="417">
        <v>29</v>
      </c>
      <c r="AD18" s="217"/>
    </row>
    <row r="19" spans="2:30" s="238" customFormat="1" ht="34.5" customHeight="1" thickBot="1" thickTop="1">
      <c r="B19" s="239"/>
      <c r="C19" s="399" t="s">
        <v>20</v>
      </c>
      <c r="D19" s="399" t="s">
        <v>73</v>
      </c>
      <c r="E19" s="399" t="s">
        <v>74</v>
      </c>
      <c r="F19" s="240" t="s">
        <v>41</v>
      </c>
      <c r="G19" s="241" t="s">
        <v>42</v>
      </c>
      <c r="H19" s="242" t="s">
        <v>43</v>
      </c>
      <c r="I19" s="243" t="s">
        <v>21</v>
      </c>
      <c r="J19" s="244" t="s">
        <v>23</v>
      </c>
      <c r="K19" s="241" t="s">
        <v>24</v>
      </c>
      <c r="L19" s="241" t="s">
        <v>25</v>
      </c>
      <c r="M19" s="240" t="s">
        <v>44</v>
      </c>
      <c r="N19" s="240" t="s">
        <v>45</v>
      </c>
      <c r="O19" s="99" t="s">
        <v>72</v>
      </c>
      <c r="P19" s="241" t="s">
        <v>46</v>
      </c>
      <c r="Q19" s="240" t="s">
        <v>28</v>
      </c>
      <c r="R19" s="241" t="s">
        <v>47</v>
      </c>
      <c r="S19" s="245" t="s">
        <v>48</v>
      </c>
      <c r="T19" s="246" t="s">
        <v>29</v>
      </c>
      <c r="U19" s="247" t="s">
        <v>30</v>
      </c>
      <c r="V19" s="248" t="s">
        <v>49</v>
      </c>
      <c r="W19" s="249"/>
      <c r="X19" s="250" t="s">
        <v>50</v>
      </c>
      <c r="Y19" s="251"/>
      <c r="Z19" s="252" t="s">
        <v>33</v>
      </c>
      <c r="AA19" s="253" t="s">
        <v>34</v>
      </c>
      <c r="AB19" s="243" t="s">
        <v>51</v>
      </c>
      <c r="AC19" s="243" t="s">
        <v>36</v>
      </c>
      <c r="AD19" s="254"/>
    </row>
    <row r="20" spans="2:30" s="10" customFormat="1" ht="16.5" customHeight="1" thickTop="1">
      <c r="B20" s="216"/>
      <c r="C20" s="255"/>
      <c r="D20" s="255"/>
      <c r="E20" s="255"/>
      <c r="F20" s="256"/>
      <c r="G20" s="257"/>
      <c r="H20" s="257"/>
      <c r="I20" s="257"/>
      <c r="J20" s="258"/>
      <c r="K20" s="256"/>
      <c r="L20" s="257"/>
      <c r="M20" s="259"/>
      <c r="N20" s="259"/>
      <c r="O20" s="257"/>
      <c r="P20" s="257"/>
      <c r="Q20" s="257"/>
      <c r="R20" s="257"/>
      <c r="S20" s="123"/>
      <c r="T20" s="121"/>
      <c r="U20" s="260"/>
      <c r="V20" s="261"/>
      <c r="W20" s="262"/>
      <c r="X20" s="263"/>
      <c r="Y20" s="264"/>
      <c r="Z20" s="265"/>
      <c r="AA20" s="266"/>
      <c r="AB20" s="257"/>
      <c r="AC20" s="267"/>
      <c r="AD20" s="217"/>
    </row>
    <row r="21" spans="2:30" s="10" customFormat="1" ht="16.5" customHeight="1">
      <c r="B21" s="216"/>
      <c r="C21" s="268"/>
      <c r="D21" s="268"/>
      <c r="E21" s="268"/>
      <c r="F21" s="269"/>
      <c r="G21" s="269"/>
      <c r="H21" s="269"/>
      <c r="I21" s="269"/>
      <c r="J21" s="270"/>
      <c r="K21" s="271"/>
      <c r="L21" s="269"/>
      <c r="M21" s="272"/>
      <c r="N21" s="272"/>
      <c r="O21" s="269"/>
      <c r="P21" s="269"/>
      <c r="Q21" s="269"/>
      <c r="R21" s="269"/>
      <c r="S21" s="136"/>
      <c r="T21" s="134"/>
      <c r="U21" s="273"/>
      <c r="V21" s="274"/>
      <c r="W21" s="275"/>
      <c r="X21" s="276"/>
      <c r="Y21" s="277"/>
      <c r="Z21" s="278"/>
      <c r="AA21" s="279"/>
      <c r="AB21" s="269"/>
      <c r="AC21" s="280"/>
      <c r="AD21" s="217"/>
    </row>
    <row r="22" spans="2:30" s="10" customFormat="1" ht="16.5" customHeight="1">
      <c r="B22" s="216"/>
      <c r="C22" s="268">
        <v>22</v>
      </c>
      <c r="D22" s="268">
        <v>252825</v>
      </c>
      <c r="E22" s="268">
        <v>4437</v>
      </c>
      <c r="F22" s="126" t="s">
        <v>143</v>
      </c>
      <c r="G22" s="128" t="s">
        <v>157</v>
      </c>
      <c r="H22" s="419">
        <v>15</v>
      </c>
      <c r="I22" s="138" t="s">
        <v>158</v>
      </c>
      <c r="J22" s="283">
        <f aca="true" t="shared" si="0" ref="J22:J41">H22*$I$16</f>
        <v>21.075</v>
      </c>
      <c r="K22" s="284">
        <v>41196.325</v>
      </c>
      <c r="L22" s="284">
        <v>41196.72708333333</v>
      </c>
      <c r="M22" s="285">
        <f aca="true" t="shared" si="1" ref="M22:M41">IF(F22="","",(L22-K22)*24)</f>
        <v>9.650000000023283</v>
      </c>
      <c r="N22" s="286">
        <f aca="true" t="shared" si="2" ref="N22:N41">IF(F22="","",ROUND((L22-K22)*24*60,0))</f>
        <v>579</v>
      </c>
      <c r="O22" s="287" t="s">
        <v>131</v>
      </c>
      <c r="P22" s="288" t="str">
        <f aca="true" t="shared" si="3" ref="P22:P41">IF(F22="","",IF(OR(O22="P",O22="RP"),"--","NO"))</f>
        <v>--</v>
      </c>
      <c r="Q22" s="287" t="s">
        <v>132</v>
      </c>
      <c r="R22" s="287" t="str">
        <f aca="true" t="shared" si="4" ref="R22:R41">IF(F22="","","NO")</f>
        <v>NO</v>
      </c>
      <c r="S22" s="152">
        <f aca="true" t="shared" si="5" ref="S22:S41">$I$17*IF(OR(O22="P",O22="RP"),0.1,1)*IF(R22="SI",1,0.1)</f>
        <v>0.30000000000000004</v>
      </c>
      <c r="T22" s="289">
        <f aca="true" t="shared" si="6" ref="T22:T41">IF(O22="P",J22*S22*ROUND(N22/60,2),"--")</f>
        <v>61.01212500000001</v>
      </c>
      <c r="U22" s="290" t="str">
        <f aca="true" t="shared" si="7" ref="U22:U41">IF(O22="RP",J22*S22*ROUND(N22/60,2)*Q22/100,"--")</f>
        <v>--</v>
      </c>
      <c r="V22" s="291" t="str">
        <f aca="true" t="shared" si="8" ref="V22:V41">IF(AND(O22="F",P22="NO"),J22*S22,"--")</f>
        <v>--</v>
      </c>
      <c r="W22" s="292" t="str">
        <f aca="true" t="shared" si="9" ref="W22:W41">IF(O22="F",J22*S22*ROUND(N22/60,2),"--")</f>
        <v>--</v>
      </c>
      <c r="X22" s="293" t="str">
        <f aca="true" t="shared" si="10" ref="X22:X41">IF(AND(O22="R",P22="NO"),J22*S22*Q22/100,"--")</f>
        <v>--</v>
      </c>
      <c r="Y22" s="294" t="str">
        <f aca="true" t="shared" si="11" ref="Y22:Y41">IF(O22="R",J22*S22*ROUND(N22/60,2)*Q22/100,"--")</f>
        <v>--</v>
      </c>
      <c r="Z22" s="295" t="str">
        <f aca="true" t="shared" si="12" ref="Z22:Z41">IF(O22="RF",J22*S22*ROUND(N22/60,2),"--")</f>
        <v>--</v>
      </c>
      <c r="AA22" s="296" t="str">
        <f aca="true" t="shared" si="13" ref="AA22:AA41">IF(O22="RR",J22*S22*ROUND(N22/60,2)*Q22/100,"--")</f>
        <v>--</v>
      </c>
      <c r="AB22" s="287" t="s">
        <v>139</v>
      </c>
      <c r="AC22" s="297">
        <f aca="true" t="shared" si="14" ref="AC22:AC41">IF(F22="","",SUM(T22:AA22)*IF(AB22="SI",1,2))</f>
        <v>61.01212500000001</v>
      </c>
      <c r="AD22" s="298"/>
    </row>
    <row r="23" spans="2:30" s="10" customFormat="1" ht="16.5" customHeight="1">
      <c r="B23" s="216"/>
      <c r="C23" s="268">
        <v>23</v>
      </c>
      <c r="D23" s="268">
        <v>252826</v>
      </c>
      <c r="E23" s="268">
        <v>872</v>
      </c>
      <c r="F23" s="126" t="s">
        <v>140</v>
      </c>
      <c r="G23" s="128" t="s">
        <v>159</v>
      </c>
      <c r="H23" s="281">
        <v>30</v>
      </c>
      <c r="I23" s="138" t="s">
        <v>141</v>
      </c>
      <c r="J23" s="283">
        <f t="shared" si="0"/>
        <v>42.15</v>
      </c>
      <c r="K23" s="284">
        <v>41196.854166666664</v>
      </c>
      <c r="L23" s="284">
        <v>41196.85833333333</v>
      </c>
      <c r="M23" s="285">
        <f t="shared" si="1"/>
        <v>0.09999999997671694</v>
      </c>
      <c r="N23" s="286">
        <f t="shared" si="2"/>
        <v>6</v>
      </c>
      <c r="O23" s="287" t="s">
        <v>135</v>
      </c>
      <c r="P23" s="288" t="str">
        <f t="shared" si="3"/>
        <v>NO</v>
      </c>
      <c r="Q23" s="287" t="s">
        <v>132</v>
      </c>
      <c r="R23" s="287" t="s">
        <v>139</v>
      </c>
      <c r="S23" s="152">
        <f t="shared" si="5"/>
        <v>30</v>
      </c>
      <c r="T23" s="289" t="str">
        <f t="shared" si="6"/>
        <v>--</v>
      </c>
      <c r="U23" s="290" t="str">
        <f t="shared" si="7"/>
        <v>--</v>
      </c>
      <c r="V23" s="291">
        <f t="shared" si="8"/>
        <v>1264.5</v>
      </c>
      <c r="W23" s="292">
        <f t="shared" si="9"/>
        <v>126.45</v>
      </c>
      <c r="X23" s="293" t="str">
        <f t="shared" si="10"/>
        <v>--</v>
      </c>
      <c r="Y23" s="294" t="str">
        <f t="shared" si="11"/>
        <v>--</v>
      </c>
      <c r="Z23" s="295" t="str">
        <f t="shared" si="12"/>
        <v>--</v>
      </c>
      <c r="AA23" s="296" t="str">
        <f t="shared" si="13"/>
        <v>--</v>
      </c>
      <c r="AB23" s="287" t="s">
        <v>139</v>
      </c>
      <c r="AC23" s="297">
        <f t="shared" si="14"/>
        <v>1390.95</v>
      </c>
      <c r="AD23" s="298"/>
    </row>
    <row r="24" spans="2:30" s="10" customFormat="1" ht="16.5" customHeight="1">
      <c r="B24" s="216"/>
      <c r="C24" s="268">
        <v>24</v>
      </c>
      <c r="D24" s="268">
        <v>252827</v>
      </c>
      <c r="E24" s="268">
        <v>872</v>
      </c>
      <c r="F24" s="126" t="s">
        <v>140</v>
      </c>
      <c r="G24" s="128" t="s">
        <v>159</v>
      </c>
      <c r="H24" s="281">
        <v>30</v>
      </c>
      <c r="I24" s="138" t="s">
        <v>141</v>
      </c>
      <c r="J24" s="283">
        <f t="shared" si="0"/>
        <v>42.15</v>
      </c>
      <c r="K24" s="284">
        <v>41196.85902777778</v>
      </c>
      <c r="L24" s="284">
        <v>41204.60833333333</v>
      </c>
      <c r="M24" s="285">
        <f t="shared" si="1"/>
        <v>185.983333333279</v>
      </c>
      <c r="N24" s="286">
        <f t="shared" si="2"/>
        <v>11159</v>
      </c>
      <c r="O24" s="287" t="s">
        <v>174</v>
      </c>
      <c r="P24" s="288" t="str">
        <f t="shared" si="3"/>
        <v>NO</v>
      </c>
      <c r="Q24" s="287" t="s">
        <v>132</v>
      </c>
      <c r="R24" s="287" t="str">
        <f t="shared" si="4"/>
        <v>NO</v>
      </c>
      <c r="S24" s="152">
        <f t="shared" si="5"/>
        <v>3</v>
      </c>
      <c r="T24" s="289" t="str">
        <f t="shared" si="6"/>
        <v>--</v>
      </c>
      <c r="U24" s="290" t="str">
        <f t="shared" si="7"/>
        <v>--</v>
      </c>
      <c r="V24" s="291" t="str">
        <f t="shared" si="8"/>
        <v>--</v>
      </c>
      <c r="W24" s="292" t="str">
        <f t="shared" si="9"/>
        <v>--</v>
      </c>
      <c r="X24" s="293" t="str">
        <f t="shared" si="10"/>
        <v>--</v>
      </c>
      <c r="Y24" s="294" t="str">
        <f t="shared" si="11"/>
        <v>--</v>
      </c>
      <c r="Z24" s="295">
        <f t="shared" si="12"/>
        <v>23517.170999999995</v>
      </c>
      <c r="AA24" s="296" t="str">
        <f t="shared" si="13"/>
        <v>--</v>
      </c>
      <c r="AB24" s="287" t="s">
        <v>139</v>
      </c>
      <c r="AC24" s="297">
        <f t="shared" si="14"/>
        <v>23517.170999999995</v>
      </c>
      <c r="AD24" s="217"/>
    </row>
    <row r="25" spans="2:30" s="10" customFormat="1" ht="16.5" customHeight="1">
      <c r="B25" s="216"/>
      <c r="C25" s="268"/>
      <c r="D25" s="268"/>
      <c r="E25" s="268"/>
      <c r="F25" s="126"/>
      <c r="G25" s="128"/>
      <c r="H25" s="419"/>
      <c r="I25" s="138"/>
      <c r="J25" s="283"/>
      <c r="K25" s="284"/>
      <c r="L25" s="284"/>
      <c r="M25" s="285"/>
      <c r="N25" s="286"/>
      <c r="O25" s="287"/>
      <c r="P25" s="288"/>
      <c r="Q25" s="287"/>
      <c r="R25" s="287"/>
      <c r="S25" s="152"/>
      <c r="T25" s="289"/>
      <c r="U25" s="290"/>
      <c r="V25" s="291"/>
      <c r="W25" s="292"/>
      <c r="X25" s="293"/>
      <c r="Y25" s="294"/>
      <c r="Z25" s="295"/>
      <c r="AA25" s="296"/>
      <c r="AB25" s="287"/>
      <c r="AC25" s="297"/>
      <c r="AD25" s="217"/>
    </row>
    <row r="26" spans="2:30" s="10" customFormat="1" ht="16.5" customHeight="1">
      <c r="B26" s="216"/>
      <c r="C26" s="268">
        <v>26</v>
      </c>
      <c r="D26" s="268">
        <v>253296</v>
      </c>
      <c r="E26" s="268">
        <v>1015</v>
      </c>
      <c r="F26" s="126" t="s">
        <v>140</v>
      </c>
      <c r="G26" s="128" t="s">
        <v>142</v>
      </c>
      <c r="H26" s="281">
        <v>150</v>
      </c>
      <c r="I26" s="422" t="s">
        <v>160</v>
      </c>
      <c r="J26" s="283">
        <f t="shared" si="0"/>
        <v>210.75</v>
      </c>
      <c r="K26" s="284">
        <v>41210.26111111111</v>
      </c>
      <c r="L26" s="284">
        <v>41210.774305555555</v>
      </c>
      <c r="M26" s="285">
        <f t="shared" si="1"/>
        <v>12.316666666651145</v>
      </c>
      <c r="N26" s="286">
        <f t="shared" si="2"/>
        <v>739</v>
      </c>
      <c r="O26" s="287" t="s">
        <v>131</v>
      </c>
      <c r="P26" s="288" t="str">
        <f t="shared" si="3"/>
        <v>--</v>
      </c>
      <c r="Q26" s="287" t="s">
        <v>132</v>
      </c>
      <c r="R26" s="287" t="str">
        <f t="shared" si="4"/>
        <v>NO</v>
      </c>
      <c r="S26" s="152">
        <f t="shared" si="5"/>
        <v>0.30000000000000004</v>
      </c>
      <c r="T26" s="289">
        <f t="shared" si="6"/>
        <v>778.9320000000001</v>
      </c>
      <c r="U26" s="290" t="str">
        <f t="shared" si="7"/>
        <v>--</v>
      </c>
      <c r="V26" s="291" t="str">
        <f t="shared" si="8"/>
        <v>--</v>
      </c>
      <c r="W26" s="292" t="str">
        <f t="shared" si="9"/>
        <v>--</v>
      </c>
      <c r="X26" s="293" t="str">
        <f t="shared" si="10"/>
        <v>--</v>
      </c>
      <c r="Y26" s="294" t="str">
        <f t="shared" si="11"/>
        <v>--</v>
      </c>
      <c r="Z26" s="295" t="str">
        <f t="shared" si="12"/>
        <v>--</v>
      </c>
      <c r="AA26" s="296" t="str">
        <f t="shared" si="13"/>
        <v>--</v>
      </c>
      <c r="AB26" s="287" t="s">
        <v>139</v>
      </c>
      <c r="AC26" s="297">
        <f t="shared" si="14"/>
        <v>778.9320000000001</v>
      </c>
      <c r="AD26" s="217"/>
    </row>
    <row r="27" spans="2:30" s="10" customFormat="1" ht="16.5" customHeight="1">
      <c r="B27" s="216"/>
      <c r="C27" s="268"/>
      <c r="D27" s="268"/>
      <c r="E27" s="268"/>
      <c r="F27" s="126"/>
      <c r="G27" s="128"/>
      <c r="H27" s="281"/>
      <c r="I27" s="282"/>
      <c r="J27" s="283">
        <f t="shared" si="0"/>
        <v>0</v>
      </c>
      <c r="K27" s="284"/>
      <c r="L27" s="284"/>
      <c r="M27" s="285">
        <f t="shared" si="1"/>
      </c>
      <c r="N27" s="286">
        <f t="shared" si="2"/>
      </c>
      <c r="O27" s="287"/>
      <c r="P27" s="288">
        <f t="shared" si="3"/>
      </c>
      <c r="Q27" s="288">
        <f aca="true" t="shared" si="15" ref="Q27:Q41">IF(F27="","","--")</f>
      </c>
      <c r="R27" s="287">
        <f t="shared" si="4"/>
      </c>
      <c r="S27" s="152">
        <f t="shared" si="5"/>
        <v>3</v>
      </c>
      <c r="T27" s="289" t="str">
        <f t="shared" si="6"/>
        <v>--</v>
      </c>
      <c r="U27" s="290" t="str">
        <f t="shared" si="7"/>
        <v>--</v>
      </c>
      <c r="V27" s="291" t="str">
        <f t="shared" si="8"/>
        <v>--</v>
      </c>
      <c r="W27" s="292" t="str">
        <f t="shared" si="9"/>
        <v>--</v>
      </c>
      <c r="X27" s="293" t="str">
        <f t="shared" si="10"/>
        <v>--</v>
      </c>
      <c r="Y27" s="294" t="str">
        <f t="shared" si="11"/>
        <v>--</v>
      </c>
      <c r="Z27" s="295" t="str">
        <f t="shared" si="12"/>
        <v>--</v>
      </c>
      <c r="AA27" s="296" t="str">
        <f t="shared" si="13"/>
        <v>--</v>
      </c>
      <c r="AB27" s="287">
        <f aca="true" t="shared" si="16" ref="AB27:AB41">IF(F27="","","SI")</f>
      </c>
      <c r="AC27" s="297">
        <f t="shared" si="14"/>
      </c>
      <c r="AD27" s="217"/>
    </row>
    <row r="28" spans="2:30" s="10" customFormat="1" ht="16.5" customHeight="1">
      <c r="B28" s="216"/>
      <c r="C28" s="268"/>
      <c r="D28" s="268"/>
      <c r="E28" s="268"/>
      <c r="F28" s="126"/>
      <c r="G28" s="128"/>
      <c r="H28" s="281"/>
      <c r="I28" s="282"/>
      <c r="J28" s="283">
        <f t="shared" si="0"/>
        <v>0</v>
      </c>
      <c r="K28" s="284"/>
      <c r="L28" s="284"/>
      <c r="M28" s="285">
        <f t="shared" si="1"/>
      </c>
      <c r="N28" s="286">
        <f t="shared" si="2"/>
      </c>
      <c r="O28" s="287"/>
      <c r="P28" s="288">
        <f t="shared" si="3"/>
      </c>
      <c r="Q28" s="288">
        <f t="shared" si="15"/>
      </c>
      <c r="R28" s="287">
        <f t="shared" si="4"/>
      </c>
      <c r="S28" s="152">
        <f t="shared" si="5"/>
        <v>3</v>
      </c>
      <c r="T28" s="289" t="str">
        <f t="shared" si="6"/>
        <v>--</v>
      </c>
      <c r="U28" s="290" t="str">
        <f t="shared" si="7"/>
        <v>--</v>
      </c>
      <c r="V28" s="291" t="str">
        <f t="shared" si="8"/>
        <v>--</v>
      </c>
      <c r="W28" s="292" t="str">
        <f t="shared" si="9"/>
        <v>--</v>
      </c>
      <c r="X28" s="293" t="str">
        <f t="shared" si="10"/>
        <v>--</v>
      </c>
      <c r="Y28" s="294" t="str">
        <f t="shared" si="11"/>
        <v>--</v>
      </c>
      <c r="Z28" s="295" t="str">
        <f t="shared" si="12"/>
        <v>--</v>
      </c>
      <c r="AA28" s="296" t="str">
        <f t="shared" si="13"/>
        <v>--</v>
      </c>
      <c r="AB28" s="287">
        <f t="shared" si="16"/>
      </c>
      <c r="AC28" s="297">
        <f t="shared" si="14"/>
      </c>
      <c r="AD28" s="217"/>
    </row>
    <row r="29" spans="2:30" s="10" customFormat="1" ht="16.5" customHeight="1">
      <c r="B29" s="216"/>
      <c r="C29" s="268"/>
      <c r="D29" s="268"/>
      <c r="E29" s="268"/>
      <c r="F29" s="126"/>
      <c r="G29" s="128"/>
      <c r="H29" s="281"/>
      <c r="I29" s="282"/>
      <c r="J29" s="283">
        <f t="shared" si="0"/>
        <v>0</v>
      </c>
      <c r="K29" s="284"/>
      <c r="L29" s="284"/>
      <c r="M29" s="285">
        <f t="shared" si="1"/>
      </c>
      <c r="N29" s="286">
        <f t="shared" si="2"/>
      </c>
      <c r="O29" s="287"/>
      <c r="P29" s="288">
        <f t="shared" si="3"/>
      </c>
      <c r="Q29" s="288">
        <f t="shared" si="15"/>
      </c>
      <c r="R29" s="287">
        <f t="shared" si="4"/>
      </c>
      <c r="S29" s="152">
        <f t="shared" si="5"/>
        <v>3</v>
      </c>
      <c r="T29" s="289" t="str">
        <f t="shared" si="6"/>
        <v>--</v>
      </c>
      <c r="U29" s="290" t="str">
        <f t="shared" si="7"/>
        <v>--</v>
      </c>
      <c r="V29" s="291" t="str">
        <f t="shared" si="8"/>
        <v>--</v>
      </c>
      <c r="W29" s="292" t="str">
        <f t="shared" si="9"/>
        <v>--</v>
      </c>
      <c r="X29" s="293" t="str">
        <f t="shared" si="10"/>
        <v>--</v>
      </c>
      <c r="Y29" s="294" t="str">
        <f t="shared" si="11"/>
        <v>--</v>
      </c>
      <c r="Z29" s="295" t="str">
        <f t="shared" si="12"/>
        <v>--</v>
      </c>
      <c r="AA29" s="296" t="str">
        <f t="shared" si="13"/>
        <v>--</v>
      </c>
      <c r="AB29" s="287">
        <f t="shared" si="16"/>
      </c>
      <c r="AC29" s="297">
        <f t="shared" si="14"/>
      </c>
      <c r="AD29" s="217"/>
    </row>
    <row r="30" spans="2:30" s="10" customFormat="1" ht="16.5" customHeight="1">
      <c r="B30" s="216"/>
      <c r="C30" s="268"/>
      <c r="D30" s="268"/>
      <c r="E30" s="268"/>
      <c r="F30" s="126"/>
      <c r="G30" s="128"/>
      <c r="H30" s="281"/>
      <c r="I30" s="282"/>
      <c r="J30" s="283">
        <f t="shared" si="0"/>
        <v>0</v>
      </c>
      <c r="K30" s="284"/>
      <c r="L30" s="284"/>
      <c r="M30" s="285">
        <f t="shared" si="1"/>
      </c>
      <c r="N30" s="286">
        <f t="shared" si="2"/>
      </c>
      <c r="O30" s="287"/>
      <c r="P30" s="288">
        <f t="shared" si="3"/>
      </c>
      <c r="Q30" s="288">
        <f t="shared" si="15"/>
      </c>
      <c r="R30" s="287">
        <f t="shared" si="4"/>
      </c>
      <c r="S30" s="152">
        <f t="shared" si="5"/>
        <v>3</v>
      </c>
      <c r="T30" s="289" t="str">
        <f t="shared" si="6"/>
        <v>--</v>
      </c>
      <c r="U30" s="290" t="str">
        <f t="shared" si="7"/>
        <v>--</v>
      </c>
      <c r="V30" s="291" t="str">
        <f t="shared" si="8"/>
        <v>--</v>
      </c>
      <c r="W30" s="292" t="str">
        <f t="shared" si="9"/>
        <v>--</v>
      </c>
      <c r="X30" s="293" t="str">
        <f t="shared" si="10"/>
        <v>--</v>
      </c>
      <c r="Y30" s="294" t="str">
        <f t="shared" si="11"/>
        <v>--</v>
      </c>
      <c r="Z30" s="295" t="str">
        <f t="shared" si="12"/>
        <v>--</v>
      </c>
      <c r="AA30" s="296" t="str">
        <f t="shared" si="13"/>
        <v>--</v>
      </c>
      <c r="AB30" s="287">
        <f t="shared" si="16"/>
      </c>
      <c r="AC30" s="297">
        <f t="shared" si="14"/>
      </c>
      <c r="AD30" s="217"/>
    </row>
    <row r="31" spans="2:30" s="10" customFormat="1" ht="16.5" customHeight="1">
      <c r="B31" s="216"/>
      <c r="C31" s="268"/>
      <c r="D31" s="268"/>
      <c r="E31" s="268"/>
      <c r="F31" s="126"/>
      <c r="G31" s="128"/>
      <c r="H31" s="281"/>
      <c r="I31" s="282"/>
      <c r="J31" s="283">
        <f t="shared" si="0"/>
        <v>0</v>
      </c>
      <c r="K31" s="284"/>
      <c r="L31" s="284"/>
      <c r="M31" s="285">
        <f t="shared" si="1"/>
      </c>
      <c r="N31" s="286">
        <f t="shared" si="2"/>
      </c>
      <c r="O31" s="287"/>
      <c r="P31" s="288">
        <f t="shared" si="3"/>
      </c>
      <c r="Q31" s="288">
        <f t="shared" si="15"/>
      </c>
      <c r="R31" s="287">
        <f t="shared" si="4"/>
      </c>
      <c r="S31" s="152">
        <f t="shared" si="5"/>
        <v>3</v>
      </c>
      <c r="T31" s="289" t="str">
        <f t="shared" si="6"/>
        <v>--</v>
      </c>
      <c r="U31" s="290" t="str">
        <f t="shared" si="7"/>
        <v>--</v>
      </c>
      <c r="V31" s="291" t="str">
        <f t="shared" si="8"/>
        <v>--</v>
      </c>
      <c r="W31" s="292" t="str">
        <f t="shared" si="9"/>
        <v>--</v>
      </c>
      <c r="X31" s="293" t="str">
        <f t="shared" si="10"/>
        <v>--</v>
      </c>
      <c r="Y31" s="294" t="str">
        <f t="shared" si="11"/>
        <v>--</v>
      </c>
      <c r="Z31" s="295" t="str">
        <f t="shared" si="12"/>
        <v>--</v>
      </c>
      <c r="AA31" s="296" t="str">
        <f t="shared" si="13"/>
        <v>--</v>
      </c>
      <c r="AB31" s="287">
        <f t="shared" si="16"/>
      </c>
      <c r="AC31" s="297">
        <f t="shared" si="14"/>
      </c>
      <c r="AD31" s="217"/>
    </row>
    <row r="32" spans="2:30" s="10" customFormat="1" ht="16.5" customHeight="1">
      <c r="B32" s="216"/>
      <c r="C32" s="268"/>
      <c r="D32" s="268"/>
      <c r="E32" s="268"/>
      <c r="F32" s="126"/>
      <c r="G32" s="128"/>
      <c r="H32" s="281"/>
      <c r="I32" s="282"/>
      <c r="J32" s="283">
        <f t="shared" si="0"/>
        <v>0</v>
      </c>
      <c r="K32" s="284"/>
      <c r="L32" s="284"/>
      <c r="M32" s="285">
        <f t="shared" si="1"/>
      </c>
      <c r="N32" s="286">
        <f t="shared" si="2"/>
      </c>
      <c r="O32" s="287"/>
      <c r="P32" s="288">
        <f t="shared" si="3"/>
      </c>
      <c r="Q32" s="288">
        <f t="shared" si="15"/>
      </c>
      <c r="R32" s="287">
        <f t="shared" si="4"/>
      </c>
      <c r="S32" s="152">
        <f t="shared" si="5"/>
        <v>3</v>
      </c>
      <c r="T32" s="289" t="str">
        <f t="shared" si="6"/>
        <v>--</v>
      </c>
      <c r="U32" s="290" t="str">
        <f t="shared" si="7"/>
        <v>--</v>
      </c>
      <c r="V32" s="291" t="str">
        <f t="shared" si="8"/>
        <v>--</v>
      </c>
      <c r="W32" s="292" t="str">
        <f t="shared" si="9"/>
        <v>--</v>
      </c>
      <c r="X32" s="293" t="str">
        <f t="shared" si="10"/>
        <v>--</v>
      </c>
      <c r="Y32" s="294" t="str">
        <f t="shared" si="11"/>
        <v>--</v>
      </c>
      <c r="Z32" s="295" t="str">
        <f t="shared" si="12"/>
        <v>--</v>
      </c>
      <c r="AA32" s="296" t="str">
        <f t="shared" si="13"/>
        <v>--</v>
      </c>
      <c r="AB32" s="287">
        <f t="shared" si="16"/>
      </c>
      <c r="AC32" s="297">
        <f t="shared" si="14"/>
      </c>
      <c r="AD32" s="217"/>
    </row>
    <row r="33" spans="2:30" s="10" customFormat="1" ht="16.5" customHeight="1">
      <c r="B33" s="216"/>
      <c r="C33" s="268"/>
      <c r="D33" s="268"/>
      <c r="E33" s="268"/>
      <c r="F33" s="126"/>
      <c r="G33" s="128"/>
      <c r="H33" s="281"/>
      <c r="I33" s="282"/>
      <c r="J33" s="283">
        <f t="shared" si="0"/>
        <v>0</v>
      </c>
      <c r="K33" s="284"/>
      <c r="L33" s="284"/>
      <c r="M33" s="285">
        <f t="shared" si="1"/>
      </c>
      <c r="N33" s="286">
        <f t="shared" si="2"/>
      </c>
      <c r="O33" s="287"/>
      <c r="P33" s="288">
        <f t="shared" si="3"/>
      </c>
      <c r="Q33" s="288">
        <f t="shared" si="15"/>
      </c>
      <c r="R33" s="287">
        <f t="shared" si="4"/>
      </c>
      <c r="S33" s="152">
        <f t="shared" si="5"/>
        <v>3</v>
      </c>
      <c r="T33" s="289" t="str">
        <f t="shared" si="6"/>
        <v>--</v>
      </c>
      <c r="U33" s="290" t="str">
        <f t="shared" si="7"/>
        <v>--</v>
      </c>
      <c r="V33" s="291" t="str">
        <f t="shared" si="8"/>
        <v>--</v>
      </c>
      <c r="W33" s="292" t="str">
        <f t="shared" si="9"/>
        <v>--</v>
      </c>
      <c r="X33" s="293" t="str">
        <f t="shared" si="10"/>
        <v>--</v>
      </c>
      <c r="Y33" s="294" t="str">
        <f t="shared" si="11"/>
        <v>--</v>
      </c>
      <c r="Z33" s="295" t="str">
        <f t="shared" si="12"/>
        <v>--</v>
      </c>
      <c r="AA33" s="296" t="str">
        <f t="shared" si="13"/>
        <v>--</v>
      </c>
      <c r="AB33" s="287">
        <f t="shared" si="16"/>
      </c>
      <c r="AC33" s="297">
        <f t="shared" si="14"/>
      </c>
      <c r="AD33" s="217"/>
    </row>
    <row r="34" spans="2:30" s="10" customFormat="1" ht="16.5" customHeight="1">
      <c r="B34" s="216"/>
      <c r="C34" s="268"/>
      <c r="D34" s="268"/>
      <c r="E34" s="268"/>
      <c r="F34" s="126"/>
      <c r="G34" s="128"/>
      <c r="H34" s="281"/>
      <c r="I34" s="282"/>
      <c r="J34" s="283">
        <f t="shared" si="0"/>
        <v>0</v>
      </c>
      <c r="K34" s="284"/>
      <c r="L34" s="284"/>
      <c r="M34" s="285">
        <f t="shared" si="1"/>
      </c>
      <c r="N34" s="286">
        <f t="shared" si="2"/>
      </c>
      <c r="O34" s="287"/>
      <c r="P34" s="288">
        <f t="shared" si="3"/>
      </c>
      <c r="Q34" s="288">
        <f t="shared" si="15"/>
      </c>
      <c r="R34" s="287">
        <f t="shared" si="4"/>
      </c>
      <c r="S34" s="152">
        <f t="shared" si="5"/>
        <v>3</v>
      </c>
      <c r="T34" s="289" t="str">
        <f t="shared" si="6"/>
        <v>--</v>
      </c>
      <c r="U34" s="290" t="str">
        <f t="shared" si="7"/>
        <v>--</v>
      </c>
      <c r="V34" s="291" t="str">
        <f t="shared" si="8"/>
        <v>--</v>
      </c>
      <c r="W34" s="292" t="str">
        <f t="shared" si="9"/>
        <v>--</v>
      </c>
      <c r="X34" s="293" t="str">
        <f t="shared" si="10"/>
        <v>--</v>
      </c>
      <c r="Y34" s="294" t="str">
        <f t="shared" si="11"/>
        <v>--</v>
      </c>
      <c r="Z34" s="295" t="str">
        <f t="shared" si="12"/>
        <v>--</v>
      </c>
      <c r="AA34" s="296" t="str">
        <f t="shared" si="13"/>
        <v>--</v>
      </c>
      <c r="AB34" s="287">
        <f t="shared" si="16"/>
      </c>
      <c r="AC34" s="297">
        <f t="shared" si="14"/>
      </c>
      <c r="AD34" s="217"/>
    </row>
    <row r="35" spans="2:30" s="10" customFormat="1" ht="16.5" customHeight="1">
      <c r="B35" s="216"/>
      <c r="C35" s="268"/>
      <c r="D35" s="268"/>
      <c r="E35" s="268"/>
      <c r="F35" s="126"/>
      <c r="G35" s="128"/>
      <c r="H35" s="281"/>
      <c r="I35" s="282"/>
      <c r="J35" s="283">
        <f t="shared" si="0"/>
        <v>0</v>
      </c>
      <c r="K35" s="284"/>
      <c r="L35" s="284"/>
      <c r="M35" s="285">
        <f t="shared" si="1"/>
      </c>
      <c r="N35" s="286">
        <f t="shared" si="2"/>
      </c>
      <c r="O35" s="287"/>
      <c r="P35" s="288">
        <f t="shared" si="3"/>
      </c>
      <c r="Q35" s="288">
        <f t="shared" si="15"/>
      </c>
      <c r="R35" s="287">
        <f t="shared" si="4"/>
      </c>
      <c r="S35" s="152">
        <f t="shared" si="5"/>
        <v>3</v>
      </c>
      <c r="T35" s="289" t="str">
        <f t="shared" si="6"/>
        <v>--</v>
      </c>
      <c r="U35" s="290" t="str">
        <f t="shared" si="7"/>
        <v>--</v>
      </c>
      <c r="V35" s="291" t="str">
        <f t="shared" si="8"/>
        <v>--</v>
      </c>
      <c r="W35" s="292" t="str">
        <f t="shared" si="9"/>
        <v>--</v>
      </c>
      <c r="X35" s="293" t="str">
        <f t="shared" si="10"/>
        <v>--</v>
      </c>
      <c r="Y35" s="294" t="str">
        <f t="shared" si="11"/>
        <v>--</v>
      </c>
      <c r="Z35" s="295" t="str">
        <f t="shared" si="12"/>
        <v>--</v>
      </c>
      <c r="AA35" s="296" t="str">
        <f t="shared" si="13"/>
        <v>--</v>
      </c>
      <c r="AB35" s="287">
        <f t="shared" si="16"/>
      </c>
      <c r="AC35" s="297">
        <f t="shared" si="14"/>
      </c>
      <c r="AD35" s="217"/>
    </row>
    <row r="36" spans="2:30" s="10" customFormat="1" ht="16.5" customHeight="1">
      <c r="B36" s="216"/>
      <c r="C36" s="268"/>
      <c r="D36" s="268"/>
      <c r="E36" s="268"/>
      <c r="F36" s="126"/>
      <c r="G36" s="128"/>
      <c r="H36" s="281"/>
      <c r="I36" s="282"/>
      <c r="J36" s="283">
        <f t="shared" si="0"/>
        <v>0</v>
      </c>
      <c r="K36" s="284"/>
      <c r="L36" s="284"/>
      <c r="M36" s="285">
        <f t="shared" si="1"/>
      </c>
      <c r="N36" s="286">
        <f t="shared" si="2"/>
      </c>
      <c r="O36" s="287"/>
      <c r="P36" s="288">
        <f t="shared" si="3"/>
      </c>
      <c r="Q36" s="288">
        <f t="shared" si="15"/>
      </c>
      <c r="R36" s="287">
        <f t="shared" si="4"/>
      </c>
      <c r="S36" s="152">
        <f t="shared" si="5"/>
        <v>3</v>
      </c>
      <c r="T36" s="289" t="str">
        <f t="shared" si="6"/>
        <v>--</v>
      </c>
      <c r="U36" s="290" t="str">
        <f t="shared" si="7"/>
        <v>--</v>
      </c>
      <c r="V36" s="291" t="str">
        <f t="shared" si="8"/>
        <v>--</v>
      </c>
      <c r="W36" s="292" t="str">
        <f t="shared" si="9"/>
        <v>--</v>
      </c>
      <c r="X36" s="293" t="str">
        <f t="shared" si="10"/>
        <v>--</v>
      </c>
      <c r="Y36" s="294" t="str">
        <f t="shared" si="11"/>
        <v>--</v>
      </c>
      <c r="Z36" s="295" t="str">
        <f t="shared" si="12"/>
        <v>--</v>
      </c>
      <c r="AA36" s="296" t="str">
        <f t="shared" si="13"/>
        <v>--</v>
      </c>
      <c r="AB36" s="287">
        <f t="shared" si="16"/>
      </c>
      <c r="AC36" s="297">
        <f t="shared" si="14"/>
      </c>
      <c r="AD36" s="217"/>
    </row>
    <row r="37" spans="2:30" s="10" customFormat="1" ht="16.5" customHeight="1">
      <c r="B37" s="216"/>
      <c r="C37" s="268"/>
      <c r="D37" s="268"/>
      <c r="E37" s="268"/>
      <c r="F37" s="126"/>
      <c r="G37" s="128"/>
      <c r="H37" s="281"/>
      <c r="I37" s="282"/>
      <c r="J37" s="283">
        <f t="shared" si="0"/>
        <v>0</v>
      </c>
      <c r="K37" s="284"/>
      <c r="L37" s="284"/>
      <c r="M37" s="285">
        <f t="shared" si="1"/>
      </c>
      <c r="N37" s="286">
        <f t="shared" si="2"/>
      </c>
      <c r="O37" s="287"/>
      <c r="P37" s="288">
        <f t="shared" si="3"/>
      </c>
      <c r="Q37" s="288">
        <f t="shared" si="15"/>
      </c>
      <c r="R37" s="287">
        <f t="shared" si="4"/>
      </c>
      <c r="S37" s="152">
        <f t="shared" si="5"/>
        <v>3</v>
      </c>
      <c r="T37" s="289" t="str">
        <f t="shared" si="6"/>
        <v>--</v>
      </c>
      <c r="U37" s="290" t="str">
        <f t="shared" si="7"/>
        <v>--</v>
      </c>
      <c r="V37" s="291" t="str">
        <f t="shared" si="8"/>
        <v>--</v>
      </c>
      <c r="W37" s="292" t="str">
        <f t="shared" si="9"/>
        <v>--</v>
      </c>
      <c r="X37" s="293" t="str">
        <f t="shared" si="10"/>
        <v>--</v>
      </c>
      <c r="Y37" s="294" t="str">
        <f t="shared" si="11"/>
        <v>--</v>
      </c>
      <c r="Z37" s="295" t="str">
        <f t="shared" si="12"/>
        <v>--</v>
      </c>
      <c r="AA37" s="296" t="str">
        <f t="shared" si="13"/>
        <v>--</v>
      </c>
      <c r="AB37" s="287">
        <f t="shared" si="16"/>
      </c>
      <c r="AC37" s="297">
        <f t="shared" si="14"/>
      </c>
      <c r="AD37" s="217"/>
    </row>
    <row r="38" spans="2:30" s="10" customFormat="1" ht="16.5" customHeight="1">
      <c r="B38" s="216"/>
      <c r="C38" s="268"/>
      <c r="D38" s="268"/>
      <c r="E38" s="268"/>
      <c r="F38" s="126"/>
      <c r="G38" s="128"/>
      <c r="H38" s="281"/>
      <c r="I38" s="282"/>
      <c r="J38" s="283">
        <f t="shared" si="0"/>
        <v>0</v>
      </c>
      <c r="K38" s="284"/>
      <c r="L38" s="284"/>
      <c r="M38" s="285">
        <f t="shared" si="1"/>
      </c>
      <c r="N38" s="286">
        <f t="shared" si="2"/>
      </c>
      <c r="O38" s="287"/>
      <c r="P38" s="288">
        <f t="shared" si="3"/>
      </c>
      <c r="Q38" s="288">
        <f t="shared" si="15"/>
      </c>
      <c r="R38" s="287">
        <f t="shared" si="4"/>
      </c>
      <c r="S38" s="152">
        <f t="shared" si="5"/>
        <v>3</v>
      </c>
      <c r="T38" s="289" t="str">
        <f t="shared" si="6"/>
        <v>--</v>
      </c>
      <c r="U38" s="290" t="str">
        <f t="shared" si="7"/>
        <v>--</v>
      </c>
      <c r="V38" s="291" t="str">
        <f t="shared" si="8"/>
        <v>--</v>
      </c>
      <c r="W38" s="292" t="str">
        <f t="shared" si="9"/>
        <v>--</v>
      </c>
      <c r="X38" s="293" t="str">
        <f t="shared" si="10"/>
        <v>--</v>
      </c>
      <c r="Y38" s="294" t="str">
        <f t="shared" si="11"/>
        <v>--</v>
      </c>
      <c r="Z38" s="295" t="str">
        <f t="shared" si="12"/>
        <v>--</v>
      </c>
      <c r="AA38" s="296" t="str">
        <f t="shared" si="13"/>
        <v>--</v>
      </c>
      <c r="AB38" s="287">
        <f t="shared" si="16"/>
      </c>
      <c r="AC38" s="297">
        <f t="shared" si="14"/>
      </c>
      <c r="AD38" s="217"/>
    </row>
    <row r="39" spans="2:30" s="10" customFormat="1" ht="16.5" customHeight="1">
      <c r="B39" s="216"/>
      <c r="C39" s="268"/>
      <c r="D39" s="268"/>
      <c r="E39" s="268"/>
      <c r="F39" s="126"/>
      <c r="G39" s="128"/>
      <c r="H39" s="281"/>
      <c r="I39" s="282"/>
      <c r="J39" s="283">
        <f t="shared" si="0"/>
        <v>0</v>
      </c>
      <c r="K39" s="284"/>
      <c r="L39" s="284"/>
      <c r="M39" s="285">
        <f t="shared" si="1"/>
      </c>
      <c r="N39" s="286">
        <f t="shared" si="2"/>
      </c>
      <c r="O39" s="287"/>
      <c r="P39" s="288">
        <f t="shared" si="3"/>
      </c>
      <c r="Q39" s="288">
        <f t="shared" si="15"/>
      </c>
      <c r="R39" s="287">
        <f t="shared" si="4"/>
      </c>
      <c r="S39" s="152">
        <f t="shared" si="5"/>
        <v>3</v>
      </c>
      <c r="T39" s="289" t="str">
        <f t="shared" si="6"/>
        <v>--</v>
      </c>
      <c r="U39" s="290" t="str">
        <f t="shared" si="7"/>
        <v>--</v>
      </c>
      <c r="V39" s="291" t="str">
        <f t="shared" si="8"/>
        <v>--</v>
      </c>
      <c r="W39" s="292" t="str">
        <f t="shared" si="9"/>
        <v>--</v>
      </c>
      <c r="X39" s="293" t="str">
        <f t="shared" si="10"/>
        <v>--</v>
      </c>
      <c r="Y39" s="294" t="str">
        <f t="shared" si="11"/>
        <v>--</v>
      </c>
      <c r="Z39" s="295" t="str">
        <f t="shared" si="12"/>
        <v>--</v>
      </c>
      <c r="AA39" s="296" t="str">
        <f t="shared" si="13"/>
        <v>--</v>
      </c>
      <c r="AB39" s="287">
        <f t="shared" si="16"/>
      </c>
      <c r="AC39" s="297">
        <f t="shared" si="14"/>
      </c>
      <c r="AD39" s="217"/>
    </row>
    <row r="40" spans="2:30" s="10" customFormat="1" ht="16.5" customHeight="1">
      <c r="B40" s="216"/>
      <c r="C40" s="268"/>
      <c r="D40" s="268"/>
      <c r="E40" s="268"/>
      <c r="F40" s="126"/>
      <c r="G40" s="128"/>
      <c r="H40" s="281"/>
      <c r="I40" s="282"/>
      <c r="J40" s="283">
        <f t="shared" si="0"/>
        <v>0</v>
      </c>
      <c r="K40" s="284"/>
      <c r="L40" s="284"/>
      <c r="M40" s="285">
        <f t="shared" si="1"/>
      </c>
      <c r="N40" s="286">
        <f t="shared" si="2"/>
      </c>
      <c r="O40" s="287"/>
      <c r="P40" s="288">
        <f t="shared" si="3"/>
      </c>
      <c r="Q40" s="288">
        <f t="shared" si="15"/>
      </c>
      <c r="R40" s="287">
        <f t="shared" si="4"/>
      </c>
      <c r="S40" s="152">
        <f t="shared" si="5"/>
        <v>3</v>
      </c>
      <c r="T40" s="289" t="str">
        <f t="shared" si="6"/>
        <v>--</v>
      </c>
      <c r="U40" s="290" t="str">
        <f t="shared" si="7"/>
        <v>--</v>
      </c>
      <c r="V40" s="291" t="str">
        <f t="shared" si="8"/>
        <v>--</v>
      </c>
      <c r="W40" s="292" t="str">
        <f t="shared" si="9"/>
        <v>--</v>
      </c>
      <c r="X40" s="293" t="str">
        <f t="shared" si="10"/>
        <v>--</v>
      </c>
      <c r="Y40" s="294" t="str">
        <f t="shared" si="11"/>
        <v>--</v>
      </c>
      <c r="Z40" s="295" t="str">
        <f t="shared" si="12"/>
        <v>--</v>
      </c>
      <c r="AA40" s="296" t="str">
        <f t="shared" si="13"/>
        <v>--</v>
      </c>
      <c r="AB40" s="287">
        <f t="shared" si="16"/>
      </c>
      <c r="AC40" s="297">
        <f t="shared" si="14"/>
      </c>
      <c r="AD40" s="217"/>
    </row>
    <row r="41" spans="2:30" s="10" customFormat="1" ht="16.5" customHeight="1">
      <c r="B41" s="216"/>
      <c r="C41" s="268"/>
      <c r="D41" s="268"/>
      <c r="E41" s="268"/>
      <c r="F41" s="126"/>
      <c r="G41" s="128"/>
      <c r="H41" s="281"/>
      <c r="I41" s="282"/>
      <c r="J41" s="283">
        <f t="shared" si="0"/>
        <v>0</v>
      </c>
      <c r="K41" s="284"/>
      <c r="L41" s="284"/>
      <c r="M41" s="285">
        <f t="shared" si="1"/>
      </c>
      <c r="N41" s="286">
        <f t="shared" si="2"/>
      </c>
      <c r="O41" s="287"/>
      <c r="P41" s="288">
        <f t="shared" si="3"/>
      </c>
      <c r="Q41" s="288">
        <f t="shared" si="15"/>
      </c>
      <c r="R41" s="287">
        <f t="shared" si="4"/>
      </c>
      <c r="S41" s="152">
        <f t="shared" si="5"/>
        <v>3</v>
      </c>
      <c r="T41" s="289" t="str">
        <f t="shared" si="6"/>
        <v>--</v>
      </c>
      <c r="U41" s="290" t="str">
        <f t="shared" si="7"/>
        <v>--</v>
      </c>
      <c r="V41" s="291" t="str">
        <f t="shared" si="8"/>
        <v>--</v>
      </c>
      <c r="W41" s="292" t="str">
        <f t="shared" si="9"/>
        <v>--</v>
      </c>
      <c r="X41" s="293" t="str">
        <f t="shared" si="10"/>
        <v>--</v>
      </c>
      <c r="Y41" s="294" t="str">
        <f t="shared" si="11"/>
        <v>--</v>
      </c>
      <c r="Z41" s="295" t="str">
        <f t="shared" si="12"/>
        <v>--</v>
      </c>
      <c r="AA41" s="296" t="str">
        <f t="shared" si="13"/>
        <v>--</v>
      </c>
      <c r="AB41" s="287">
        <f t="shared" si="16"/>
      </c>
      <c r="AC41" s="297">
        <f t="shared" si="14"/>
      </c>
      <c r="AD41" s="217"/>
    </row>
    <row r="42" spans="2:30" s="10" customFormat="1" ht="16.5" customHeight="1" thickBot="1">
      <c r="B42" s="216"/>
      <c r="C42" s="299"/>
      <c r="D42" s="299"/>
      <c r="E42" s="299"/>
      <c r="F42" s="299"/>
      <c r="G42" s="299"/>
      <c r="H42" s="299"/>
      <c r="I42" s="299"/>
      <c r="J42" s="300"/>
      <c r="K42" s="299"/>
      <c r="L42" s="299"/>
      <c r="M42" s="299"/>
      <c r="N42" s="299"/>
      <c r="O42" s="299"/>
      <c r="P42" s="299"/>
      <c r="Q42" s="299"/>
      <c r="R42" s="299"/>
      <c r="S42" s="301"/>
      <c r="T42" s="302"/>
      <c r="U42" s="303"/>
      <c r="V42" s="304"/>
      <c r="W42" s="305"/>
      <c r="X42" s="306"/>
      <c r="Y42" s="307"/>
      <c r="Z42" s="308"/>
      <c r="AA42" s="309"/>
      <c r="AB42" s="299"/>
      <c r="AC42" s="310"/>
      <c r="AD42" s="217"/>
    </row>
    <row r="43" spans="2:30" s="10" customFormat="1" ht="16.5" customHeight="1" thickBot="1" thickTop="1">
      <c r="B43" s="216"/>
      <c r="C43" s="421" t="s">
        <v>155</v>
      </c>
      <c r="D43" s="420" t="s">
        <v>175</v>
      </c>
      <c r="E43" s="186"/>
      <c r="F43" s="172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311">
        <f>SUM(T20:T42)</f>
        <v>839.9441250000001</v>
      </c>
      <c r="U43" s="312">
        <f>SUM(U20:U42)</f>
        <v>0</v>
      </c>
      <c r="V43" s="313">
        <f>SUM(V20:V42)</f>
        <v>1264.5</v>
      </c>
      <c r="W43" s="314">
        <f>SUM(W22:W42)</f>
        <v>126.45</v>
      </c>
      <c r="X43" s="315">
        <f>SUM(X20:X42)</f>
        <v>0</v>
      </c>
      <c r="Y43" s="315">
        <f>SUM(Y22:Y42)</f>
        <v>0</v>
      </c>
      <c r="Z43" s="316">
        <f>SUM(Z20:Z42)</f>
        <v>23517.170999999995</v>
      </c>
      <c r="AA43" s="317">
        <f>SUM(AA22:AA42)</f>
        <v>0</v>
      </c>
      <c r="AB43" s="318"/>
      <c r="AC43" s="319">
        <f>ROUND(SUM(AC20:AC42),2)</f>
        <v>25748.07</v>
      </c>
      <c r="AD43" s="217"/>
    </row>
    <row r="44" spans="2:30" s="184" customFormat="1" ht="9.75" thickTop="1">
      <c r="B44" s="320"/>
      <c r="C44" s="186"/>
      <c r="D44" s="186"/>
      <c r="E44" s="186"/>
      <c r="F44" s="187"/>
      <c r="G44" s="321"/>
      <c r="H44" s="321"/>
      <c r="I44" s="321"/>
      <c r="J44" s="321"/>
      <c r="K44" s="321"/>
      <c r="L44" s="321"/>
      <c r="M44" s="321"/>
      <c r="N44" s="321"/>
      <c r="O44" s="321"/>
      <c r="P44" s="321"/>
      <c r="Q44" s="321"/>
      <c r="R44" s="321"/>
      <c r="S44" s="321"/>
      <c r="T44" s="322"/>
      <c r="U44" s="322"/>
      <c r="V44" s="322"/>
      <c r="W44" s="322"/>
      <c r="X44" s="322"/>
      <c r="Y44" s="322"/>
      <c r="Z44" s="322"/>
      <c r="AA44" s="322"/>
      <c r="AB44" s="321"/>
      <c r="AC44" s="323"/>
      <c r="AD44" s="324"/>
    </row>
    <row r="45" spans="2:30" s="10" customFormat="1" ht="16.5" customHeight="1" thickBot="1">
      <c r="B45" s="325"/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6"/>
      <c r="Z45" s="326"/>
      <c r="AA45" s="326"/>
      <c r="AB45" s="326"/>
      <c r="AC45" s="326"/>
      <c r="AD45" s="327"/>
    </row>
    <row r="46" spans="2:30" ht="16.5" customHeight="1" thickTop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328"/>
    </row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printOptions/>
  <pageMargins left="0.2" right="0.31" top="0.7874015748031497" bottom="0.59" header="0.5118110236220472" footer="0.33"/>
  <pageSetup fitToHeight="1" fitToWidth="1" horizontalDpi="300" verticalDpi="300" orientation="landscape" paperSize="9" scale="59" r:id="rId3"/>
  <headerFooter alignWithMargins="0">
    <oddFooter>&amp;L&amp;"Times New Roman,Normal"&amp;5&amp;F  - TRANSPORTE de ENERGÍA ELÉCTRICA - AJF/rb - &amp;P/&amp;N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W47"/>
  <sheetViews>
    <sheetView zoomScale="70" zoomScaleNormal="70" workbookViewId="0" topLeftCell="A1">
      <selection activeCell="G14" sqref="G14:G17"/>
    </sheetView>
  </sheetViews>
  <sheetFormatPr defaultColWidth="11.421875" defaultRowHeight="12.75"/>
  <cols>
    <col min="1" max="1" width="19.28125" style="1" customWidth="1"/>
    <col min="2" max="2" width="4.00390625" style="1" customWidth="1"/>
    <col min="3" max="3" width="5.57421875" style="1" customWidth="1"/>
    <col min="4" max="5" width="13.57421875" style="1" customWidth="1"/>
    <col min="6" max="6" width="25.7109375" style="1" customWidth="1"/>
    <col min="7" max="7" width="35.7109375" style="1" customWidth="1"/>
    <col min="8" max="8" width="10.7109375" style="1" customWidth="1"/>
    <col min="9" max="9" width="12.421875" style="1" hidden="1" customWidth="1"/>
    <col min="10" max="11" width="15.7109375" style="1" customWidth="1"/>
    <col min="12" max="14" width="9.7109375" style="1" customWidth="1"/>
    <col min="15" max="15" width="7.7109375" style="1" customWidth="1"/>
    <col min="16" max="16" width="12.7109375" style="1" hidden="1" customWidth="1"/>
    <col min="17" max="17" width="15.00390625" style="1" hidden="1" customWidth="1"/>
    <col min="18" max="18" width="15.140625" style="1" hidden="1" customWidth="1"/>
    <col min="19" max="20" width="15.57421875" style="1" hidden="1" customWidth="1"/>
    <col min="21" max="21" width="9.7109375" style="1" customWidth="1"/>
    <col min="22" max="22" width="15.7109375" style="1" customWidth="1"/>
    <col min="23" max="23" width="4.00390625" style="1" customWidth="1"/>
    <col min="24" max="16384" width="11.421875" style="1" customWidth="1"/>
  </cols>
  <sheetData>
    <row r="1" spans="1:23" s="6" customFormat="1" ht="30.75" customHeight="1">
      <c r="A1" s="329"/>
      <c r="W1" s="394"/>
    </row>
    <row r="2" spans="1:23" s="6" customFormat="1" ht="26.25">
      <c r="A2" s="329"/>
      <c r="B2" s="68" t="str">
        <f>+'TOT-1012'!B2</f>
        <v>ANEXO V al Memorándum  D.T.E.E.  N°         /2013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s="10" customFormat="1" ht="12.75">
      <c r="A3" s="330"/>
      <c r="B3" s="69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" s="13" customFormat="1" ht="11.25">
      <c r="A4" s="204" t="s">
        <v>3</v>
      </c>
      <c r="B4" s="331"/>
    </row>
    <row r="5" spans="1:2" s="13" customFormat="1" ht="11.25">
      <c r="A5" s="204" t="s">
        <v>4</v>
      </c>
      <c r="B5" s="331"/>
    </row>
    <row r="6" s="10" customFormat="1" ht="16.5" customHeight="1" thickBot="1"/>
    <row r="7" spans="2:23" s="10" customFormat="1" ht="16.5" customHeight="1" thickTop="1"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3"/>
    </row>
    <row r="8" spans="2:23" s="74" customFormat="1" ht="20.25">
      <c r="B8" s="75"/>
      <c r="F8" s="76" t="s">
        <v>52</v>
      </c>
      <c r="P8" s="77"/>
      <c r="Q8" s="77"/>
      <c r="R8" s="77"/>
      <c r="S8" s="77"/>
      <c r="T8" s="77"/>
      <c r="U8" s="77"/>
      <c r="V8" s="77"/>
      <c r="W8" s="78"/>
    </row>
    <row r="9" spans="2:23" s="10" customFormat="1" ht="16.5" customHeight="1">
      <c r="B9" s="44"/>
      <c r="F9" s="12"/>
      <c r="G9" s="12"/>
      <c r="H9" s="12"/>
      <c r="I9" s="84"/>
      <c r="J9" s="84"/>
      <c r="K9" s="84"/>
      <c r="L9" s="84"/>
      <c r="M9" s="84"/>
      <c r="P9" s="12"/>
      <c r="Q9" s="12"/>
      <c r="R9" s="12"/>
      <c r="S9" s="12"/>
      <c r="T9" s="12"/>
      <c r="U9" s="12"/>
      <c r="V9" s="12"/>
      <c r="W9" s="49"/>
    </row>
    <row r="10" spans="2:23" s="74" customFormat="1" ht="20.25">
      <c r="B10" s="75"/>
      <c r="F10" s="76" t="s">
        <v>53</v>
      </c>
      <c r="G10" s="76"/>
      <c r="H10" s="77"/>
      <c r="I10" s="76"/>
      <c r="J10" s="76"/>
      <c r="K10" s="76"/>
      <c r="L10" s="76"/>
      <c r="M10" s="76"/>
      <c r="P10" s="77"/>
      <c r="Q10" s="77"/>
      <c r="R10" s="77"/>
      <c r="S10" s="77"/>
      <c r="T10" s="77"/>
      <c r="U10" s="77"/>
      <c r="V10" s="77"/>
      <c r="W10" s="78"/>
    </row>
    <row r="11" spans="2:23" s="10" customFormat="1" ht="16.5" customHeight="1">
      <c r="B11" s="44"/>
      <c r="C11" s="12"/>
      <c r="D11" s="12"/>
      <c r="E11" s="12"/>
      <c r="F11" s="332"/>
      <c r="G11" s="84"/>
      <c r="H11" s="12"/>
      <c r="I11" s="84"/>
      <c r="J11" s="84"/>
      <c r="K11" s="84"/>
      <c r="L11" s="84"/>
      <c r="M11" s="84"/>
      <c r="P11" s="12"/>
      <c r="Q11" s="12"/>
      <c r="R11" s="12"/>
      <c r="S11" s="12"/>
      <c r="T11" s="12"/>
      <c r="U11" s="12"/>
      <c r="V11" s="12"/>
      <c r="W11" s="49"/>
    </row>
    <row r="12" spans="2:23" s="17" customFormat="1" ht="19.5">
      <c r="B12" s="31" t="str">
        <f>+'TOT-1012'!B14</f>
        <v>Desde el 01 al 31 de octubre de 2012</v>
      </c>
      <c r="C12" s="333"/>
      <c r="D12" s="333"/>
      <c r="E12" s="333"/>
      <c r="F12" s="34"/>
      <c r="G12" s="34"/>
      <c r="H12" s="34"/>
      <c r="I12" s="34"/>
      <c r="J12" s="81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83"/>
    </row>
    <row r="13" spans="2:23" s="10" customFormat="1" ht="16.5" customHeight="1" thickBot="1">
      <c r="B13" s="44"/>
      <c r="C13" s="12"/>
      <c r="D13" s="12"/>
      <c r="E13" s="12"/>
      <c r="I13" s="86"/>
      <c r="K13" s="12"/>
      <c r="L13" s="12"/>
      <c r="M13" s="12"/>
      <c r="N13" s="86"/>
      <c r="O13" s="86"/>
      <c r="P13" s="86"/>
      <c r="Q13" s="12"/>
      <c r="R13" s="12"/>
      <c r="S13" s="12"/>
      <c r="T13" s="12"/>
      <c r="U13" s="12"/>
      <c r="V13" s="12"/>
      <c r="W13" s="49"/>
    </row>
    <row r="14" spans="2:23" s="10" customFormat="1" ht="16.5" customHeight="1" thickBot="1" thickTop="1">
      <c r="B14" s="44"/>
      <c r="C14" s="12"/>
      <c r="D14" s="12"/>
      <c r="E14" s="12"/>
      <c r="F14" s="334" t="s">
        <v>54</v>
      </c>
      <c r="G14" s="335">
        <v>37.421</v>
      </c>
      <c r="H14" s="336">
        <f>60*'TOT-1012'!B13</f>
        <v>60</v>
      </c>
      <c r="I14" s="86"/>
      <c r="J14" s="236" t="str">
        <f>IF(H14=60," ",IF(H14=120,"    Coeficiente duplicado por tasa de falla &gt;4 Sal. x año/100 km.","    REVISAR COEFICIENTE"))</f>
        <v> </v>
      </c>
      <c r="K14" s="12"/>
      <c r="L14" s="12"/>
      <c r="M14" s="12"/>
      <c r="N14" s="86"/>
      <c r="O14" s="86"/>
      <c r="P14" s="86"/>
      <c r="Q14" s="12"/>
      <c r="R14" s="12"/>
      <c r="S14" s="12"/>
      <c r="T14" s="12"/>
      <c r="U14" s="12"/>
      <c r="V14" s="12"/>
      <c r="W14" s="49"/>
    </row>
    <row r="15" spans="2:23" s="10" customFormat="1" ht="16.5" customHeight="1" thickBot="1" thickTop="1">
      <c r="B15" s="44"/>
      <c r="C15" s="12"/>
      <c r="D15" s="12"/>
      <c r="E15" s="12"/>
      <c r="F15" s="334" t="s">
        <v>55</v>
      </c>
      <c r="G15" s="335">
        <v>18.713</v>
      </c>
      <c r="H15" s="336">
        <f>50*'TOT-1012'!B13</f>
        <v>50</v>
      </c>
      <c r="J15" s="236" t="str">
        <f>IF(H15=50," ",IF(H15=100,"    Coeficiente duplicado por tasa de falla &gt;4 Sal. x año/100 km.","    REVISAR COEFICIENTE"))</f>
        <v> </v>
      </c>
      <c r="S15" s="12"/>
      <c r="T15" s="12"/>
      <c r="U15" s="12"/>
      <c r="V15" s="337"/>
      <c r="W15" s="49"/>
    </row>
    <row r="16" spans="2:23" s="10" customFormat="1" ht="16.5" customHeight="1" thickBot="1" thickTop="1">
      <c r="B16" s="44"/>
      <c r="C16" s="12"/>
      <c r="D16" s="12"/>
      <c r="E16" s="12"/>
      <c r="F16" s="338" t="s">
        <v>56</v>
      </c>
      <c r="G16" s="339">
        <v>14.037</v>
      </c>
      <c r="H16" s="340">
        <f>25*'TOT-1012'!B13</f>
        <v>25</v>
      </c>
      <c r="J16" s="236" t="str">
        <f>IF(H16=25," ",IF(H16=50,"    Coeficiente duplicado por tasa de falla &gt;4 Sal. x año/100 km.","    REVISAR COEFICIENTE"))</f>
        <v> </v>
      </c>
      <c r="K16" s="95"/>
      <c r="L16" s="95"/>
      <c r="M16" s="12"/>
      <c r="P16" s="341"/>
      <c r="Q16" s="342"/>
      <c r="R16" s="4"/>
      <c r="S16" s="12"/>
      <c r="T16" s="12"/>
      <c r="U16" s="12"/>
      <c r="V16" s="337"/>
      <c r="W16" s="49"/>
    </row>
    <row r="17" spans="2:23" s="10" customFormat="1" ht="16.5" customHeight="1" thickBot="1" thickTop="1">
      <c r="B17" s="44"/>
      <c r="C17" s="12"/>
      <c r="D17" s="12"/>
      <c r="E17" s="12"/>
      <c r="F17" s="343" t="s">
        <v>57</v>
      </c>
      <c r="G17" s="415">
        <v>14.037</v>
      </c>
      <c r="H17" s="344">
        <f>20*'TOT-1012'!B13</f>
        <v>20</v>
      </c>
      <c r="J17" s="236" t="str">
        <f>IF(H17=20," ",IF(H17=40,"    Coeficiente duplicado por tasa de falla &gt;4 Sal. x año/100 km.","    REVISAR COEFICIENTE"))</f>
        <v> </v>
      </c>
      <c r="K17" s="95"/>
      <c r="L17" s="95"/>
      <c r="M17" s="12"/>
      <c r="P17" s="341"/>
      <c r="Q17" s="342"/>
      <c r="R17" s="4"/>
      <c r="S17" s="12"/>
      <c r="T17" s="12"/>
      <c r="U17" s="12"/>
      <c r="V17" s="337"/>
      <c r="W17" s="49"/>
    </row>
    <row r="18" spans="2:23" s="10" customFormat="1" ht="16.5" customHeight="1" thickBot="1" thickTop="1">
      <c r="B18" s="44"/>
      <c r="C18" s="12"/>
      <c r="D18" s="416">
        <v>4</v>
      </c>
      <c r="E18" s="416">
        <v>5</v>
      </c>
      <c r="F18" s="416">
        <v>6</v>
      </c>
      <c r="G18" s="416">
        <v>7</v>
      </c>
      <c r="H18" s="416">
        <v>8</v>
      </c>
      <c r="I18" s="416">
        <v>9</v>
      </c>
      <c r="J18" s="416">
        <v>10</v>
      </c>
      <c r="K18" s="416">
        <v>11</v>
      </c>
      <c r="L18" s="416">
        <v>12</v>
      </c>
      <c r="M18" s="416">
        <v>13</v>
      </c>
      <c r="N18" s="416">
        <v>14</v>
      </c>
      <c r="O18" s="416">
        <v>15</v>
      </c>
      <c r="P18" s="416">
        <v>16</v>
      </c>
      <c r="Q18" s="416">
        <v>17</v>
      </c>
      <c r="R18" s="416">
        <v>18</v>
      </c>
      <c r="S18" s="416">
        <v>19</v>
      </c>
      <c r="T18" s="416">
        <v>20</v>
      </c>
      <c r="U18" s="416">
        <v>21</v>
      </c>
      <c r="V18" s="416">
        <v>22</v>
      </c>
      <c r="W18" s="49"/>
    </row>
    <row r="19" spans="2:23" s="345" customFormat="1" ht="34.5" customHeight="1" thickBot="1" thickTop="1">
      <c r="B19" s="346"/>
      <c r="C19" s="399" t="s">
        <v>20</v>
      </c>
      <c r="D19" s="399" t="s">
        <v>73</v>
      </c>
      <c r="E19" s="399" t="s">
        <v>74</v>
      </c>
      <c r="F19" s="240" t="s">
        <v>41</v>
      </c>
      <c r="G19" s="347" t="s">
        <v>42</v>
      </c>
      <c r="H19" s="348" t="s">
        <v>21</v>
      </c>
      <c r="I19" s="100" t="s">
        <v>23</v>
      </c>
      <c r="J19" s="241" t="s">
        <v>24</v>
      </c>
      <c r="K19" s="347" t="s">
        <v>25</v>
      </c>
      <c r="L19" s="240" t="s">
        <v>44</v>
      </c>
      <c r="M19" s="240" t="s">
        <v>45</v>
      </c>
      <c r="N19" s="99" t="s">
        <v>72</v>
      </c>
      <c r="O19" s="241" t="s">
        <v>46</v>
      </c>
      <c r="P19" s="349" t="s">
        <v>58</v>
      </c>
      <c r="Q19" s="350" t="s">
        <v>59</v>
      </c>
      <c r="R19" s="351" t="s">
        <v>49</v>
      </c>
      <c r="S19" s="352"/>
      <c r="T19" s="353" t="s">
        <v>33</v>
      </c>
      <c r="U19" s="243" t="s">
        <v>35</v>
      </c>
      <c r="V19" s="243" t="s">
        <v>36</v>
      </c>
      <c r="W19" s="354"/>
    </row>
    <row r="20" spans="2:23" s="10" customFormat="1" ht="16.5" customHeight="1" thickTop="1">
      <c r="B20" s="44"/>
      <c r="C20" s="269"/>
      <c r="D20" s="398"/>
      <c r="E20" s="398"/>
      <c r="F20" s="268"/>
      <c r="G20" s="268"/>
      <c r="H20" s="355"/>
      <c r="I20" s="356"/>
      <c r="J20" s="271"/>
      <c r="K20" s="357"/>
      <c r="L20" s="272"/>
      <c r="M20" s="272"/>
      <c r="N20" s="271"/>
      <c r="O20" s="271"/>
      <c r="P20" s="358"/>
      <c r="Q20" s="359"/>
      <c r="R20" s="360"/>
      <c r="S20" s="361"/>
      <c r="T20" s="362"/>
      <c r="U20" s="363"/>
      <c r="V20" s="364"/>
      <c r="W20" s="217"/>
    </row>
    <row r="21" spans="2:23" s="10" customFormat="1" ht="16.5" customHeight="1">
      <c r="B21" s="44"/>
      <c r="C21" s="271"/>
      <c r="D21" s="268"/>
      <c r="E21" s="268"/>
      <c r="F21" s="365"/>
      <c r="G21" s="365"/>
      <c r="H21" s="366"/>
      <c r="I21" s="367"/>
      <c r="J21" s="368"/>
      <c r="K21" s="369"/>
      <c r="L21" s="285"/>
      <c r="M21" s="370"/>
      <c r="N21" s="287"/>
      <c r="O21" s="287"/>
      <c r="P21" s="371"/>
      <c r="Q21" s="372"/>
      <c r="R21" s="373"/>
      <c r="S21" s="374"/>
      <c r="T21" s="375"/>
      <c r="U21" s="376"/>
      <c r="V21" s="377"/>
      <c r="W21" s="217"/>
    </row>
    <row r="22" spans="2:23" s="10" customFormat="1" ht="16.5" customHeight="1">
      <c r="B22" s="44"/>
      <c r="C22" s="271">
        <v>27</v>
      </c>
      <c r="D22" s="268">
        <v>252828</v>
      </c>
      <c r="E22" s="268">
        <v>4022</v>
      </c>
      <c r="F22" s="365" t="s">
        <v>143</v>
      </c>
      <c r="G22" s="365" t="s">
        <v>144</v>
      </c>
      <c r="H22" s="378">
        <v>13.199999809265137</v>
      </c>
      <c r="I22" s="367">
        <f aca="true" t="shared" si="0" ref="I22:I41">IF(H22=220,$G$14,IF(AND(H22&lt;=132,H22&gt;=66),$G$15,IF(AND(H22&lt;66,H22&gt;=33),$G$16,$G$17)))</f>
        <v>14.037</v>
      </c>
      <c r="J22" s="368">
        <v>41196.32777777778</v>
      </c>
      <c r="K22" s="369">
        <v>41196.33888888889</v>
      </c>
      <c r="L22" s="285">
        <f aca="true" t="shared" si="1" ref="L22:L41">IF(F22="","",(K22-J22)*24)</f>
        <v>0.26666666666278616</v>
      </c>
      <c r="M22" s="370">
        <f aca="true" t="shared" si="2" ref="M22:M41">IF(F22="","",ROUND((K22-J22)*24*60,0))</f>
        <v>16</v>
      </c>
      <c r="N22" s="287" t="s">
        <v>131</v>
      </c>
      <c r="O22" s="287" t="str">
        <f aca="true" t="shared" si="3" ref="O22:O41">IF(F22="","",IF(OR(N22="P",N22="RP"),"--","NO"))</f>
        <v>--</v>
      </c>
      <c r="P22" s="371">
        <f aca="true" t="shared" si="4" ref="P22:P41">IF(H22=220,$H$14,IF(AND(H22&lt;=132,H22&gt;=66),$H$15,IF(AND(H22&lt;66,H22&gt;13.2),$H$16,$H$17)))</f>
        <v>20</v>
      </c>
      <c r="Q22" s="372">
        <f aca="true" t="shared" si="5" ref="Q22:Q41">IF(N22="P",I22*P22*ROUND(M22/60,2)*0.1,"--")</f>
        <v>7.579980000000001</v>
      </c>
      <c r="R22" s="373" t="str">
        <f aca="true" t="shared" si="6" ref="R22:R41">IF(AND(N22="F",O22="NO"),I22*P22,"--")</f>
        <v>--</v>
      </c>
      <c r="S22" s="374" t="str">
        <f aca="true" t="shared" si="7" ref="S22:S41">IF(N22="F",I22*P22*ROUND(M22/60,2),"--")</f>
        <v>--</v>
      </c>
      <c r="T22" s="375" t="str">
        <f aca="true" t="shared" si="8" ref="T22:T41">IF(N22="RF",I22*P22*ROUND(M22/60,2),"--")</f>
        <v>--</v>
      </c>
      <c r="U22" s="376" t="s">
        <v>139</v>
      </c>
      <c r="V22" s="379">
        <f aca="true" t="shared" si="9" ref="V22:V41">IF(F22="","",SUM(Q22:T22)*IF(U22="SI",1,2)*IF(H22="500/220",0,1))</f>
        <v>7.579980000000001</v>
      </c>
      <c r="W22" s="298"/>
    </row>
    <row r="23" spans="2:23" s="10" customFormat="1" ht="16.5" customHeight="1">
      <c r="B23" s="44"/>
      <c r="C23" s="271">
        <v>28</v>
      </c>
      <c r="D23" s="268">
        <v>252829</v>
      </c>
      <c r="E23" s="268">
        <v>903</v>
      </c>
      <c r="F23" s="365" t="s">
        <v>143</v>
      </c>
      <c r="G23" s="365" t="s">
        <v>145</v>
      </c>
      <c r="H23" s="366">
        <v>13.199999809265137</v>
      </c>
      <c r="I23" s="367">
        <f t="shared" si="0"/>
        <v>14.037</v>
      </c>
      <c r="J23" s="368">
        <v>41196.32777777778</v>
      </c>
      <c r="K23" s="369">
        <v>41196.33888888889</v>
      </c>
      <c r="L23" s="285">
        <f t="shared" si="1"/>
        <v>0.26666666666278616</v>
      </c>
      <c r="M23" s="370">
        <f t="shared" si="2"/>
        <v>16</v>
      </c>
      <c r="N23" s="287" t="s">
        <v>131</v>
      </c>
      <c r="O23" s="287" t="str">
        <f t="shared" si="3"/>
        <v>--</v>
      </c>
      <c r="P23" s="371">
        <f t="shared" si="4"/>
        <v>20</v>
      </c>
      <c r="Q23" s="372">
        <f t="shared" si="5"/>
        <v>7.579980000000001</v>
      </c>
      <c r="R23" s="373" t="str">
        <f t="shared" si="6"/>
        <v>--</v>
      </c>
      <c r="S23" s="374" t="str">
        <f t="shared" si="7"/>
        <v>--</v>
      </c>
      <c r="T23" s="375" t="str">
        <f t="shared" si="8"/>
        <v>--</v>
      </c>
      <c r="U23" s="376" t="s">
        <v>139</v>
      </c>
      <c r="V23" s="379">
        <f t="shared" si="9"/>
        <v>7.579980000000001</v>
      </c>
      <c r="W23" s="298"/>
    </row>
    <row r="24" spans="2:23" s="10" customFormat="1" ht="16.5" customHeight="1">
      <c r="B24" s="44"/>
      <c r="C24" s="271">
        <v>29</v>
      </c>
      <c r="D24" s="268">
        <v>252830</v>
      </c>
      <c r="E24" s="268">
        <v>4023</v>
      </c>
      <c r="F24" s="365" t="s">
        <v>143</v>
      </c>
      <c r="G24" s="365" t="s">
        <v>146</v>
      </c>
      <c r="H24" s="366">
        <v>13.199999809265137</v>
      </c>
      <c r="I24" s="367">
        <f t="shared" si="0"/>
        <v>14.037</v>
      </c>
      <c r="J24" s="368">
        <v>41196.32777777778</v>
      </c>
      <c r="K24" s="369">
        <v>41196.33888888889</v>
      </c>
      <c r="L24" s="285">
        <f t="shared" si="1"/>
        <v>0.26666666666278616</v>
      </c>
      <c r="M24" s="370">
        <f t="shared" si="2"/>
        <v>16</v>
      </c>
      <c r="N24" s="287" t="s">
        <v>131</v>
      </c>
      <c r="O24" s="287" t="str">
        <f t="shared" si="3"/>
        <v>--</v>
      </c>
      <c r="P24" s="371">
        <f t="shared" si="4"/>
        <v>20</v>
      </c>
      <c r="Q24" s="372">
        <f t="shared" si="5"/>
        <v>7.579980000000001</v>
      </c>
      <c r="R24" s="373" t="str">
        <f t="shared" si="6"/>
        <v>--</v>
      </c>
      <c r="S24" s="374" t="str">
        <f t="shared" si="7"/>
        <v>--</v>
      </c>
      <c r="T24" s="375" t="str">
        <f t="shared" si="8"/>
        <v>--</v>
      </c>
      <c r="U24" s="376" t="s">
        <v>139</v>
      </c>
      <c r="V24" s="379">
        <f t="shared" si="9"/>
        <v>7.579980000000001</v>
      </c>
      <c r="W24" s="298"/>
    </row>
    <row r="25" spans="2:23" s="10" customFormat="1" ht="16.5" customHeight="1">
      <c r="B25" s="44"/>
      <c r="C25" s="271">
        <v>30</v>
      </c>
      <c r="D25" s="268">
        <v>252831</v>
      </c>
      <c r="E25" s="268">
        <v>899</v>
      </c>
      <c r="F25" s="365" t="s">
        <v>143</v>
      </c>
      <c r="G25" s="365" t="s">
        <v>147</v>
      </c>
      <c r="H25" s="366">
        <v>13.199999809265137</v>
      </c>
      <c r="I25" s="367">
        <f t="shared" si="0"/>
        <v>14.037</v>
      </c>
      <c r="J25" s="368">
        <v>41196.32777777778</v>
      </c>
      <c r="K25" s="369">
        <v>41196.33888888889</v>
      </c>
      <c r="L25" s="285">
        <f t="shared" si="1"/>
        <v>0.26666666666278616</v>
      </c>
      <c r="M25" s="370">
        <f t="shared" si="2"/>
        <v>16</v>
      </c>
      <c r="N25" s="287" t="s">
        <v>131</v>
      </c>
      <c r="O25" s="287" t="str">
        <f t="shared" si="3"/>
        <v>--</v>
      </c>
      <c r="P25" s="371">
        <f t="shared" si="4"/>
        <v>20</v>
      </c>
      <c r="Q25" s="372">
        <f t="shared" si="5"/>
        <v>7.579980000000001</v>
      </c>
      <c r="R25" s="373" t="str">
        <f t="shared" si="6"/>
        <v>--</v>
      </c>
      <c r="S25" s="374" t="str">
        <f t="shared" si="7"/>
        <v>--</v>
      </c>
      <c r="T25" s="375" t="str">
        <f t="shared" si="8"/>
        <v>--</v>
      </c>
      <c r="U25" s="376" t="s">
        <v>139</v>
      </c>
      <c r="V25" s="379">
        <f t="shared" si="9"/>
        <v>7.579980000000001</v>
      </c>
      <c r="W25" s="298"/>
    </row>
    <row r="26" spans="2:23" s="10" customFormat="1" ht="16.5" customHeight="1">
      <c r="B26" s="44"/>
      <c r="C26" s="271">
        <v>31</v>
      </c>
      <c r="D26" s="268">
        <v>252832</v>
      </c>
      <c r="E26" s="268">
        <v>900</v>
      </c>
      <c r="F26" s="365" t="s">
        <v>143</v>
      </c>
      <c r="G26" s="365" t="s">
        <v>148</v>
      </c>
      <c r="H26" s="366">
        <v>13.199999809265137</v>
      </c>
      <c r="I26" s="367">
        <f t="shared" si="0"/>
        <v>14.037</v>
      </c>
      <c r="J26" s="368">
        <v>41196.32777777778</v>
      </c>
      <c r="K26" s="369">
        <v>41196.33888888889</v>
      </c>
      <c r="L26" s="285">
        <f t="shared" si="1"/>
        <v>0.26666666666278616</v>
      </c>
      <c r="M26" s="370">
        <f t="shared" si="2"/>
        <v>16</v>
      </c>
      <c r="N26" s="287" t="s">
        <v>131</v>
      </c>
      <c r="O26" s="287" t="str">
        <f t="shared" si="3"/>
        <v>--</v>
      </c>
      <c r="P26" s="371">
        <f t="shared" si="4"/>
        <v>20</v>
      </c>
      <c r="Q26" s="372">
        <f t="shared" si="5"/>
        <v>7.579980000000001</v>
      </c>
      <c r="R26" s="373" t="str">
        <f t="shared" si="6"/>
        <v>--</v>
      </c>
      <c r="S26" s="374" t="str">
        <f t="shared" si="7"/>
        <v>--</v>
      </c>
      <c r="T26" s="375" t="str">
        <f t="shared" si="8"/>
        <v>--</v>
      </c>
      <c r="U26" s="376" t="s">
        <v>139</v>
      </c>
      <c r="V26" s="379">
        <f t="shared" si="9"/>
        <v>7.579980000000001</v>
      </c>
      <c r="W26" s="298"/>
    </row>
    <row r="27" spans="2:23" s="10" customFormat="1" ht="16.5" customHeight="1">
      <c r="B27" s="44"/>
      <c r="C27" s="271">
        <v>32</v>
      </c>
      <c r="D27" s="268">
        <v>252833</v>
      </c>
      <c r="E27" s="268">
        <v>902</v>
      </c>
      <c r="F27" s="365" t="s">
        <v>143</v>
      </c>
      <c r="G27" s="365" t="s">
        <v>149</v>
      </c>
      <c r="H27" s="366">
        <v>13.199999809265137</v>
      </c>
      <c r="I27" s="367">
        <f t="shared" si="0"/>
        <v>14.037</v>
      </c>
      <c r="J27" s="368">
        <v>41196.32777777778</v>
      </c>
      <c r="K27" s="369">
        <v>41196.33888888889</v>
      </c>
      <c r="L27" s="285">
        <f t="shared" si="1"/>
        <v>0.26666666666278616</v>
      </c>
      <c r="M27" s="370">
        <f t="shared" si="2"/>
        <v>16</v>
      </c>
      <c r="N27" s="287" t="s">
        <v>131</v>
      </c>
      <c r="O27" s="287" t="str">
        <f t="shared" si="3"/>
        <v>--</v>
      </c>
      <c r="P27" s="371">
        <f t="shared" si="4"/>
        <v>20</v>
      </c>
      <c r="Q27" s="372">
        <f t="shared" si="5"/>
        <v>7.579980000000001</v>
      </c>
      <c r="R27" s="373" t="str">
        <f t="shared" si="6"/>
        <v>--</v>
      </c>
      <c r="S27" s="374" t="str">
        <f t="shared" si="7"/>
        <v>--</v>
      </c>
      <c r="T27" s="375" t="str">
        <f t="shared" si="8"/>
        <v>--</v>
      </c>
      <c r="U27" s="376" t="s">
        <v>139</v>
      </c>
      <c r="V27" s="379">
        <f t="shared" si="9"/>
        <v>7.579980000000001</v>
      </c>
      <c r="W27" s="298"/>
    </row>
    <row r="28" spans="2:23" s="10" customFormat="1" ht="16.5" customHeight="1">
      <c r="B28" s="44"/>
      <c r="C28" s="271">
        <v>33</v>
      </c>
      <c r="D28" s="268">
        <v>252834</v>
      </c>
      <c r="E28" s="268">
        <v>901</v>
      </c>
      <c r="F28" s="365" t="s">
        <v>143</v>
      </c>
      <c r="G28" s="365" t="s">
        <v>150</v>
      </c>
      <c r="H28" s="366">
        <v>13.199999809265137</v>
      </c>
      <c r="I28" s="367">
        <f t="shared" si="0"/>
        <v>14.037</v>
      </c>
      <c r="J28" s="368">
        <v>41196.32777777778</v>
      </c>
      <c r="K28" s="369">
        <v>41196.33888888889</v>
      </c>
      <c r="L28" s="285">
        <f t="shared" si="1"/>
        <v>0.26666666666278616</v>
      </c>
      <c r="M28" s="370">
        <f t="shared" si="2"/>
        <v>16</v>
      </c>
      <c r="N28" s="287" t="s">
        <v>131</v>
      </c>
      <c r="O28" s="287" t="str">
        <f t="shared" si="3"/>
        <v>--</v>
      </c>
      <c r="P28" s="371">
        <f t="shared" si="4"/>
        <v>20</v>
      </c>
      <c r="Q28" s="372">
        <f t="shared" si="5"/>
        <v>7.579980000000001</v>
      </c>
      <c r="R28" s="373" t="str">
        <f t="shared" si="6"/>
        <v>--</v>
      </c>
      <c r="S28" s="374" t="str">
        <f t="shared" si="7"/>
        <v>--</v>
      </c>
      <c r="T28" s="375" t="str">
        <f t="shared" si="8"/>
        <v>--</v>
      </c>
      <c r="U28" s="376" t="s">
        <v>139</v>
      </c>
      <c r="V28" s="379">
        <f t="shared" si="9"/>
        <v>7.579980000000001</v>
      </c>
      <c r="W28" s="298"/>
    </row>
    <row r="29" spans="2:23" s="10" customFormat="1" ht="16.5" customHeight="1">
      <c r="B29" s="44"/>
      <c r="C29" s="271">
        <v>34</v>
      </c>
      <c r="D29" s="268">
        <v>252835</v>
      </c>
      <c r="E29" s="268">
        <v>898</v>
      </c>
      <c r="F29" s="365" t="s">
        <v>143</v>
      </c>
      <c r="G29" s="365" t="s">
        <v>151</v>
      </c>
      <c r="H29" s="366">
        <v>13.199999809265137</v>
      </c>
      <c r="I29" s="367">
        <f t="shared" si="0"/>
        <v>14.037</v>
      </c>
      <c r="J29" s="368">
        <v>41196.32777777778</v>
      </c>
      <c r="K29" s="369">
        <v>41196.33888888889</v>
      </c>
      <c r="L29" s="285">
        <f t="shared" si="1"/>
        <v>0.26666666666278616</v>
      </c>
      <c r="M29" s="370">
        <f t="shared" si="2"/>
        <v>16</v>
      </c>
      <c r="N29" s="287" t="s">
        <v>131</v>
      </c>
      <c r="O29" s="287" t="str">
        <f t="shared" si="3"/>
        <v>--</v>
      </c>
      <c r="P29" s="371">
        <f t="shared" si="4"/>
        <v>20</v>
      </c>
      <c r="Q29" s="372">
        <f t="shared" si="5"/>
        <v>7.579980000000001</v>
      </c>
      <c r="R29" s="373" t="str">
        <f t="shared" si="6"/>
        <v>--</v>
      </c>
      <c r="S29" s="374" t="str">
        <f t="shared" si="7"/>
        <v>--</v>
      </c>
      <c r="T29" s="375" t="str">
        <f t="shared" si="8"/>
        <v>--</v>
      </c>
      <c r="U29" s="376" t="s">
        <v>139</v>
      </c>
      <c r="V29" s="379">
        <f t="shared" si="9"/>
        <v>7.579980000000001</v>
      </c>
      <c r="W29" s="298"/>
    </row>
    <row r="30" spans="2:23" s="10" customFormat="1" ht="16.5" customHeight="1">
      <c r="B30" s="44"/>
      <c r="C30" s="271">
        <v>35</v>
      </c>
      <c r="D30" s="268">
        <v>252836</v>
      </c>
      <c r="E30" s="268">
        <v>903</v>
      </c>
      <c r="F30" s="365" t="s">
        <v>143</v>
      </c>
      <c r="G30" s="365" t="s">
        <v>145</v>
      </c>
      <c r="H30" s="366">
        <v>13.199999809265137</v>
      </c>
      <c r="I30" s="367">
        <f t="shared" si="0"/>
        <v>14.037</v>
      </c>
      <c r="J30" s="368">
        <v>41196.722916666666</v>
      </c>
      <c r="K30" s="369">
        <v>41196.72708333333</v>
      </c>
      <c r="L30" s="285">
        <f t="shared" si="1"/>
        <v>0.09999999997671694</v>
      </c>
      <c r="M30" s="370">
        <f t="shared" si="2"/>
        <v>6</v>
      </c>
      <c r="N30" s="287" t="s">
        <v>131</v>
      </c>
      <c r="O30" s="287" t="str">
        <f t="shared" si="3"/>
        <v>--</v>
      </c>
      <c r="P30" s="371">
        <f t="shared" si="4"/>
        <v>20</v>
      </c>
      <c r="Q30" s="372">
        <f t="shared" si="5"/>
        <v>2.8074000000000003</v>
      </c>
      <c r="R30" s="373" t="str">
        <f t="shared" si="6"/>
        <v>--</v>
      </c>
      <c r="S30" s="374" t="str">
        <f t="shared" si="7"/>
        <v>--</v>
      </c>
      <c r="T30" s="375" t="str">
        <f t="shared" si="8"/>
        <v>--</v>
      </c>
      <c r="U30" s="376" t="s">
        <v>139</v>
      </c>
      <c r="V30" s="379">
        <f t="shared" si="9"/>
        <v>2.8074000000000003</v>
      </c>
      <c r="W30" s="298"/>
    </row>
    <row r="31" spans="2:23" s="10" customFormat="1" ht="16.5" customHeight="1">
      <c r="B31" s="44"/>
      <c r="C31" s="271">
        <v>36</v>
      </c>
      <c r="D31" s="268">
        <v>252837</v>
      </c>
      <c r="E31" s="268">
        <v>4022</v>
      </c>
      <c r="F31" s="365" t="s">
        <v>143</v>
      </c>
      <c r="G31" s="365" t="s">
        <v>144</v>
      </c>
      <c r="H31" s="366">
        <v>13.199999809265137</v>
      </c>
      <c r="I31" s="367">
        <f t="shared" si="0"/>
        <v>14.037</v>
      </c>
      <c r="J31" s="368">
        <v>41196.722916666666</v>
      </c>
      <c r="K31" s="369">
        <v>41196.72708333333</v>
      </c>
      <c r="L31" s="285">
        <f t="shared" si="1"/>
        <v>0.09999999997671694</v>
      </c>
      <c r="M31" s="370">
        <f t="shared" si="2"/>
        <v>6</v>
      </c>
      <c r="N31" s="287" t="s">
        <v>131</v>
      </c>
      <c r="O31" s="287" t="str">
        <f t="shared" si="3"/>
        <v>--</v>
      </c>
      <c r="P31" s="371">
        <f t="shared" si="4"/>
        <v>20</v>
      </c>
      <c r="Q31" s="372">
        <f t="shared" si="5"/>
        <v>2.8074000000000003</v>
      </c>
      <c r="R31" s="373" t="str">
        <f t="shared" si="6"/>
        <v>--</v>
      </c>
      <c r="S31" s="374" t="str">
        <f t="shared" si="7"/>
        <v>--</v>
      </c>
      <c r="T31" s="375" t="str">
        <f t="shared" si="8"/>
        <v>--</v>
      </c>
      <c r="U31" s="376" t="s">
        <v>139</v>
      </c>
      <c r="V31" s="379">
        <f t="shared" si="9"/>
        <v>2.8074000000000003</v>
      </c>
      <c r="W31" s="298"/>
    </row>
    <row r="32" spans="2:23" s="10" customFormat="1" ht="16.5" customHeight="1">
      <c r="B32" s="44"/>
      <c r="C32" s="271">
        <v>37</v>
      </c>
      <c r="D32" s="268">
        <v>252838</v>
      </c>
      <c r="E32" s="268">
        <v>4023</v>
      </c>
      <c r="F32" s="365" t="s">
        <v>143</v>
      </c>
      <c r="G32" s="365" t="s">
        <v>146</v>
      </c>
      <c r="H32" s="366">
        <v>13.199999809265137</v>
      </c>
      <c r="I32" s="367">
        <f t="shared" si="0"/>
        <v>14.037</v>
      </c>
      <c r="J32" s="368">
        <v>41196.722916666666</v>
      </c>
      <c r="K32" s="369">
        <v>41196.72708333333</v>
      </c>
      <c r="L32" s="285">
        <f t="shared" si="1"/>
        <v>0.09999999997671694</v>
      </c>
      <c r="M32" s="370">
        <f t="shared" si="2"/>
        <v>6</v>
      </c>
      <c r="N32" s="287" t="s">
        <v>131</v>
      </c>
      <c r="O32" s="287" t="str">
        <f t="shared" si="3"/>
        <v>--</v>
      </c>
      <c r="P32" s="371">
        <f t="shared" si="4"/>
        <v>20</v>
      </c>
      <c r="Q32" s="372">
        <f t="shared" si="5"/>
        <v>2.8074000000000003</v>
      </c>
      <c r="R32" s="373" t="str">
        <f t="shared" si="6"/>
        <v>--</v>
      </c>
      <c r="S32" s="374" t="str">
        <f t="shared" si="7"/>
        <v>--</v>
      </c>
      <c r="T32" s="375" t="str">
        <f t="shared" si="8"/>
        <v>--</v>
      </c>
      <c r="U32" s="376" t="s">
        <v>139</v>
      </c>
      <c r="V32" s="379">
        <f t="shared" si="9"/>
        <v>2.8074000000000003</v>
      </c>
      <c r="W32" s="298"/>
    </row>
    <row r="33" spans="2:23" s="10" customFormat="1" ht="16.5" customHeight="1">
      <c r="B33" s="44"/>
      <c r="C33" s="271">
        <v>38</v>
      </c>
      <c r="D33" s="268">
        <v>252839</v>
      </c>
      <c r="E33" s="268">
        <v>899</v>
      </c>
      <c r="F33" s="365" t="s">
        <v>143</v>
      </c>
      <c r="G33" s="365" t="s">
        <v>147</v>
      </c>
      <c r="H33" s="366">
        <v>13.199999809265137</v>
      </c>
      <c r="I33" s="367">
        <f t="shared" si="0"/>
        <v>14.037</v>
      </c>
      <c r="J33" s="368">
        <v>41196.722916666666</v>
      </c>
      <c r="K33" s="369">
        <v>41196.72708333333</v>
      </c>
      <c r="L33" s="285">
        <f t="shared" si="1"/>
        <v>0.09999999997671694</v>
      </c>
      <c r="M33" s="370">
        <f t="shared" si="2"/>
        <v>6</v>
      </c>
      <c r="N33" s="287" t="s">
        <v>131</v>
      </c>
      <c r="O33" s="287" t="str">
        <f t="shared" si="3"/>
        <v>--</v>
      </c>
      <c r="P33" s="371">
        <f t="shared" si="4"/>
        <v>20</v>
      </c>
      <c r="Q33" s="372">
        <f t="shared" si="5"/>
        <v>2.8074000000000003</v>
      </c>
      <c r="R33" s="373" t="str">
        <f t="shared" si="6"/>
        <v>--</v>
      </c>
      <c r="S33" s="374" t="str">
        <f t="shared" si="7"/>
        <v>--</v>
      </c>
      <c r="T33" s="375" t="str">
        <f t="shared" si="8"/>
        <v>--</v>
      </c>
      <c r="U33" s="376" t="s">
        <v>139</v>
      </c>
      <c r="V33" s="379">
        <f t="shared" si="9"/>
        <v>2.8074000000000003</v>
      </c>
      <c r="W33" s="298"/>
    </row>
    <row r="34" spans="2:23" s="10" customFormat="1" ht="16.5" customHeight="1">
      <c r="B34" s="44"/>
      <c r="C34" s="271">
        <v>39</v>
      </c>
      <c r="D34" s="268">
        <v>252840</v>
      </c>
      <c r="E34" s="268">
        <v>900</v>
      </c>
      <c r="F34" s="365" t="s">
        <v>143</v>
      </c>
      <c r="G34" s="365" t="s">
        <v>148</v>
      </c>
      <c r="H34" s="366">
        <v>13.199999809265137</v>
      </c>
      <c r="I34" s="367">
        <f t="shared" si="0"/>
        <v>14.037</v>
      </c>
      <c r="J34" s="368">
        <v>41196.722916666666</v>
      </c>
      <c r="K34" s="369">
        <v>41196.72708333333</v>
      </c>
      <c r="L34" s="285">
        <f t="shared" si="1"/>
        <v>0.09999999997671694</v>
      </c>
      <c r="M34" s="370">
        <f t="shared" si="2"/>
        <v>6</v>
      </c>
      <c r="N34" s="287" t="s">
        <v>131</v>
      </c>
      <c r="O34" s="287" t="str">
        <f t="shared" si="3"/>
        <v>--</v>
      </c>
      <c r="P34" s="371">
        <f t="shared" si="4"/>
        <v>20</v>
      </c>
      <c r="Q34" s="372">
        <f t="shared" si="5"/>
        <v>2.8074000000000003</v>
      </c>
      <c r="R34" s="373" t="str">
        <f t="shared" si="6"/>
        <v>--</v>
      </c>
      <c r="S34" s="374" t="str">
        <f t="shared" si="7"/>
        <v>--</v>
      </c>
      <c r="T34" s="375" t="str">
        <f t="shared" si="8"/>
        <v>--</v>
      </c>
      <c r="U34" s="376" t="s">
        <v>139</v>
      </c>
      <c r="V34" s="379">
        <f t="shared" si="9"/>
        <v>2.8074000000000003</v>
      </c>
      <c r="W34" s="298"/>
    </row>
    <row r="35" spans="2:23" s="10" customFormat="1" ht="16.5" customHeight="1">
      <c r="B35" s="44"/>
      <c r="C35" s="271">
        <v>40</v>
      </c>
      <c r="D35" s="268">
        <v>252841</v>
      </c>
      <c r="E35" s="268">
        <v>902</v>
      </c>
      <c r="F35" s="365" t="s">
        <v>143</v>
      </c>
      <c r="G35" s="365" t="s">
        <v>149</v>
      </c>
      <c r="H35" s="366">
        <v>13.199999809265137</v>
      </c>
      <c r="I35" s="367">
        <f t="shared" si="0"/>
        <v>14.037</v>
      </c>
      <c r="J35" s="368">
        <v>41196.722916666666</v>
      </c>
      <c r="K35" s="369">
        <v>41196.72708333333</v>
      </c>
      <c r="L35" s="285">
        <f t="shared" si="1"/>
        <v>0.09999999997671694</v>
      </c>
      <c r="M35" s="370">
        <f t="shared" si="2"/>
        <v>6</v>
      </c>
      <c r="N35" s="287" t="s">
        <v>131</v>
      </c>
      <c r="O35" s="287" t="str">
        <f t="shared" si="3"/>
        <v>--</v>
      </c>
      <c r="P35" s="371">
        <f t="shared" si="4"/>
        <v>20</v>
      </c>
      <c r="Q35" s="372">
        <f t="shared" si="5"/>
        <v>2.8074000000000003</v>
      </c>
      <c r="R35" s="373" t="str">
        <f t="shared" si="6"/>
        <v>--</v>
      </c>
      <c r="S35" s="374" t="str">
        <f t="shared" si="7"/>
        <v>--</v>
      </c>
      <c r="T35" s="375" t="str">
        <f t="shared" si="8"/>
        <v>--</v>
      </c>
      <c r="U35" s="376" t="s">
        <v>139</v>
      </c>
      <c r="V35" s="379">
        <f t="shared" si="9"/>
        <v>2.8074000000000003</v>
      </c>
      <c r="W35" s="298"/>
    </row>
    <row r="36" spans="2:23" s="10" customFormat="1" ht="16.5" customHeight="1">
      <c r="B36" s="44"/>
      <c r="C36" s="271">
        <v>41</v>
      </c>
      <c r="D36" s="268">
        <v>252842</v>
      </c>
      <c r="E36" s="268">
        <v>901</v>
      </c>
      <c r="F36" s="365" t="s">
        <v>143</v>
      </c>
      <c r="G36" s="365" t="s">
        <v>150</v>
      </c>
      <c r="H36" s="366">
        <v>13.199999809265137</v>
      </c>
      <c r="I36" s="367">
        <f t="shared" si="0"/>
        <v>14.037</v>
      </c>
      <c r="J36" s="368">
        <v>41196.722916666666</v>
      </c>
      <c r="K36" s="369">
        <v>41196.72708333333</v>
      </c>
      <c r="L36" s="285">
        <f t="shared" si="1"/>
        <v>0.09999999997671694</v>
      </c>
      <c r="M36" s="370">
        <f t="shared" si="2"/>
        <v>6</v>
      </c>
      <c r="N36" s="287" t="s">
        <v>131</v>
      </c>
      <c r="O36" s="287" t="str">
        <f t="shared" si="3"/>
        <v>--</v>
      </c>
      <c r="P36" s="371">
        <f t="shared" si="4"/>
        <v>20</v>
      </c>
      <c r="Q36" s="372">
        <f t="shared" si="5"/>
        <v>2.8074000000000003</v>
      </c>
      <c r="R36" s="373" t="str">
        <f t="shared" si="6"/>
        <v>--</v>
      </c>
      <c r="S36" s="374" t="str">
        <f t="shared" si="7"/>
        <v>--</v>
      </c>
      <c r="T36" s="375" t="str">
        <f t="shared" si="8"/>
        <v>--</v>
      </c>
      <c r="U36" s="376" t="s">
        <v>139</v>
      </c>
      <c r="V36" s="379">
        <f t="shared" si="9"/>
        <v>2.8074000000000003</v>
      </c>
      <c r="W36" s="298"/>
    </row>
    <row r="37" spans="2:23" s="10" customFormat="1" ht="16.5" customHeight="1">
      <c r="B37" s="44"/>
      <c r="C37" s="271">
        <v>42</v>
      </c>
      <c r="D37" s="268">
        <v>252843</v>
      </c>
      <c r="E37" s="268">
        <v>898</v>
      </c>
      <c r="F37" s="365" t="s">
        <v>143</v>
      </c>
      <c r="G37" s="365" t="s">
        <v>151</v>
      </c>
      <c r="H37" s="366">
        <v>13.199999809265137</v>
      </c>
      <c r="I37" s="367">
        <f t="shared" si="0"/>
        <v>14.037</v>
      </c>
      <c r="J37" s="368">
        <v>41196.722916666666</v>
      </c>
      <c r="K37" s="369">
        <v>41196.72708333333</v>
      </c>
      <c r="L37" s="285">
        <f t="shared" si="1"/>
        <v>0.09999999997671694</v>
      </c>
      <c r="M37" s="370">
        <f t="shared" si="2"/>
        <v>6</v>
      </c>
      <c r="N37" s="287" t="s">
        <v>131</v>
      </c>
      <c r="O37" s="287" t="str">
        <f t="shared" si="3"/>
        <v>--</v>
      </c>
      <c r="P37" s="371">
        <f t="shared" si="4"/>
        <v>20</v>
      </c>
      <c r="Q37" s="372">
        <f t="shared" si="5"/>
        <v>2.8074000000000003</v>
      </c>
      <c r="R37" s="373" t="str">
        <f t="shared" si="6"/>
        <v>--</v>
      </c>
      <c r="S37" s="374" t="str">
        <f t="shared" si="7"/>
        <v>--</v>
      </c>
      <c r="T37" s="375" t="str">
        <f t="shared" si="8"/>
        <v>--</v>
      </c>
      <c r="U37" s="376" t="s">
        <v>139</v>
      </c>
      <c r="V37" s="379">
        <f t="shared" si="9"/>
        <v>2.8074000000000003</v>
      </c>
      <c r="W37" s="298"/>
    </row>
    <row r="38" spans="2:23" s="10" customFormat="1" ht="16.5" customHeight="1">
      <c r="B38" s="44"/>
      <c r="C38" s="271">
        <v>43</v>
      </c>
      <c r="D38" s="268">
        <v>253295</v>
      </c>
      <c r="E38" s="268">
        <v>896</v>
      </c>
      <c r="F38" s="365" t="s">
        <v>143</v>
      </c>
      <c r="G38" s="365" t="s">
        <v>152</v>
      </c>
      <c r="H38" s="366">
        <v>66</v>
      </c>
      <c r="I38" s="367">
        <f t="shared" si="0"/>
        <v>18.713</v>
      </c>
      <c r="J38" s="368">
        <v>41208.5375</v>
      </c>
      <c r="K38" s="369">
        <v>41208.57708333333</v>
      </c>
      <c r="L38" s="285">
        <f t="shared" si="1"/>
        <v>0.9499999999534339</v>
      </c>
      <c r="M38" s="370">
        <f t="shared" si="2"/>
        <v>57</v>
      </c>
      <c r="N38" s="287" t="s">
        <v>131</v>
      </c>
      <c r="O38" s="287" t="str">
        <f t="shared" si="3"/>
        <v>--</v>
      </c>
      <c r="P38" s="371">
        <f t="shared" si="4"/>
        <v>50</v>
      </c>
      <c r="Q38" s="372">
        <f t="shared" si="5"/>
        <v>88.88675</v>
      </c>
      <c r="R38" s="373" t="str">
        <f t="shared" si="6"/>
        <v>--</v>
      </c>
      <c r="S38" s="374" t="str">
        <f t="shared" si="7"/>
        <v>--</v>
      </c>
      <c r="T38" s="375" t="str">
        <f t="shared" si="8"/>
        <v>--</v>
      </c>
      <c r="U38" s="376" t="s">
        <v>139</v>
      </c>
      <c r="V38" s="379">
        <f t="shared" si="9"/>
        <v>88.88675</v>
      </c>
      <c r="W38" s="298"/>
    </row>
    <row r="39" spans="2:23" s="10" customFormat="1" ht="16.5" customHeight="1">
      <c r="B39" s="44"/>
      <c r="C39" s="271"/>
      <c r="D39" s="268"/>
      <c r="E39" s="268"/>
      <c r="F39" s="365"/>
      <c r="G39" s="365"/>
      <c r="H39" s="366"/>
      <c r="I39" s="367">
        <f t="shared" si="0"/>
        <v>14.037</v>
      </c>
      <c r="J39" s="368"/>
      <c r="K39" s="369"/>
      <c r="L39" s="285">
        <f t="shared" si="1"/>
      </c>
      <c r="M39" s="370">
        <f t="shared" si="2"/>
      </c>
      <c r="N39" s="287"/>
      <c r="O39" s="287">
        <f t="shared" si="3"/>
      </c>
      <c r="P39" s="371">
        <f t="shared" si="4"/>
        <v>20</v>
      </c>
      <c r="Q39" s="372" t="str">
        <f t="shared" si="5"/>
        <v>--</v>
      </c>
      <c r="R39" s="373" t="str">
        <f t="shared" si="6"/>
        <v>--</v>
      </c>
      <c r="S39" s="374" t="str">
        <f t="shared" si="7"/>
        <v>--</v>
      </c>
      <c r="T39" s="375" t="str">
        <f t="shared" si="8"/>
        <v>--</v>
      </c>
      <c r="U39" s="376">
        <f>IF(F39="","","SI")</f>
      </c>
      <c r="V39" s="379">
        <f t="shared" si="9"/>
      </c>
      <c r="W39" s="298"/>
    </row>
    <row r="40" spans="2:23" s="10" customFormat="1" ht="16.5" customHeight="1">
      <c r="B40" s="44"/>
      <c r="C40" s="271"/>
      <c r="D40" s="268"/>
      <c r="E40" s="268"/>
      <c r="F40" s="365"/>
      <c r="G40" s="365"/>
      <c r="H40" s="366"/>
      <c r="I40" s="367">
        <f t="shared" si="0"/>
        <v>14.037</v>
      </c>
      <c r="J40" s="368"/>
      <c r="K40" s="369"/>
      <c r="L40" s="285">
        <f t="shared" si="1"/>
      </c>
      <c r="M40" s="370">
        <f t="shared" si="2"/>
      </c>
      <c r="N40" s="287"/>
      <c r="O40" s="287">
        <f t="shared" si="3"/>
      </c>
      <c r="P40" s="371">
        <f t="shared" si="4"/>
        <v>20</v>
      </c>
      <c r="Q40" s="372" t="str">
        <f t="shared" si="5"/>
        <v>--</v>
      </c>
      <c r="R40" s="373" t="str">
        <f t="shared" si="6"/>
        <v>--</v>
      </c>
      <c r="S40" s="374" t="str">
        <f t="shared" si="7"/>
        <v>--</v>
      </c>
      <c r="T40" s="375" t="str">
        <f t="shared" si="8"/>
        <v>--</v>
      </c>
      <c r="U40" s="376">
        <f>IF(F40="","","SI")</f>
      </c>
      <c r="V40" s="379">
        <f t="shared" si="9"/>
      </c>
      <c r="W40" s="298"/>
    </row>
    <row r="41" spans="2:23" s="10" customFormat="1" ht="16.5" customHeight="1">
      <c r="B41" s="44"/>
      <c r="C41" s="271"/>
      <c r="D41" s="268"/>
      <c r="E41" s="268"/>
      <c r="F41" s="365"/>
      <c r="G41" s="365"/>
      <c r="H41" s="366"/>
      <c r="I41" s="367">
        <f t="shared" si="0"/>
        <v>14.037</v>
      </c>
      <c r="J41" s="368"/>
      <c r="K41" s="369"/>
      <c r="L41" s="285">
        <f t="shared" si="1"/>
      </c>
      <c r="M41" s="370">
        <f t="shared" si="2"/>
      </c>
      <c r="N41" s="287"/>
      <c r="O41" s="287">
        <f t="shared" si="3"/>
      </c>
      <c r="P41" s="371">
        <f t="shared" si="4"/>
        <v>20</v>
      </c>
      <c r="Q41" s="372" t="str">
        <f t="shared" si="5"/>
        <v>--</v>
      </c>
      <c r="R41" s="373" t="str">
        <f t="shared" si="6"/>
        <v>--</v>
      </c>
      <c r="S41" s="374" t="str">
        <f t="shared" si="7"/>
        <v>--</v>
      </c>
      <c r="T41" s="375" t="str">
        <f t="shared" si="8"/>
        <v>--</v>
      </c>
      <c r="U41" s="376">
        <f>IF(F41="","","SI")</f>
      </c>
      <c r="V41" s="379">
        <f t="shared" si="9"/>
      </c>
      <c r="W41" s="298"/>
    </row>
    <row r="42" spans="2:23" s="10" customFormat="1" ht="16.5" customHeight="1" thickBot="1">
      <c r="B42" s="44"/>
      <c r="C42" s="299"/>
      <c r="D42" s="299"/>
      <c r="E42" s="299"/>
      <c r="F42" s="299"/>
      <c r="G42" s="299"/>
      <c r="H42" s="299"/>
      <c r="I42" s="380"/>
      <c r="J42" s="299"/>
      <c r="K42" s="299"/>
      <c r="L42" s="299"/>
      <c r="M42" s="299"/>
      <c r="N42" s="299"/>
      <c r="O42" s="299"/>
      <c r="P42" s="381"/>
      <c r="Q42" s="382"/>
      <c r="R42" s="383"/>
      <c r="S42" s="384"/>
      <c r="T42" s="385"/>
      <c r="U42" s="299"/>
      <c r="V42" s="386"/>
      <c r="W42" s="298"/>
    </row>
    <row r="43" spans="2:23" s="10" customFormat="1" ht="16.5" customHeight="1" thickBot="1" thickTop="1">
      <c r="B43" s="44"/>
      <c r="C43" s="421" t="s">
        <v>155</v>
      </c>
      <c r="D43" s="420" t="s">
        <v>156</v>
      </c>
      <c r="E43" s="186"/>
      <c r="F43" s="172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387">
        <f>SUM(Q20:Q42)</f>
        <v>171.98579</v>
      </c>
      <c r="R43" s="388">
        <f>SUM(R20:R42)</f>
        <v>0</v>
      </c>
      <c r="S43" s="388">
        <f>SUM(S20:S42)</f>
        <v>0</v>
      </c>
      <c r="T43" s="389">
        <f>SUM(T20:T42)</f>
        <v>0</v>
      </c>
      <c r="U43" s="390"/>
      <c r="V43" s="391">
        <f>ROUND(SUM(V20:V42),2)</f>
        <v>171.99</v>
      </c>
      <c r="W43" s="298"/>
    </row>
    <row r="44" spans="2:23" s="184" customFormat="1" ht="9.75" thickTop="1">
      <c r="B44" s="185"/>
      <c r="C44" s="186"/>
      <c r="D44" s="186"/>
      <c r="E44" s="186"/>
      <c r="F44" s="187"/>
      <c r="G44" s="321"/>
      <c r="H44" s="321"/>
      <c r="I44" s="321"/>
      <c r="J44" s="321"/>
      <c r="K44" s="321"/>
      <c r="L44" s="321"/>
      <c r="M44" s="321"/>
      <c r="N44" s="321"/>
      <c r="O44" s="321"/>
      <c r="P44" s="321"/>
      <c r="Q44" s="321"/>
      <c r="R44" s="321"/>
      <c r="S44" s="321"/>
      <c r="T44" s="321"/>
      <c r="U44" s="322"/>
      <c r="V44" s="392"/>
      <c r="W44" s="324"/>
    </row>
    <row r="45" spans="2:23" s="10" customFormat="1" ht="16.5" customHeight="1" thickBot="1">
      <c r="B45" s="197"/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7"/>
    </row>
    <row r="46" spans="2:23" ht="16.5" customHeight="1" thickTop="1">
      <c r="B46" s="393"/>
      <c r="C46" s="393"/>
      <c r="D46" s="393"/>
      <c r="E46" s="393"/>
      <c r="F46" s="393"/>
      <c r="G46" s="393"/>
      <c r="H46" s="393"/>
      <c r="I46" s="393"/>
      <c r="J46" s="393"/>
      <c r="K46" s="393"/>
      <c r="L46" s="393"/>
      <c r="M46" s="393"/>
      <c r="N46" s="393"/>
      <c r="O46" s="393"/>
      <c r="P46" s="393"/>
      <c r="Q46" s="393"/>
      <c r="R46" s="393"/>
      <c r="S46" s="393"/>
      <c r="T46" s="393"/>
      <c r="U46" s="393"/>
      <c r="V46" s="393"/>
      <c r="W46" s="393"/>
    </row>
    <row r="47" spans="3:6" ht="16.5" customHeight="1">
      <c r="C47" s="393"/>
      <c r="D47" s="393"/>
      <c r="E47" s="393"/>
      <c r="F47" s="393"/>
    </row>
    <row r="48" ht="16.5" customHeight="1"/>
    <row r="49" ht="16.5" customHeight="1"/>
    <row r="50" ht="16.5" customHeight="1"/>
    <row r="51" ht="16.5" customHeight="1"/>
    <row r="52" ht="16.5" customHeight="1"/>
  </sheetData>
  <printOptions/>
  <pageMargins left="0.24" right="0.1968503937007874" top="0.7874015748031497" bottom="0.61" header="0.5118110236220472" footer="0.33"/>
  <pageSetup fitToHeight="1" fitToWidth="1" horizontalDpi="300" verticalDpi="300" orientation="landscape" paperSize="9" scale="61" r:id="rId3"/>
  <headerFooter alignWithMargins="0">
    <oddFooter>&amp;L&amp;"Times New Roman,Normal"&amp;5&amp;F  - TRANSPORTE de ENERGÍA ELÉCTRICA - AJF/rb - &amp;P/&amp;N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AA44"/>
  <sheetViews>
    <sheetView zoomScale="55" zoomScaleNormal="55" workbookViewId="0" topLeftCell="A1">
      <selection activeCell="M29" sqref="M29"/>
    </sheetView>
  </sheetViews>
  <sheetFormatPr defaultColWidth="11.421875" defaultRowHeight="12.75"/>
  <cols>
    <col min="1" max="1" width="22.7109375" style="424" customWidth="1"/>
    <col min="2" max="2" width="15.7109375" style="424" customWidth="1"/>
    <col min="3" max="3" width="5.7109375" style="424" customWidth="1"/>
    <col min="4" max="4" width="56.421875" style="424" customWidth="1"/>
    <col min="5" max="5" width="10.421875" style="424" customWidth="1"/>
    <col min="6" max="6" width="14.140625" style="424" customWidth="1"/>
    <col min="7" max="19" width="10.7109375" style="424" customWidth="1"/>
    <col min="20" max="20" width="15.7109375" style="424" customWidth="1"/>
    <col min="21" max="16384" width="11.421875" style="424" customWidth="1"/>
  </cols>
  <sheetData>
    <row r="1" ht="38.25" customHeight="1">
      <c r="T1" s="425"/>
    </row>
    <row r="2" spans="2:20" s="426" customFormat="1" ht="40.5" customHeight="1">
      <c r="B2" s="427" t="str">
        <f>'TOT-1012'!B2</f>
        <v>ANEXO V al Memorándum  D.T.E.E.  N°         /2013</v>
      </c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</row>
    <row r="3" spans="1:2" s="430" customFormat="1" ht="11.25" customHeight="1">
      <c r="A3" s="428" t="s">
        <v>3</v>
      </c>
      <c r="B3" s="429"/>
    </row>
    <row r="4" spans="1:4" s="430" customFormat="1" ht="11.25" customHeight="1">
      <c r="A4" s="428" t="s">
        <v>4</v>
      </c>
      <c r="B4" s="429"/>
      <c r="D4" s="431"/>
    </row>
    <row r="5" spans="1:4" ht="10.5" customHeight="1">
      <c r="A5" s="432"/>
      <c r="D5" s="433"/>
    </row>
    <row r="6" spans="1:20" ht="26.25">
      <c r="A6" s="432"/>
      <c r="B6" s="434" t="s">
        <v>161</v>
      </c>
      <c r="C6" s="435"/>
      <c r="D6" s="433"/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</row>
    <row r="7" spans="1:4" ht="18.75" customHeight="1">
      <c r="A7" s="432"/>
      <c r="D7" s="433"/>
    </row>
    <row r="8" spans="1:20" ht="26.25">
      <c r="A8" s="432"/>
      <c r="B8" s="436" t="s">
        <v>1</v>
      </c>
      <c r="C8" s="435"/>
      <c r="D8" s="433"/>
      <c r="E8" s="435"/>
      <c r="F8" s="435"/>
      <c r="G8" s="435"/>
      <c r="H8" s="435"/>
      <c r="I8" s="435"/>
      <c r="J8" s="435"/>
      <c r="K8" s="435"/>
      <c r="L8" s="435"/>
      <c r="M8" s="435"/>
      <c r="N8" s="435"/>
      <c r="O8" s="435"/>
      <c r="P8" s="435"/>
      <c r="Q8" s="435"/>
      <c r="R8" s="435"/>
      <c r="S8" s="435"/>
      <c r="T8" s="435"/>
    </row>
    <row r="9" spans="1:4" ht="18.75" customHeight="1">
      <c r="A9" s="432"/>
      <c r="D9" s="433"/>
    </row>
    <row r="10" spans="1:20" ht="26.25">
      <c r="A10" s="432"/>
      <c r="B10" s="436" t="s">
        <v>162</v>
      </c>
      <c r="C10" s="435"/>
      <c r="D10" s="433"/>
      <c r="E10" s="435"/>
      <c r="F10" s="435"/>
      <c r="G10" s="435"/>
      <c r="H10" s="435"/>
      <c r="I10" s="435"/>
      <c r="J10" s="435"/>
      <c r="K10" s="435"/>
      <c r="L10" s="435"/>
      <c r="M10" s="435"/>
      <c r="N10" s="435"/>
      <c r="O10" s="435"/>
      <c r="P10" s="435"/>
      <c r="Q10" s="435"/>
      <c r="R10" s="435"/>
      <c r="S10" s="435"/>
      <c r="T10" s="435"/>
    </row>
    <row r="11" ht="18.75" customHeight="1" thickBot="1"/>
    <row r="12" spans="2:20" ht="18.75" customHeight="1" thickTop="1">
      <c r="B12" s="437"/>
      <c r="C12" s="438"/>
      <c r="D12" s="439"/>
      <c r="E12" s="439"/>
      <c r="F12" s="439"/>
      <c r="G12" s="438"/>
      <c r="H12" s="438"/>
      <c r="I12" s="438"/>
      <c r="J12" s="438"/>
      <c r="K12" s="438"/>
      <c r="L12" s="438"/>
      <c r="M12" s="438"/>
      <c r="N12" s="438"/>
      <c r="O12" s="438"/>
      <c r="P12" s="438"/>
      <c r="Q12" s="438"/>
      <c r="R12" s="438"/>
      <c r="S12" s="438"/>
      <c r="T12" s="440"/>
    </row>
    <row r="13" spans="2:20" ht="30" customHeight="1">
      <c r="B13" s="441" t="s">
        <v>176</v>
      </c>
      <c r="C13" s="435"/>
      <c r="D13" s="442"/>
      <c r="E13" s="442"/>
      <c r="F13" s="442"/>
      <c r="G13" s="443"/>
      <c r="H13" s="443"/>
      <c r="I13" s="443"/>
      <c r="J13" s="443"/>
      <c r="K13" s="443"/>
      <c r="L13" s="443"/>
      <c r="M13" s="443"/>
      <c r="N13" s="443"/>
      <c r="O13" s="443"/>
      <c r="P13" s="443"/>
      <c r="Q13" s="443"/>
      <c r="R13" s="443"/>
      <c r="S13" s="443"/>
      <c r="T13" s="444"/>
    </row>
    <row r="14" spans="2:20" ht="18.75" customHeight="1" thickBot="1">
      <c r="B14" s="445"/>
      <c r="C14" s="446"/>
      <c r="D14" s="447"/>
      <c r="E14" s="447"/>
      <c r="F14" s="448"/>
      <c r="G14" s="449"/>
      <c r="H14" s="449"/>
      <c r="I14" s="449"/>
      <c r="J14" s="449"/>
      <c r="K14" s="449"/>
      <c r="L14" s="449"/>
      <c r="M14" s="449"/>
      <c r="N14" s="449"/>
      <c r="O14" s="449"/>
      <c r="P14" s="449"/>
      <c r="Q14" s="449"/>
      <c r="R14" s="449"/>
      <c r="S14" s="449"/>
      <c r="T14" s="450"/>
    </row>
    <row r="15" spans="1:20" s="458" customFormat="1" ht="34.5" customHeight="1" thickBot="1" thickTop="1">
      <c r="A15" s="451"/>
      <c r="B15" s="452"/>
      <c r="C15" s="453"/>
      <c r="D15" s="453" t="s">
        <v>163</v>
      </c>
      <c r="E15" s="454" t="s">
        <v>21</v>
      </c>
      <c r="F15" s="455" t="s">
        <v>22</v>
      </c>
      <c r="G15" s="456">
        <v>40817</v>
      </c>
      <c r="H15" s="456">
        <v>40848</v>
      </c>
      <c r="I15" s="456">
        <v>40878</v>
      </c>
      <c r="J15" s="456">
        <v>40909</v>
      </c>
      <c r="K15" s="456">
        <v>40940</v>
      </c>
      <c r="L15" s="456">
        <v>40969</v>
      </c>
      <c r="M15" s="456">
        <v>41000</v>
      </c>
      <c r="N15" s="456">
        <v>41030</v>
      </c>
      <c r="O15" s="456">
        <v>41061</v>
      </c>
      <c r="P15" s="456">
        <v>41091</v>
      </c>
      <c r="Q15" s="456">
        <v>41122</v>
      </c>
      <c r="R15" s="456">
        <v>41153</v>
      </c>
      <c r="S15" s="456">
        <v>41183</v>
      </c>
      <c r="T15" s="457"/>
    </row>
    <row r="16" spans="2:20" s="458" customFormat="1" ht="24.75" customHeight="1" thickTop="1">
      <c r="B16" s="459"/>
      <c r="C16" s="501"/>
      <c r="D16" s="460"/>
      <c r="E16" s="460"/>
      <c r="F16" s="461"/>
      <c r="G16" s="462"/>
      <c r="H16" s="462"/>
      <c r="I16" s="462"/>
      <c r="J16" s="462"/>
      <c r="K16" s="462"/>
      <c r="L16" s="462"/>
      <c r="M16" s="462"/>
      <c r="N16" s="462"/>
      <c r="O16" s="462"/>
      <c r="P16" s="462"/>
      <c r="Q16" s="462"/>
      <c r="R16" s="462"/>
      <c r="S16" s="463"/>
      <c r="T16" s="457"/>
    </row>
    <row r="17" spans="2:20" s="458" customFormat="1" ht="24.75" customHeight="1">
      <c r="B17" s="459"/>
      <c r="C17" s="502">
        <f>IF('[2]Tasa de Falla'!C17=0,"",'[2]Tasa de Falla'!C17)</f>
        <v>1</v>
      </c>
      <c r="D17" s="502" t="str">
        <f>IF('[2]Tasa de Falla'!D17=0,"",'[2]Tasa de Falla'!D17)</f>
        <v>AGUA DEL TORO - CRUZ DE PIEDRA</v>
      </c>
      <c r="E17" s="502">
        <f>IF('[2]Tasa de Falla'!E17=0,"",'[2]Tasa de Falla'!E17)</f>
        <v>220</v>
      </c>
      <c r="F17" s="503">
        <f>IF('[2]Tasa de Falla'!F17=0,"",'[2]Tasa de Falla'!F17)</f>
        <v>177.87</v>
      </c>
      <c r="G17" s="464">
        <f>IF('[2]Tasa de Falla'!GT17="","",'[2]Tasa de Falla'!GT17)</f>
      </c>
      <c r="H17" s="464">
        <f>IF('[2]Tasa de Falla'!GU17="","",'[2]Tasa de Falla'!GU17)</f>
      </c>
      <c r="I17" s="464">
        <f>IF('[2]Tasa de Falla'!GV17="","",'[2]Tasa de Falla'!GV17)</f>
      </c>
      <c r="J17" s="464">
        <f>IF('[2]Tasa de Falla'!GW17="","",'[2]Tasa de Falla'!GW17)</f>
      </c>
      <c r="K17" s="464">
        <f>IF('[2]Tasa de Falla'!GX17="","",'[2]Tasa de Falla'!GX17)</f>
      </c>
      <c r="L17" s="464">
        <f>IF('[2]Tasa de Falla'!GY17="","",'[2]Tasa de Falla'!GY17)</f>
      </c>
      <c r="M17" s="464">
        <f>IF('[2]Tasa de Falla'!GZ17="","",'[2]Tasa de Falla'!GZ17)</f>
      </c>
      <c r="N17" s="464">
        <f>IF('[2]Tasa de Falla'!HA17="","",'[2]Tasa de Falla'!HA17)</f>
      </c>
      <c r="O17" s="464">
        <f>IF('[2]Tasa de Falla'!HB17="","",'[2]Tasa de Falla'!HB17)</f>
      </c>
      <c r="P17" s="464">
        <f>IF('[2]Tasa de Falla'!HC17="","",'[2]Tasa de Falla'!HC17)</f>
      </c>
      <c r="Q17" s="464">
        <f>IF('[2]Tasa de Falla'!HD17="","",'[2]Tasa de Falla'!HD17)</f>
      </c>
      <c r="R17" s="464">
        <f>IF('[2]Tasa de Falla'!HE17="","",'[2]Tasa de Falla'!HE17)</f>
      </c>
      <c r="S17" s="461"/>
      <c r="T17" s="457"/>
    </row>
    <row r="18" spans="2:20" s="458" customFormat="1" ht="24.75" customHeight="1">
      <c r="B18" s="459"/>
      <c r="C18" s="502">
        <f>IF('[2]Tasa de Falla'!C18=0,"",'[2]Tasa de Falla'!C18)</f>
        <v>2</v>
      </c>
      <c r="D18" s="502" t="str">
        <f>IF('[2]Tasa de Falla'!D18=0,"",'[2]Tasa de Falla'!D18)</f>
        <v>AGUA DEL TORO - LOS REYUNOS</v>
      </c>
      <c r="E18" s="502">
        <f>IF('[2]Tasa de Falla'!E18=0,"",'[2]Tasa de Falla'!E18)</f>
        <v>220</v>
      </c>
      <c r="F18" s="503">
        <f>IF('[2]Tasa de Falla'!F18=0,"",'[2]Tasa de Falla'!F18)</f>
        <v>42.95</v>
      </c>
      <c r="G18" s="464">
        <f>IF('[2]Tasa de Falla'!GT18="","",'[2]Tasa de Falla'!GT18)</f>
      </c>
      <c r="H18" s="464">
        <f>IF('[2]Tasa de Falla'!GU18="","",'[2]Tasa de Falla'!GU18)</f>
      </c>
      <c r="I18" s="464">
        <f>IF('[2]Tasa de Falla'!GV18="","",'[2]Tasa de Falla'!GV18)</f>
        <v>1</v>
      </c>
      <c r="J18" s="464">
        <f>IF('[2]Tasa de Falla'!GW18="","",'[2]Tasa de Falla'!GW18)</f>
      </c>
      <c r="K18" s="464">
        <f>IF('[2]Tasa de Falla'!GX18="","",'[2]Tasa de Falla'!GX18)</f>
      </c>
      <c r="L18" s="464">
        <f>IF('[2]Tasa de Falla'!GY18="","",'[2]Tasa de Falla'!GY18)</f>
      </c>
      <c r="M18" s="464">
        <f>IF('[2]Tasa de Falla'!GZ18="","",'[2]Tasa de Falla'!GZ18)</f>
      </c>
      <c r="N18" s="464">
        <f>IF('[2]Tasa de Falla'!HA18="","",'[2]Tasa de Falla'!HA18)</f>
      </c>
      <c r="O18" s="464">
        <f>IF('[2]Tasa de Falla'!HB18="","",'[2]Tasa de Falla'!HB18)</f>
      </c>
      <c r="P18" s="464">
        <f>IF('[2]Tasa de Falla'!HC18="","",'[2]Tasa de Falla'!HC18)</f>
      </c>
      <c r="Q18" s="464">
        <f>IF('[2]Tasa de Falla'!HD18="","",'[2]Tasa de Falla'!HD18)</f>
      </c>
      <c r="R18" s="464">
        <f>IF('[2]Tasa de Falla'!HE18="","",'[2]Tasa de Falla'!HE18)</f>
      </c>
      <c r="S18" s="461"/>
      <c r="T18" s="457"/>
    </row>
    <row r="19" spans="2:20" s="458" customFormat="1" ht="24.75" customHeight="1">
      <c r="B19" s="459"/>
      <c r="C19" s="502">
        <f>IF('[2]Tasa de Falla'!C19=0,"",'[2]Tasa de Falla'!C19)</f>
        <v>3</v>
      </c>
      <c r="D19" s="502" t="str">
        <f>IF('[2]Tasa de Falla'!D19=0,"",'[2]Tasa de Falla'!D19)</f>
        <v>AGUA DEL TORO - NIHUIL II</v>
      </c>
      <c r="E19" s="502">
        <f>IF('[2]Tasa de Falla'!E19=0,"",'[2]Tasa de Falla'!E19)</f>
        <v>220</v>
      </c>
      <c r="F19" s="503">
        <f>IF('[2]Tasa de Falla'!F19=0,"",'[2]Tasa de Falla'!F19)</f>
        <v>53.49</v>
      </c>
      <c r="G19" s="464">
        <f>IF('[2]Tasa de Falla'!GT19="","",'[2]Tasa de Falla'!GT19)</f>
      </c>
      <c r="H19" s="464">
        <f>IF('[2]Tasa de Falla'!GU19="","",'[2]Tasa de Falla'!GU19)</f>
      </c>
      <c r="I19" s="464">
        <f>IF('[2]Tasa de Falla'!GV19="","",'[2]Tasa de Falla'!GV19)</f>
      </c>
      <c r="J19" s="464">
        <f>IF('[2]Tasa de Falla'!GW19="","",'[2]Tasa de Falla'!GW19)</f>
      </c>
      <c r="K19" s="464">
        <f>IF('[2]Tasa de Falla'!GX19="","",'[2]Tasa de Falla'!GX19)</f>
      </c>
      <c r="L19" s="464">
        <f>IF('[2]Tasa de Falla'!GY19="","",'[2]Tasa de Falla'!GY19)</f>
      </c>
      <c r="M19" s="464">
        <f>IF('[2]Tasa de Falla'!GZ19="","",'[2]Tasa de Falla'!GZ19)</f>
      </c>
      <c r="N19" s="464">
        <f>IF('[2]Tasa de Falla'!HA19="","",'[2]Tasa de Falla'!HA19)</f>
      </c>
      <c r="O19" s="464">
        <f>IF('[2]Tasa de Falla'!HB19="","",'[2]Tasa de Falla'!HB19)</f>
      </c>
      <c r="P19" s="464">
        <f>IF('[2]Tasa de Falla'!HC19="","",'[2]Tasa de Falla'!HC19)</f>
      </c>
      <c r="Q19" s="464">
        <f>IF('[2]Tasa de Falla'!HD19="","",'[2]Tasa de Falla'!HD19)</f>
      </c>
      <c r="R19" s="464">
        <f>IF('[2]Tasa de Falla'!HE19="","",'[2]Tasa de Falla'!HE19)</f>
      </c>
      <c r="S19" s="461"/>
      <c r="T19" s="457"/>
    </row>
    <row r="20" spans="2:20" s="458" customFormat="1" ht="24.75" customHeight="1">
      <c r="B20" s="459"/>
      <c r="C20" s="502">
        <f>IF('[2]Tasa de Falla'!C20=0,"",'[2]Tasa de Falla'!C20)</f>
        <v>4</v>
      </c>
      <c r="D20" s="502" t="str">
        <f>IF('[2]Tasa de Falla'!D20=0,"",'[2]Tasa de Falla'!D20)</f>
        <v>CRUZ DE PIEDRA - SAN JUAN</v>
      </c>
      <c r="E20" s="502">
        <f>IF('[2]Tasa de Falla'!E20=0,"",'[2]Tasa de Falla'!E20)</f>
        <v>220</v>
      </c>
      <c r="F20" s="503">
        <f>IF('[2]Tasa de Falla'!F20=0,"",'[2]Tasa de Falla'!F20)</f>
        <v>171.6</v>
      </c>
      <c r="G20" s="464">
        <f>IF('[2]Tasa de Falla'!GT20="","",'[2]Tasa de Falla'!GT20)</f>
      </c>
      <c r="H20" s="464">
        <f>IF('[2]Tasa de Falla'!GU20="","",'[2]Tasa de Falla'!GU20)</f>
      </c>
      <c r="I20" s="464">
        <f>IF('[2]Tasa de Falla'!GV20="","",'[2]Tasa de Falla'!GV20)</f>
      </c>
      <c r="J20" s="464">
        <f>IF('[2]Tasa de Falla'!GW20="","",'[2]Tasa de Falla'!GW20)</f>
      </c>
      <c r="K20" s="464">
        <f>IF('[2]Tasa de Falla'!GX20="","",'[2]Tasa de Falla'!GX20)</f>
      </c>
      <c r="L20" s="464">
        <f>IF('[2]Tasa de Falla'!GY20="","",'[2]Tasa de Falla'!GY20)</f>
        <v>1</v>
      </c>
      <c r="M20" s="464">
        <f>IF('[2]Tasa de Falla'!GZ20="","",'[2]Tasa de Falla'!GZ20)</f>
      </c>
      <c r="N20" s="464">
        <f>IF('[2]Tasa de Falla'!HA20="","",'[2]Tasa de Falla'!HA20)</f>
      </c>
      <c r="O20" s="464">
        <f>IF('[2]Tasa de Falla'!HB20="","",'[2]Tasa de Falla'!HB20)</f>
      </c>
      <c r="P20" s="464">
        <f>IF('[2]Tasa de Falla'!HC20="","",'[2]Tasa de Falla'!HC20)</f>
      </c>
      <c r="Q20" s="464">
        <f>IF('[2]Tasa de Falla'!HD20="","",'[2]Tasa de Falla'!HD20)</f>
      </c>
      <c r="R20" s="464">
        <f>IF('[2]Tasa de Falla'!HE20="","",'[2]Tasa de Falla'!HE20)</f>
      </c>
      <c r="S20" s="461"/>
      <c r="T20" s="457"/>
    </row>
    <row r="21" spans="2:20" s="458" customFormat="1" ht="24.75" customHeight="1">
      <c r="B21" s="459"/>
      <c r="C21" s="502">
        <f>IF('[2]Tasa de Falla'!C21=0,"",'[2]Tasa de Falla'!C21)</f>
        <v>5</v>
      </c>
      <c r="D21" s="502" t="str">
        <f>IF('[2]Tasa de Falla'!D21=0,"",'[2]Tasa de Falla'!D21)</f>
        <v>LOS REYUNOS - GRAN MENDOZA</v>
      </c>
      <c r="E21" s="502">
        <f>IF('[2]Tasa de Falla'!E21=0,"",'[2]Tasa de Falla'!E21)</f>
        <v>220</v>
      </c>
      <c r="F21" s="503">
        <f>IF('[2]Tasa de Falla'!F21=0,"",'[2]Tasa de Falla'!F21)</f>
        <v>188.32</v>
      </c>
      <c r="G21" s="464">
        <f>IF('[2]Tasa de Falla'!GT21="","",'[2]Tasa de Falla'!GT21)</f>
      </c>
      <c r="H21" s="464">
        <f>IF('[2]Tasa de Falla'!GU21="","",'[2]Tasa de Falla'!GU21)</f>
      </c>
      <c r="I21" s="464">
        <f>IF('[2]Tasa de Falla'!GV21="","",'[2]Tasa de Falla'!GV21)</f>
      </c>
      <c r="J21" s="464">
        <f>IF('[2]Tasa de Falla'!GW21="","",'[2]Tasa de Falla'!GW21)</f>
      </c>
      <c r="K21" s="464">
        <f>IF('[2]Tasa de Falla'!GX21="","",'[2]Tasa de Falla'!GX21)</f>
      </c>
      <c r="L21" s="464">
        <f>IF('[2]Tasa de Falla'!GY21="","",'[2]Tasa de Falla'!GY21)</f>
      </c>
      <c r="M21" s="464">
        <f>IF('[2]Tasa de Falla'!GZ21="","",'[2]Tasa de Falla'!GZ21)</f>
      </c>
      <c r="N21" s="464">
        <f>IF('[2]Tasa de Falla'!HA21="","",'[2]Tasa de Falla'!HA21)</f>
      </c>
      <c r="O21" s="464">
        <f>IF('[2]Tasa de Falla'!HB21="","",'[2]Tasa de Falla'!HB21)</f>
      </c>
      <c r="P21" s="464">
        <f>IF('[2]Tasa de Falla'!HC21="","",'[2]Tasa de Falla'!HC21)</f>
        <v>1</v>
      </c>
      <c r="Q21" s="464">
        <f>IF('[2]Tasa de Falla'!HD21="","",'[2]Tasa de Falla'!HD21)</f>
      </c>
      <c r="R21" s="464">
        <f>IF('[2]Tasa de Falla'!HE21="","",'[2]Tasa de Falla'!HE21)</f>
      </c>
      <c r="S21" s="461"/>
      <c r="T21" s="457"/>
    </row>
    <row r="22" spans="2:20" s="458" customFormat="1" ht="24.75" customHeight="1">
      <c r="B22" s="459"/>
      <c r="C22" s="502">
        <f>IF('[2]Tasa de Falla'!C22=0,"",'[2]Tasa de Falla'!C22)</f>
        <v>6</v>
      </c>
      <c r="D22" s="502" t="str">
        <f>IF('[2]Tasa de Falla'!D22=0,"",'[2]Tasa de Falla'!D22)</f>
        <v>CRUZ DE PIEDRA - CAÑADA HONDA</v>
      </c>
      <c r="E22" s="502">
        <f>IF('[2]Tasa de Falla'!E22=0,"",'[2]Tasa de Falla'!E22)</f>
        <v>132</v>
      </c>
      <c r="F22" s="503">
        <f>IF('[2]Tasa de Falla'!F22=0,"",'[2]Tasa de Falla'!F22)</f>
        <v>125.8</v>
      </c>
      <c r="G22" s="464">
        <f>IF('[2]Tasa de Falla'!GT22="","",'[2]Tasa de Falla'!GT22)</f>
      </c>
      <c r="H22" s="464">
        <f>IF('[2]Tasa de Falla'!GU22="","",'[2]Tasa de Falla'!GU22)</f>
      </c>
      <c r="I22" s="464">
        <f>IF('[2]Tasa de Falla'!GV22="","",'[2]Tasa de Falla'!GV22)</f>
      </c>
      <c r="J22" s="464">
        <f>IF('[2]Tasa de Falla'!GW22="","",'[2]Tasa de Falla'!GW22)</f>
      </c>
      <c r="K22" s="464">
        <f>IF('[2]Tasa de Falla'!GX22="","",'[2]Tasa de Falla'!GX22)</f>
      </c>
      <c r="L22" s="464">
        <f>IF('[2]Tasa de Falla'!GY22="","",'[2]Tasa de Falla'!GY22)</f>
      </c>
      <c r="M22" s="464">
        <f>IF('[2]Tasa de Falla'!GZ22="","",'[2]Tasa de Falla'!GZ22)</f>
      </c>
      <c r="N22" s="464">
        <f>IF('[2]Tasa de Falla'!HA22="","",'[2]Tasa de Falla'!HA22)</f>
      </c>
      <c r="O22" s="464">
        <f>IF('[2]Tasa de Falla'!HB22="","",'[2]Tasa de Falla'!HB22)</f>
      </c>
      <c r="P22" s="464">
        <f>IF('[2]Tasa de Falla'!HC22="","",'[2]Tasa de Falla'!HC22)</f>
      </c>
      <c r="Q22" s="464">
        <f>IF('[2]Tasa de Falla'!HD22="","",'[2]Tasa de Falla'!HD22)</f>
      </c>
      <c r="R22" s="464">
        <f>IF('[2]Tasa de Falla'!HE22="","",'[2]Tasa de Falla'!HE22)</f>
        <v>1</v>
      </c>
      <c r="S22" s="461"/>
      <c r="T22" s="457"/>
    </row>
    <row r="23" spans="2:20" s="458" customFormat="1" ht="24.75" customHeight="1">
      <c r="B23" s="459"/>
      <c r="C23" s="502">
        <f>IF('[2]Tasa de Falla'!C23=0,"",'[2]Tasa de Falla'!C23)</f>
        <v>7</v>
      </c>
      <c r="D23" s="502" t="str">
        <f>IF('[2]Tasa de Falla'!D23=0,"",'[2]Tasa de Falla'!D23)</f>
        <v>ANCHORIS - CAPIZ</v>
      </c>
      <c r="E23" s="502">
        <f>IF('[2]Tasa de Falla'!E23=0,"",'[2]Tasa de Falla'!E23)</f>
        <v>132</v>
      </c>
      <c r="F23" s="503">
        <f>IF('[2]Tasa de Falla'!F23=0,"",'[2]Tasa de Falla'!F23)</f>
        <v>41.95</v>
      </c>
      <c r="G23" s="464">
        <f>IF('[2]Tasa de Falla'!GT23="","",'[2]Tasa de Falla'!GT23)</f>
      </c>
      <c r="H23" s="464">
        <f>IF('[2]Tasa de Falla'!GU23="","",'[2]Tasa de Falla'!GU23)</f>
      </c>
      <c r="I23" s="464">
        <f>IF('[2]Tasa de Falla'!GV23="","",'[2]Tasa de Falla'!GV23)</f>
      </c>
      <c r="J23" s="464">
        <f>IF('[2]Tasa de Falla'!GW23="","",'[2]Tasa de Falla'!GW23)</f>
      </c>
      <c r="K23" s="464">
        <f>IF('[2]Tasa de Falla'!GX23="","",'[2]Tasa de Falla'!GX23)</f>
      </c>
      <c r="L23" s="464">
        <f>IF('[2]Tasa de Falla'!GY23="","",'[2]Tasa de Falla'!GY23)</f>
      </c>
      <c r="M23" s="464">
        <f>IF('[2]Tasa de Falla'!GZ23="","",'[2]Tasa de Falla'!GZ23)</f>
      </c>
      <c r="N23" s="464">
        <f>IF('[2]Tasa de Falla'!HA23="","",'[2]Tasa de Falla'!HA23)</f>
        <v>1</v>
      </c>
      <c r="O23" s="464">
        <f>IF('[2]Tasa de Falla'!HB23="","",'[2]Tasa de Falla'!HB23)</f>
      </c>
      <c r="P23" s="464">
        <f>IF('[2]Tasa de Falla'!HC23="","",'[2]Tasa de Falla'!HC23)</f>
      </c>
      <c r="Q23" s="464">
        <f>IF('[2]Tasa de Falla'!HD23="","",'[2]Tasa de Falla'!HD23)</f>
        <v>1</v>
      </c>
      <c r="R23" s="464">
        <f>IF('[2]Tasa de Falla'!HE23="","",'[2]Tasa de Falla'!HE23)</f>
      </c>
      <c r="S23" s="461"/>
      <c r="T23" s="457"/>
    </row>
    <row r="24" spans="2:20" s="458" customFormat="1" ht="24.75" customHeight="1">
      <c r="B24" s="459"/>
      <c r="C24" s="502">
        <f>IF('[2]Tasa de Falla'!C24=0,"",'[2]Tasa de Falla'!C24)</f>
        <v>8</v>
      </c>
      <c r="D24" s="502" t="str">
        <f>IF('[2]Tasa de Falla'!D24=0,"",'[2]Tasa de Falla'!D24)</f>
        <v>ANCHORIS - CRUZ DE PIEDRA</v>
      </c>
      <c r="E24" s="502">
        <f>IF('[2]Tasa de Falla'!E24=0,"",'[2]Tasa de Falla'!E24)</f>
        <v>132</v>
      </c>
      <c r="F24" s="503">
        <f>IF('[2]Tasa de Falla'!F24=0,"",'[2]Tasa de Falla'!F24)</f>
        <v>33.5</v>
      </c>
      <c r="G24" s="464">
        <f>IF('[2]Tasa de Falla'!GT24="","",'[2]Tasa de Falla'!GT24)</f>
      </c>
      <c r="H24" s="464">
        <f>IF('[2]Tasa de Falla'!GU24="","",'[2]Tasa de Falla'!GU24)</f>
      </c>
      <c r="I24" s="464">
        <f>IF('[2]Tasa de Falla'!GV24="","",'[2]Tasa de Falla'!GV24)</f>
      </c>
      <c r="J24" s="464">
        <f>IF('[2]Tasa de Falla'!GW24="","",'[2]Tasa de Falla'!GW24)</f>
      </c>
      <c r="K24" s="464">
        <f>IF('[2]Tasa de Falla'!GX24="","",'[2]Tasa de Falla'!GX24)</f>
      </c>
      <c r="L24" s="464">
        <f>IF('[2]Tasa de Falla'!GY24="","",'[2]Tasa de Falla'!GY24)</f>
      </c>
      <c r="M24" s="464">
        <f>IF('[2]Tasa de Falla'!GZ24="","",'[2]Tasa de Falla'!GZ24)</f>
      </c>
      <c r="N24" s="464">
        <f>IF('[2]Tasa de Falla'!HA24="","",'[2]Tasa de Falla'!HA24)</f>
      </c>
      <c r="O24" s="464">
        <f>IF('[2]Tasa de Falla'!HB24="","",'[2]Tasa de Falla'!HB24)</f>
      </c>
      <c r="P24" s="464">
        <f>IF('[2]Tasa de Falla'!HC24="","",'[2]Tasa de Falla'!HC24)</f>
      </c>
      <c r="Q24" s="464">
        <f>IF('[2]Tasa de Falla'!HD24="","",'[2]Tasa de Falla'!HD24)</f>
      </c>
      <c r="R24" s="464">
        <f>IF('[2]Tasa de Falla'!HE24="","",'[2]Tasa de Falla'!HE24)</f>
      </c>
      <c r="S24" s="461"/>
      <c r="T24" s="457"/>
    </row>
    <row r="25" spans="2:20" s="458" customFormat="1" ht="24.75" customHeight="1">
      <c r="B25" s="459"/>
      <c r="C25" s="502">
        <f>IF('[2]Tasa de Falla'!C25=0,"",'[2]Tasa de Falla'!C25)</f>
        <v>9</v>
      </c>
      <c r="D25" s="502" t="str">
        <f>IF('[2]Tasa de Falla'!D25=0,"",'[2]Tasa de Falla'!D25)</f>
        <v>ANCHORIZ -Deriv."T" a LC 35-B.R.Tunuyan</v>
      </c>
      <c r="E25" s="502">
        <f>IF('[2]Tasa de Falla'!E25=0,"",'[2]Tasa de Falla'!E25)</f>
        <v>132</v>
      </c>
      <c r="F25" s="503">
        <f>IF('[2]Tasa de Falla'!F25=0,"",'[2]Tasa de Falla'!F25)</f>
        <v>52.86</v>
      </c>
      <c r="G25" s="464">
        <f>IF('[2]Tasa de Falla'!GT25="","",'[2]Tasa de Falla'!GT25)</f>
      </c>
      <c r="H25" s="464">
        <f>IF('[2]Tasa de Falla'!GU25="","",'[2]Tasa de Falla'!GU25)</f>
      </c>
      <c r="I25" s="464">
        <f>IF('[2]Tasa de Falla'!GV25="","",'[2]Tasa de Falla'!GV25)</f>
      </c>
      <c r="J25" s="464">
        <f>IF('[2]Tasa de Falla'!GW25="","",'[2]Tasa de Falla'!GW25)</f>
      </c>
      <c r="K25" s="464">
        <f>IF('[2]Tasa de Falla'!GX25="","",'[2]Tasa de Falla'!GX25)</f>
      </c>
      <c r="L25" s="464">
        <f>IF('[2]Tasa de Falla'!GY25="","",'[2]Tasa de Falla'!GY25)</f>
      </c>
      <c r="M25" s="464">
        <f>IF('[2]Tasa de Falla'!GZ25="","",'[2]Tasa de Falla'!GZ25)</f>
      </c>
      <c r="N25" s="464">
        <f>IF('[2]Tasa de Falla'!HA25="","",'[2]Tasa de Falla'!HA25)</f>
      </c>
      <c r="O25" s="464">
        <f>IF('[2]Tasa de Falla'!HB25="","",'[2]Tasa de Falla'!HB25)</f>
        <v>1</v>
      </c>
      <c r="P25" s="464">
        <f>IF('[2]Tasa de Falla'!HC25="","",'[2]Tasa de Falla'!HC25)</f>
      </c>
      <c r="Q25" s="464">
        <f>IF('[2]Tasa de Falla'!HD25="","",'[2]Tasa de Falla'!HD25)</f>
      </c>
      <c r="R25" s="464">
        <f>IF('[2]Tasa de Falla'!HE25="","",'[2]Tasa de Falla'!HE25)</f>
      </c>
      <c r="S25" s="461"/>
      <c r="T25" s="457"/>
    </row>
    <row r="26" spans="2:20" s="458" customFormat="1" ht="24.75" customHeight="1">
      <c r="B26" s="459"/>
      <c r="C26" s="502">
        <f>IF('[2]Tasa de Falla'!C26=0,"",'[2]Tasa de Falla'!C26)</f>
        <v>10</v>
      </c>
      <c r="D26" s="502" t="str">
        <f>IF('[2]Tasa de Falla'!D26=0,"",'[2]Tasa de Falla'!D26)</f>
        <v>CAPIZ - PEDRO VARGAS</v>
      </c>
      <c r="E26" s="502">
        <f>IF('[2]Tasa de Falla'!E26=0,"",'[2]Tasa de Falla'!E26)</f>
        <v>132</v>
      </c>
      <c r="F26" s="503">
        <f>IF('[2]Tasa de Falla'!F26=0,"",'[2]Tasa de Falla'!F26)</f>
        <v>122.13</v>
      </c>
      <c r="G26" s="464">
        <f>IF('[2]Tasa de Falla'!GT26="","",'[2]Tasa de Falla'!GT26)</f>
      </c>
      <c r="H26" s="464">
        <f>IF('[2]Tasa de Falla'!GU26="","",'[2]Tasa de Falla'!GU26)</f>
        <v>1</v>
      </c>
      <c r="I26" s="464">
        <f>IF('[2]Tasa de Falla'!GV26="","",'[2]Tasa de Falla'!GV26)</f>
      </c>
      <c r="J26" s="464">
        <f>IF('[2]Tasa de Falla'!GW26="","",'[2]Tasa de Falla'!GW26)</f>
      </c>
      <c r="K26" s="464">
        <f>IF('[2]Tasa de Falla'!GX26="","",'[2]Tasa de Falla'!GX26)</f>
      </c>
      <c r="L26" s="464">
        <f>IF('[2]Tasa de Falla'!GY26="","",'[2]Tasa de Falla'!GY26)</f>
      </c>
      <c r="M26" s="464">
        <f>IF('[2]Tasa de Falla'!GZ26="","",'[2]Tasa de Falla'!GZ26)</f>
      </c>
      <c r="N26" s="464">
        <f>IF('[2]Tasa de Falla'!HA26="","",'[2]Tasa de Falla'!HA26)</f>
        <v>1</v>
      </c>
      <c r="O26" s="464">
        <f>IF('[2]Tasa de Falla'!HB26="","",'[2]Tasa de Falla'!HB26)</f>
      </c>
      <c r="P26" s="464">
        <f>IF('[2]Tasa de Falla'!HC26="","",'[2]Tasa de Falla'!HC26)</f>
      </c>
      <c r="Q26" s="464">
        <f>IF('[2]Tasa de Falla'!HD26="","",'[2]Tasa de Falla'!HD26)</f>
      </c>
      <c r="R26" s="464">
        <f>IF('[2]Tasa de Falla'!HE26="","",'[2]Tasa de Falla'!HE26)</f>
      </c>
      <c r="S26" s="461"/>
      <c r="T26" s="457"/>
    </row>
    <row r="27" spans="2:20" s="458" customFormat="1" ht="24.75" customHeight="1">
      <c r="B27" s="459"/>
      <c r="C27" s="502">
        <f>IF('[2]Tasa de Falla'!C27=0,"",'[2]Tasa de Falla'!C27)</f>
        <v>11</v>
      </c>
      <c r="D27" s="502" t="str">
        <f>IF('[2]Tasa de Falla'!D27=0,"",'[2]Tasa de Falla'!D27)</f>
        <v>SAN RAFAEL - PEDRO VARGAS</v>
      </c>
      <c r="E27" s="502">
        <f>IF('[2]Tasa de Falla'!E27=0,"",'[2]Tasa de Falla'!E27)</f>
        <v>132</v>
      </c>
      <c r="F27" s="503">
        <f>IF('[2]Tasa de Falla'!F27=0,"",'[2]Tasa de Falla'!F27)</f>
        <v>15.59</v>
      </c>
      <c r="G27" s="464">
        <f>IF('[2]Tasa de Falla'!GT27="","",'[2]Tasa de Falla'!GT27)</f>
      </c>
      <c r="H27" s="464">
        <f>IF('[2]Tasa de Falla'!GU27="","",'[2]Tasa de Falla'!GU27)</f>
      </c>
      <c r="I27" s="464">
        <f>IF('[2]Tasa de Falla'!GV27="","",'[2]Tasa de Falla'!GV27)</f>
      </c>
      <c r="J27" s="464">
        <f>IF('[2]Tasa de Falla'!GW27="","",'[2]Tasa de Falla'!GW27)</f>
      </c>
      <c r="K27" s="464">
        <f>IF('[2]Tasa de Falla'!GX27="","",'[2]Tasa de Falla'!GX27)</f>
      </c>
      <c r="L27" s="464">
        <f>IF('[2]Tasa de Falla'!GY27="","",'[2]Tasa de Falla'!GY27)</f>
      </c>
      <c r="M27" s="464">
        <f>IF('[2]Tasa de Falla'!GZ27="","",'[2]Tasa de Falla'!GZ27)</f>
      </c>
      <c r="N27" s="464">
        <f>IF('[2]Tasa de Falla'!HA27="","",'[2]Tasa de Falla'!HA27)</f>
      </c>
      <c r="O27" s="464">
        <f>IF('[2]Tasa de Falla'!HB27="","",'[2]Tasa de Falla'!HB27)</f>
      </c>
      <c r="P27" s="464">
        <f>IF('[2]Tasa de Falla'!HC27="","",'[2]Tasa de Falla'!HC27)</f>
      </c>
      <c r="Q27" s="464">
        <f>IF('[2]Tasa de Falla'!HD27="","",'[2]Tasa de Falla'!HD27)</f>
      </c>
      <c r="R27" s="464">
        <f>IF('[2]Tasa de Falla'!HE27="","",'[2]Tasa de Falla'!HE27)</f>
      </c>
      <c r="S27" s="461"/>
      <c r="T27" s="457"/>
    </row>
    <row r="28" spans="2:20" s="458" customFormat="1" ht="24.75" customHeight="1">
      <c r="B28" s="459"/>
      <c r="C28" s="502">
        <f>IF('[2]Tasa de Falla'!C28=0,"",'[2]Tasa de Falla'!C28)</f>
        <v>12</v>
      </c>
      <c r="D28" s="502" t="str">
        <f>IF('[2]Tasa de Falla'!D28=0,"",'[2]Tasa de Falla'!D28)</f>
        <v>GRAN MENDOZA - MONTE CASEROS 1</v>
      </c>
      <c r="E28" s="502">
        <f>IF('[2]Tasa de Falla'!E28=0,"",'[2]Tasa de Falla'!E28)</f>
        <v>132</v>
      </c>
      <c r="F28" s="503">
        <f>IF('[2]Tasa de Falla'!F28=0,"",'[2]Tasa de Falla'!F28)</f>
        <v>19.06</v>
      </c>
      <c r="G28" s="464">
        <f>IF('[2]Tasa de Falla'!GT28="","",'[2]Tasa de Falla'!GT28)</f>
      </c>
      <c r="H28" s="464">
        <f>IF('[2]Tasa de Falla'!GU28="","",'[2]Tasa de Falla'!GU28)</f>
      </c>
      <c r="I28" s="464">
        <f>IF('[2]Tasa de Falla'!GV28="","",'[2]Tasa de Falla'!GV28)</f>
      </c>
      <c r="J28" s="464">
        <f>IF('[2]Tasa de Falla'!GW28="","",'[2]Tasa de Falla'!GW28)</f>
      </c>
      <c r="K28" s="464">
        <f>IF('[2]Tasa de Falla'!GX28="","",'[2]Tasa de Falla'!GX28)</f>
      </c>
      <c r="L28" s="464">
        <f>IF('[2]Tasa de Falla'!GY28="","",'[2]Tasa de Falla'!GY28)</f>
      </c>
      <c r="M28" s="464">
        <f>IF('[2]Tasa de Falla'!GZ28="","",'[2]Tasa de Falla'!GZ28)</f>
      </c>
      <c r="N28" s="464">
        <f>IF('[2]Tasa de Falla'!HA28="","",'[2]Tasa de Falla'!HA28)</f>
      </c>
      <c r="O28" s="464">
        <f>IF('[2]Tasa de Falla'!HB28="","",'[2]Tasa de Falla'!HB28)</f>
      </c>
      <c r="P28" s="464">
        <f>IF('[2]Tasa de Falla'!HC28="","",'[2]Tasa de Falla'!HC28)</f>
      </c>
      <c r="Q28" s="464">
        <f>IF('[2]Tasa de Falla'!HD28="","",'[2]Tasa de Falla'!HD28)</f>
      </c>
      <c r="R28" s="464">
        <f>IF('[2]Tasa de Falla'!HE28="","",'[2]Tasa de Falla'!HE28)</f>
      </c>
      <c r="S28" s="461"/>
      <c r="T28" s="457"/>
    </row>
    <row r="29" spans="2:20" s="458" customFormat="1" ht="24.75" customHeight="1">
      <c r="B29" s="459"/>
      <c r="C29" s="502">
        <f>IF('[2]Tasa de Falla'!C29=0,"",'[2]Tasa de Falla'!C29)</f>
        <v>13</v>
      </c>
      <c r="D29" s="502" t="str">
        <f>IF('[2]Tasa de Falla'!D29=0,"",'[2]Tasa de Falla'!D29)</f>
        <v>GRAN MENDOZA - MONTE CASEROS 2</v>
      </c>
      <c r="E29" s="502">
        <f>IF('[2]Tasa de Falla'!E29=0,"",'[2]Tasa de Falla'!E29)</f>
        <v>132</v>
      </c>
      <c r="F29" s="503">
        <f>IF('[2]Tasa de Falla'!F29=0,"",'[2]Tasa de Falla'!F29)</f>
        <v>19.06</v>
      </c>
      <c r="G29" s="464">
        <f>IF('[2]Tasa de Falla'!GT29="","",'[2]Tasa de Falla'!GT29)</f>
      </c>
      <c r="H29" s="464">
        <f>IF('[2]Tasa de Falla'!GU29="","",'[2]Tasa de Falla'!GU29)</f>
      </c>
      <c r="I29" s="464">
        <f>IF('[2]Tasa de Falla'!GV29="","",'[2]Tasa de Falla'!GV29)</f>
      </c>
      <c r="J29" s="464">
        <f>IF('[2]Tasa de Falla'!GW29="","",'[2]Tasa de Falla'!GW29)</f>
      </c>
      <c r="K29" s="464">
        <f>IF('[2]Tasa de Falla'!GX29="","",'[2]Tasa de Falla'!GX29)</f>
      </c>
      <c r="L29" s="464">
        <f>IF('[2]Tasa de Falla'!GY29="","",'[2]Tasa de Falla'!GY29)</f>
      </c>
      <c r="M29" s="464">
        <f>IF('[2]Tasa de Falla'!GZ29="","",'[2]Tasa de Falla'!GZ29)</f>
      </c>
      <c r="N29" s="464">
        <f>IF('[2]Tasa de Falla'!HA29="","",'[2]Tasa de Falla'!HA29)</f>
      </c>
      <c r="O29" s="464">
        <f>IF('[2]Tasa de Falla'!HB29="","",'[2]Tasa de Falla'!HB29)</f>
      </c>
      <c r="P29" s="464">
        <f>IF('[2]Tasa de Falla'!HC29="","",'[2]Tasa de Falla'!HC29)</f>
      </c>
      <c r="Q29" s="464">
        <f>IF('[2]Tasa de Falla'!HD29="","",'[2]Tasa de Falla'!HD29)</f>
      </c>
      <c r="R29" s="464">
        <f>IF('[2]Tasa de Falla'!HE29="","",'[2]Tasa de Falla'!HE29)</f>
      </c>
      <c r="S29" s="461"/>
      <c r="T29" s="457"/>
    </row>
    <row r="30" spans="2:20" s="458" customFormat="1" ht="24.75" customHeight="1">
      <c r="B30" s="459"/>
      <c r="C30" s="502">
        <f>IF('[2]Tasa de Falla'!C30=0,"",'[2]Tasa de Falla'!C30)</f>
        <v>14</v>
      </c>
      <c r="D30" s="502" t="str">
        <f>IF('[2]Tasa de Falla'!D30=0,"",'[2]Tasa de Falla'!D30)</f>
        <v>CRUZ DE PIEDRA - GRAN MENDOZA 1</v>
      </c>
      <c r="E30" s="502">
        <f>IF('[2]Tasa de Falla'!E30=0,"",'[2]Tasa de Falla'!E30)</f>
        <v>132</v>
      </c>
      <c r="F30" s="503">
        <f>IF('[2]Tasa de Falla'!F30=0,"",'[2]Tasa de Falla'!F30)</f>
        <v>21.98</v>
      </c>
      <c r="G30" s="464">
        <f>IF('[2]Tasa de Falla'!GT30="","",'[2]Tasa de Falla'!GT30)</f>
      </c>
      <c r="H30" s="464">
        <f>IF('[2]Tasa de Falla'!GU30="","",'[2]Tasa de Falla'!GU30)</f>
      </c>
      <c r="I30" s="464">
        <f>IF('[2]Tasa de Falla'!GV30="","",'[2]Tasa de Falla'!GV30)</f>
      </c>
      <c r="J30" s="464">
        <f>IF('[2]Tasa de Falla'!GW30="","",'[2]Tasa de Falla'!GW30)</f>
      </c>
      <c r="K30" s="464">
        <f>IF('[2]Tasa de Falla'!GX30="","",'[2]Tasa de Falla'!GX30)</f>
      </c>
      <c r="L30" s="464">
        <f>IF('[2]Tasa de Falla'!GY30="","",'[2]Tasa de Falla'!GY30)</f>
      </c>
      <c r="M30" s="464">
        <f>IF('[2]Tasa de Falla'!GZ30="","",'[2]Tasa de Falla'!GZ30)</f>
      </c>
      <c r="N30" s="464">
        <f>IF('[2]Tasa de Falla'!HA30="","",'[2]Tasa de Falla'!HA30)</f>
      </c>
      <c r="O30" s="464">
        <f>IF('[2]Tasa de Falla'!HB30="","",'[2]Tasa de Falla'!HB30)</f>
      </c>
      <c r="P30" s="464">
        <f>IF('[2]Tasa de Falla'!HC30="","",'[2]Tasa de Falla'!HC30)</f>
      </c>
      <c r="Q30" s="464">
        <f>IF('[2]Tasa de Falla'!HD30="","",'[2]Tasa de Falla'!HD30)</f>
      </c>
      <c r="R30" s="464">
        <f>IF('[2]Tasa de Falla'!HE30="","",'[2]Tasa de Falla'!HE30)</f>
      </c>
      <c r="S30" s="461"/>
      <c r="T30" s="457"/>
    </row>
    <row r="31" spans="2:20" s="458" customFormat="1" ht="24.75" customHeight="1">
      <c r="B31" s="459"/>
      <c r="C31" s="502">
        <f>IF('[2]Tasa de Falla'!C31=0,"",'[2]Tasa de Falla'!C31)</f>
        <v>15</v>
      </c>
      <c r="D31" s="502" t="str">
        <f>IF('[2]Tasa de Falla'!D31=0,"",'[2]Tasa de Falla'!D31)</f>
        <v>CRUZ DE PIEDRA - GRAN MENDOZA 2</v>
      </c>
      <c r="E31" s="502">
        <f>IF('[2]Tasa de Falla'!E31=0,"",'[2]Tasa de Falla'!E31)</f>
        <v>132</v>
      </c>
      <c r="F31" s="503">
        <f>IF('[2]Tasa de Falla'!F31=0,"",'[2]Tasa de Falla'!F31)</f>
        <v>21.98</v>
      </c>
      <c r="G31" s="464">
        <f>IF('[2]Tasa de Falla'!GT31="","",'[2]Tasa de Falla'!GT31)</f>
      </c>
      <c r="H31" s="464">
        <f>IF('[2]Tasa de Falla'!GU31="","",'[2]Tasa de Falla'!GU31)</f>
      </c>
      <c r="I31" s="464">
        <f>IF('[2]Tasa de Falla'!GV31="","",'[2]Tasa de Falla'!GV31)</f>
      </c>
      <c r="J31" s="464">
        <f>IF('[2]Tasa de Falla'!GW31="","",'[2]Tasa de Falla'!GW31)</f>
      </c>
      <c r="K31" s="464">
        <f>IF('[2]Tasa de Falla'!GX31="","",'[2]Tasa de Falla'!GX31)</f>
      </c>
      <c r="L31" s="464">
        <f>IF('[2]Tasa de Falla'!GY31="","",'[2]Tasa de Falla'!GY31)</f>
      </c>
      <c r="M31" s="464">
        <f>IF('[2]Tasa de Falla'!GZ31="","",'[2]Tasa de Falla'!GZ31)</f>
      </c>
      <c r="N31" s="464">
        <f>IF('[2]Tasa de Falla'!HA31="","",'[2]Tasa de Falla'!HA31)</f>
      </c>
      <c r="O31" s="464">
        <f>IF('[2]Tasa de Falla'!HB31="","",'[2]Tasa de Falla'!HB31)</f>
      </c>
      <c r="P31" s="464">
        <f>IF('[2]Tasa de Falla'!HC31="","",'[2]Tasa de Falla'!HC31)</f>
      </c>
      <c r="Q31" s="464">
        <f>IF('[2]Tasa de Falla'!HD31="","",'[2]Tasa de Falla'!HD31)</f>
      </c>
      <c r="R31" s="464">
        <f>IF('[2]Tasa de Falla'!HE31="","",'[2]Tasa de Falla'!HE31)</f>
      </c>
      <c r="S31" s="461"/>
      <c r="T31" s="457"/>
    </row>
    <row r="32" spans="2:20" s="458" customFormat="1" ht="24.75" customHeight="1">
      <c r="B32" s="459"/>
      <c r="C32" s="502">
        <f>IF('[2]Tasa de Falla'!C32=0,"",'[2]Tasa de Falla'!C32)</f>
        <v>16</v>
      </c>
      <c r="D32" s="502" t="str">
        <f>IF('[2]Tasa de Falla'!D32=0,"",'[2]Tasa de Falla'!D32)</f>
        <v>CRUZ DE PIEDRA - SAN JUAN</v>
      </c>
      <c r="E32" s="502">
        <f>IF('[2]Tasa de Falla'!E32=0,"",'[2]Tasa de Falla'!E32)</f>
        <v>132</v>
      </c>
      <c r="F32" s="503">
        <f>IF('[2]Tasa de Falla'!F32=0,"",'[2]Tasa de Falla'!F32)</f>
        <v>180.18</v>
      </c>
      <c r="G32" s="464">
        <f>IF('[2]Tasa de Falla'!GT32="","",'[2]Tasa de Falla'!GT32)</f>
        <v>1</v>
      </c>
      <c r="H32" s="464">
        <f>IF('[2]Tasa de Falla'!GU32="","",'[2]Tasa de Falla'!GU32)</f>
      </c>
      <c r="I32" s="464">
        <f>IF('[2]Tasa de Falla'!GV32="","",'[2]Tasa de Falla'!GV32)</f>
        <v>1</v>
      </c>
      <c r="J32" s="464">
        <f>IF('[2]Tasa de Falla'!GW32="","",'[2]Tasa de Falla'!GW32)</f>
        <v>1</v>
      </c>
      <c r="K32" s="464">
        <f>IF('[2]Tasa de Falla'!GX32="","",'[2]Tasa de Falla'!GX32)</f>
      </c>
      <c r="L32" s="464">
        <f>IF('[2]Tasa de Falla'!GY32="","",'[2]Tasa de Falla'!GY32)</f>
      </c>
      <c r="M32" s="464">
        <f>IF('[2]Tasa de Falla'!GZ32="","",'[2]Tasa de Falla'!GZ32)</f>
      </c>
      <c r="N32" s="464">
        <f>IF('[2]Tasa de Falla'!HA32="","",'[2]Tasa de Falla'!HA32)</f>
      </c>
      <c r="O32" s="464">
        <f>IF('[2]Tasa de Falla'!HB32="","",'[2]Tasa de Falla'!HB32)</f>
      </c>
      <c r="P32" s="464">
        <f>IF('[2]Tasa de Falla'!HC32="","",'[2]Tasa de Falla'!HC32)</f>
      </c>
      <c r="Q32" s="464">
        <f>IF('[2]Tasa de Falla'!HD32="","",'[2]Tasa de Falla'!HD32)</f>
      </c>
      <c r="R32" s="464">
        <f>IF('[2]Tasa de Falla'!HE32="","",'[2]Tasa de Falla'!HE32)</f>
      </c>
      <c r="S32" s="461"/>
      <c r="T32" s="457"/>
    </row>
    <row r="33" spans="2:20" s="458" customFormat="1" ht="24.75" customHeight="1">
      <c r="B33" s="459"/>
      <c r="C33" s="502">
        <f>IF('[2]Tasa de Falla'!C33=0,"",'[2]Tasa de Falla'!C33)</f>
        <v>17</v>
      </c>
      <c r="D33" s="502" t="str">
        <f>IF('[2]Tasa de Falla'!D33=0,"",'[2]Tasa de Falla'!D33)</f>
        <v>CRUZ DE PIEDRA - LUJAN DE CUYO 1</v>
      </c>
      <c r="E33" s="502">
        <f>IF('[2]Tasa de Falla'!E33=0,"",'[2]Tasa de Falla'!E33)</f>
        <v>132</v>
      </c>
      <c r="F33" s="503">
        <f>IF('[2]Tasa de Falla'!F33=0,"",'[2]Tasa de Falla'!F33)</f>
        <v>18.08</v>
      </c>
      <c r="G33" s="464">
        <f>IF('[2]Tasa de Falla'!GT33="","",'[2]Tasa de Falla'!GT33)</f>
      </c>
      <c r="H33" s="464">
        <f>IF('[2]Tasa de Falla'!GU33="","",'[2]Tasa de Falla'!GU33)</f>
        <v>1</v>
      </c>
      <c r="I33" s="464">
        <f>IF('[2]Tasa de Falla'!GV33="","",'[2]Tasa de Falla'!GV33)</f>
      </c>
      <c r="J33" s="464">
        <f>IF('[2]Tasa de Falla'!GW33="","",'[2]Tasa de Falla'!GW33)</f>
      </c>
      <c r="K33" s="464">
        <f>IF('[2]Tasa de Falla'!GX33="","",'[2]Tasa de Falla'!GX33)</f>
      </c>
      <c r="L33" s="464">
        <f>IF('[2]Tasa de Falla'!GY33="","",'[2]Tasa de Falla'!GY33)</f>
      </c>
      <c r="M33" s="464">
        <f>IF('[2]Tasa de Falla'!GZ33="","",'[2]Tasa de Falla'!GZ33)</f>
      </c>
      <c r="N33" s="464">
        <f>IF('[2]Tasa de Falla'!HA33="","",'[2]Tasa de Falla'!HA33)</f>
      </c>
      <c r="O33" s="464">
        <f>IF('[2]Tasa de Falla'!HB33="","",'[2]Tasa de Falla'!HB33)</f>
      </c>
      <c r="P33" s="464">
        <f>IF('[2]Tasa de Falla'!HC33="","",'[2]Tasa de Falla'!HC33)</f>
      </c>
      <c r="Q33" s="464">
        <f>IF('[2]Tasa de Falla'!HD33="","",'[2]Tasa de Falla'!HD33)</f>
      </c>
      <c r="R33" s="464">
        <f>IF('[2]Tasa de Falla'!HE33="","",'[2]Tasa de Falla'!HE33)</f>
      </c>
      <c r="S33" s="461"/>
      <c r="T33" s="457"/>
    </row>
    <row r="34" spans="2:20" s="458" customFormat="1" ht="24.75" customHeight="1">
      <c r="B34" s="459"/>
      <c r="C34" s="502">
        <f>IF('[2]Tasa de Falla'!C34=0,"",'[2]Tasa de Falla'!C34)</f>
        <v>18</v>
      </c>
      <c r="D34" s="502" t="str">
        <f>IF('[2]Tasa de Falla'!D34=0,"",'[2]Tasa de Falla'!D34)</f>
        <v>CRUZ DE PIEDRA - LUJAN DE CUYO 2</v>
      </c>
      <c r="E34" s="502">
        <f>IF('[2]Tasa de Falla'!E34=0,"",'[2]Tasa de Falla'!E34)</f>
        <v>132</v>
      </c>
      <c r="F34" s="503">
        <f>IF('[2]Tasa de Falla'!F34=0,"",'[2]Tasa de Falla'!F34)</f>
        <v>18.08</v>
      </c>
      <c r="G34" s="464">
        <f>IF('[2]Tasa de Falla'!GT34="","",'[2]Tasa de Falla'!GT34)</f>
      </c>
      <c r="H34" s="464">
        <f>IF('[2]Tasa de Falla'!GU34="","",'[2]Tasa de Falla'!GU34)</f>
      </c>
      <c r="I34" s="464">
        <f>IF('[2]Tasa de Falla'!GV34="","",'[2]Tasa de Falla'!GV34)</f>
      </c>
      <c r="J34" s="464">
        <f>IF('[2]Tasa de Falla'!GW34="","",'[2]Tasa de Falla'!GW34)</f>
      </c>
      <c r="K34" s="464">
        <f>IF('[2]Tasa de Falla'!GX34="","",'[2]Tasa de Falla'!GX34)</f>
      </c>
      <c r="L34" s="464">
        <f>IF('[2]Tasa de Falla'!GY34="","",'[2]Tasa de Falla'!GY34)</f>
      </c>
      <c r="M34" s="464">
        <f>IF('[2]Tasa de Falla'!GZ34="","",'[2]Tasa de Falla'!GZ34)</f>
      </c>
      <c r="N34" s="464">
        <f>IF('[2]Tasa de Falla'!HA34="","",'[2]Tasa de Falla'!HA34)</f>
      </c>
      <c r="O34" s="464">
        <f>IF('[2]Tasa de Falla'!HB34="","",'[2]Tasa de Falla'!HB34)</f>
      </c>
      <c r="P34" s="464">
        <f>IF('[2]Tasa de Falla'!HC34="","",'[2]Tasa de Falla'!HC34)</f>
      </c>
      <c r="Q34" s="464">
        <f>IF('[2]Tasa de Falla'!HD34="","",'[2]Tasa de Falla'!HD34)</f>
      </c>
      <c r="R34" s="464">
        <f>IF('[2]Tasa de Falla'!HE34="","",'[2]Tasa de Falla'!HE34)</f>
      </c>
      <c r="S34" s="461"/>
      <c r="T34" s="457"/>
    </row>
    <row r="35" spans="2:20" s="458" customFormat="1" ht="24.75" customHeight="1">
      <c r="B35" s="459"/>
      <c r="C35" s="502">
        <f>IF('[2]Tasa de Falla'!C35=0,"",'[2]Tasa de Falla'!C35)</f>
        <v>19</v>
      </c>
      <c r="D35" s="502" t="str">
        <f>IF('[2]Tasa de Falla'!D35=0,"",'[2]Tasa de Falla'!D35)</f>
        <v>C.H. NIHUIL I - PEDRO VARGAS</v>
      </c>
      <c r="E35" s="502">
        <f>IF('[2]Tasa de Falla'!E35=0,"",'[2]Tasa de Falla'!E35)</f>
        <v>132</v>
      </c>
      <c r="F35" s="503">
        <f>IF('[2]Tasa de Falla'!F35=0,"",'[2]Tasa de Falla'!F35)</f>
        <v>46.45</v>
      </c>
      <c r="G35" s="464">
        <f>IF('[2]Tasa de Falla'!GT35="","",'[2]Tasa de Falla'!GT35)</f>
      </c>
      <c r="H35" s="464">
        <f>IF('[2]Tasa de Falla'!GU35="","",'[2]Tasa de Falla'!GU35)</f>
      </c>
      <c r="I35" s="464">
        <f>IF('[2]Tasa de Falla'!GV35="","",'[2]Tasa de Falla'!GV35)</f>
      </c>
      <c r="J35" s="464">
        <f>IF('[2]Tasa de Falla'!GW35="","",'[2]Tasa de Falla'!GW35)</f>
      </c>
      <c r="K35" s="464">
        <f>IF('[2]Tasa de Falla'!GX35="","",'[2]Tasa de Falla'!GX35)</f>
      </c>
      <c r="L35" s="464">
        <f>IF('[2]Tasa de Falla'!GY35="","",'[2]Tasa de Falla'!GY35)</f>
      </c>
      <c r="M35" s="464">
        <f>IF('[2]Tasa de Falla'!GZ35="","",'[2]Tasa de Falla'!GZ35)</f>
      </c>
      <c r="N35" s="464">
        <f>IF('[2]Tasa de Falla'!HA35="","",'[2]Tasa de Falla'!HA35)</f>
      </c>
      <c r="O35" s="464">
        <f>IF('[2]Tasa de Falla'!HB35="","",'[2]Tasa de Falla'!HB35)</f>
      </c>
      <c r="P35" s="464">
        <f>IF('[2]Tasa de Falla'!HC35="","",'[2]Tasa de Falla'!HC35)</f>
      </c>
      <c r="Q35" s="464">
        <f>IF('[2]Tasa de Falla'!HD35="","",'[2]Tasa de Falla'!HD35)</f>
      </c>
      <c r="R35" s="464">
        <f>IF('[2]Tasa de Falla'!HE35="","",'[2]Tasa de Falla'!HE35)</f>
      </c>
      <c r="S35" s="461"/>
      <c r="T35" s="457"/>
    </row>
    <row r="36" spans="2:20" s="458" customFormat="1" ht="24.75" customHeight="1">
      <c r="B36" s="459"/>
      <c r="C36" s="502">
        <f>IF('[2]Tasa de Falla'!C36=0,"",'[2]Tasa de Falla'!C36)</f>
      </c>
      <c r="D36" s="502">
        <f>IF('[2]Tasa de Falla'!D36=0,"",'[2]Tasa de Falla'!D36)</f>
      </c>
      <c r="E36" s="502">
        <f>IF('[2]Tasa de Falla'!E36=0,"",'[2]Tasa de Falla'!E36)</f>
      </c>
      <c r="F36" s="503">
        <f>IF('[2]Tasa de Falla'!F36=0,"",'[2]Tasa de Falla'!F36)</f>
      </c>
      <c r="G36" s="464">
        <f>IF('[2]Tasa de Falla'!GT36="","",'[2]Tasa de Falla'!GT36)</f>
      </c>
      <c r="H36" s="464">
        <f>IF('[2]Tasa de Falla'!GU36="","",'[2]Tasa de Falla'!GU36)</f>
      </c>
      <c r="I36" s="464">
        <f>IF('[2]Tasa de Falla'!GV36="","",'[2]Tasa de Falla'!GV36)</f>
      </c>
      <c r="J36" s="464">
        <f>IF('[2]Tasa de Falla'!GW36="","",'[2]Tasa de Falla'!GW36)</f>
      </c>
      <c r="K36" s="464">
        <f>IF('[2]Tasa de Falla'!GX36="","",'[2]Tasa de Falla'!GX36)</f>
      </c>
      <c r="L36" s="464">
        <f>IF('[2]Tasa de Falla'!GY36="","",'[2]Tasa de Falla'!GY36)</f>
      </c>
      <c r="M36" s="464">
        <f>IF('[2]Tasa de Falla'!GZ36="","",'[2]Tasa de Falla'!GZ36)</f>
      </c>
      <c r="N36" s="464">
        <f>IF('[2]Tasa de Falla'!HA36="","",'[2]Tasa de Falla'!HA36)</f>
      </c>
      <c r="O36" s="464">
        <f>IF('[2]Tasa de Falla'!HB36="","",'[2]Tasa de Falla'!HB36)</f>
      </c>
      <c r="P36" s="464">
        <f>IF('[2]Tasa de Falla'!HC36="","",'[2]Tasa de Falla'!HC36)</f>
      </c>
      <c r="Q36" s="464">
        <f>IF('[2]Tasa de Falla'!HD36="","",'[2]Tasa de Falla'!HD36)</f>
      </c>
      <c r="R36" s="464">
        <f>IF('[2]Tasa de Falla'!HE36="","",'[2]Tasa de Falla'!HE36)</f>
      </c>
      <c r="S36" s="461"/>
      <c r="T36" s="457"/>
    </row>
    <row r="37" spans="2:20" s="458" customFormat="1" ht="24.75" customHeight="1" thickBot="1">
      <c r="B37" s="459"/>
      <c r="C37" s="465">
        <f>IF('[1]Tasa de Falla'!C36=0,"",'[1]Tasa de Falla'!C36)</f>
      </c>
      <c r="D37" s="466">
        <f>IF('[1]Tasa de Falla'!D36=0,"",'[1]Tasa de Falla'!D36)</f>
      </c>
      <c r="E37" s="467">
        <f>IF('[1]Tasa de Falla'!E36=0,"",'[1]Tasa de Falla'!E36)</f>
      </c>
      <c r="F37" s="468">
        <f>IF('[1]Tasa de Falla'!F36=0,"",'[1]Tasa de Falla'!F36)</f>
      </c>
      <c r="G37" s="464"/>
      <c r="H37" s="464"/>
      <c r="I37" s="464"/>
      <c r="J37" s="464"/>
      <c r="K37" s="464"/>
      <c r="L37" s="464"/>
      <c r="M37" s="464"/>
      <c r="N37" s="464"/>
      <c r="O37" s="464"/>
      <c r="P37" s="464"/>
      <c r="Q37" s="464"/>
      <c r="R37" s="464"/>
      <c r="S37" s="461"/>
      <c r="T37" s="457"/>
    </row>
    <row r="38" spans="2:20" s="458" customFormat="1" ht="24.75" customHeight="1" thickBot="1" thickTop="1">
      <c r="B38" s="459"/>
      <c r="C38" s="469"/>
      <c r="D38" s="470"/>
      <c r="E38" s="471" t="s">
        <v>164</v>
      </c>
      <c r="F38" s="472">
        <f>SUM(F17:F35)</f>
        <v>1370.9299999999998</v>
      </c>
      <c r="G38" s="473"/>
      <c r="H38" s="474"/>
      <c r="I38" s="473"/>
      <c r="J38" s="474"/>
      <c r="K38" s="473"/>
      <c r="L38" s="474"/>
      <c r="M38" s="473"/>
      <c r="N38" s="474"/>
      <c r="O38" s="473"/>
      <c r="P38" s="474"/>
      <c r="Q38" s="473"/>
      <c r="R38" s="474"/>
      <c r="S38" s="461"/>
      <c r="T38" s="457"/>
    </row>
    <row r="39" spans="2:20" s="458" customFormat="1" ht="24.75" customHeight="1" thickBot="1" thickTop="1">
      <c r="B39" s="459"/>
      <c r="C39" s="475"/>
      <c r="D39" s="476"/>
      <c r="F39" s="477" t="s">
        <v>165</v>
      </c>
      <c r="G39" s="478">
        <f aca="true" t="shared" si="0" ref="G39:R39">SUM(G17:G37)</f>
        <v>1</v>
      </c>
      <c r="H39" s="478">
        <f t="shared" si="0"/>
        <v>2</v>
      </c>
      <c r="I39" s="478">
        <f t="shared" si="0"/>
        <v>2</v>
      </c>
      <c r="J39" s="478">
        <f t="shared" si="0"/>
        <v>1</v>
      </c>
      <c r="K39" s="478">
        <f t="shared" si="0"/>
        <v>0</v>
      </c>
      <c r="L39" s="478">
        <f t="shared" si="0"/>
        <v>1</v>
      </c>
      <c r="M39" s="478">
        <f t="shared" si="0"/>
        <v>0</v>
      </c>
      <c r="N39" s="478">
        <f t="shared" si="0"/>
        <v>2</v>
      </c>
      <c r="O39" s="478">
        <f t="shared" si="0"/>
        <v>1</v>
      </c>
      <c r="P39" s="478">
        <f t="shared" si="0"/>
        <v>1</v>
      </c>
      <c r="Q39" s="478">
        <f t="shared" si="0"/>
        <v>1</v>
      </c>
      <c r="R39" s="478">
        <f t="shared" si="0"/>
        <v>1</v>
      </c>
      <c r="S39" s="461"/>
      <c r="T39" s="457"/>
    </row>
    <row r="40" spans="2:20" s="458" customFormat="1" ht="24.75" customHeight="1" thickBot="1" thickTop="1">
      <c r="B40" s="459"/>
      <c r="C40" s="475"/>
      <c r="D40" s="475"/>
      <c r="E40" s="475"/>
      <c r="F40" s="479" t="s">
        <v>166</v>
      </c>
      <c r="G40" s="480">
        <f>+'[2]Tasa de Falla'!GT39</f>
        <v>1.09</v>
      </c>
      <c r="H40" s="480">
        <f>+'[2]Tasa de Falla'!GU39</f>
        <v>1.02</v>
      </c>
      <c r="I40" s="480">
        <f>+'[2]Tasa de Falla'!GV39</f>
        <v>1.09</v>
      </c>
      <c r="J40" s="480">
        <f>+'[2]Tasa de Falla'!GW39</f>
        <v>1.17</v>
      </c>
      <c r="K40" s="480">
        <f>+'[2]Tasa de Falla'!GX39</f>
        <v>1.17</v>
      </c>
      <c r="L40" s="480">
        <f>+'[2]Tasa de Falla'!GY39</f>
        <v>1.09</v>
      </c>
      <c r="M40" s="480">
        <f>+'[2]Tasa de Falla'!GZ39</f>
        <v>1.09</v>
      </c>
      <c r="N40" s="480">
        <f>+'[2]Tasa de Falla'!HA39</f>
        <v>0.95</v>
      </c>
      <c r="O40" s="480">
        <f>+'[2]Tasa de Falla'!HB39</f>
        <v>1.09</v>
      </c>
      <c r="P40" s="480">
        <f>+'[2]Tasa de Falla'!HC39</f>
        <v>1.02</v>
      </c>
      <c r="Q40" s="480">
        <f>+'[2]Tasa de Falla'!HD39</f>
        <v>1.02</v>
      </c>
      <c r="R40" s="480">
        <f>+'[2]Tasa de Falla'!HE39</f>
        <v>1.09</v>
      </c>
      <c r="S40" s="480">
        <f>+'[2]Tasa de Falla'!HF39</f>
        <v>0.95</v>
      </c>
      <c r="T40" s="457"/>
    </row>
    <row r="41" spans="2:20" ht="18.75" customHeight="1" thickBot="1" thickTop="1">
      <c r="B41" s="445"/>
      <c r="C41" s="475"/>
      <c r="D41" s="481"/>
      <c r="E41" s="482"/>
      <c r="F41" s="483"/>
      <c r="G41" s="484"/>
      <c r="H41" s="484"/>
      <c r="I41" s="484"/>
      <c r="J41" s="484"/>
      <c r="K41" s="484"/>
      <c r="L41" s="484"/>
      <c r="M41" s="484"/>
      <c r="N41" s="484"/>
      <c r="O41" s="484"/>
      <c r="P41" s="484"/>
      <c r="Q41" s="484"/>
      <c r="R41" s="484"/>
      <c r="S41" s="484"/>
      <c r="T41" s="485"/>
    </row>
    <row r="42" spans="2:20" ht="17.25" thickBot="1" thickTop="1">
      <c r="B42" s="486"/>
      <c r="C42" s="449"/>
      <c r="D42" s="449"/>
      <c r="H42" s="487" t="s">
        <v>167</v>
      </c>
      <c r="I42" s="488"/>
      <c r="J42" s="489">
        <f>S40</f>
        <v>0.95</v>
      </c>
      <c r="K42" s="490" t="s">
        <v>168</v>
      </c>
      <c r="L42" s="491"/>
      <c r="M42" s="492"/>
      <c r="N42" s="493"/>
      <c r="O42" s="493"/>
      <c r="P42" s="493"/>
      <c r="Q42" s="493"/>
      <c r="R42" s="449"/>
      <c r="S42" s="449"/>
      <c r="T42" s="450"/>
    </row>
    <row r="43" spans="2:20" ht="18.75" customHeight="1" thickBot="1" thickTop="1">
      <c r="B43" s="494"/>
      <c r="C43" s="495"/>
      <c r="D43" s="496"/>
      <c r="E43" s="496"/>
      <c r="F43" s="497"/>
      <c r="G43" s="498"/>
      <c r="H43" s="498"/>
      <c r="I43" s="498"/>
      <c r="J43" s="498"/>
      <c r="K43" s="498"/>
      <c r="L43" s="498"/>
      <c r="M43" s="498"/>
      <c r="N43" s="498"/>
      <c r="O43" s="498"/>
      <c r="P43" s="498"/>
      <c r="Q43" s="498"/>
      <c r="R43" s="498"/>
      <c r="S43" s="498"/>
      <c r="T43" s="499"/>
    </row>
    <row r="44" ht="13.5" thickTop="1">
      <c r="AA44" s="424">
        <f>ROUND(SUM(AA20:AA43),2)</f>
        <v>0</v>
      </c>
    </row>
  </sheetData>
  <sheetProtection/>
  <printOptions/>
  <pageMargins left="0.23" right="0.1968503937007874" top="0.63" bottom="0.7874015748031497" header="0.5118110236220472" footer="0.25"/>
  <pageSetup fitToHeight="1" fitToWidth="1" horizontalDpi="300" verticalDpi="300" orientation="landscape" paperSize="9" scale="48" r:id="rId2"/>
  <headerFooter alignWithMargins="0">
    <oddFooter>&amp;L&amp;F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0"/>
  <dimension ref="A1:AC21"/>
  <sheetViews>
    <sheetView zoomScale="85" zoomScaleNormal="85" workbookViewId="0" topLeftCell="A1">
      <selection activeCell="F7" sqref="F7"/>
    </sheetView>
  </sheetViews>
  <sheetFormatPr defaultColWidth="11.421875" defaultRowHeight="12.75"/>
  <cols>
    <col min="1" max="1" width="21.7109375" style="401" customWidth="1"/>
    <col min="2" max="2" width="9.28125" style="401" customWidth="1"/>
    <col min="3" max="3" width="11.8515625" style="401" bestFit="1" customWidth="1"/>
    <col min="4" max="4" width="9.57421875" style="401" bestFit="1" customWidth="1"/>
    <col min="5" max="5" width="14.8515625" style="401" bestFit="1" customWidth="1"/>
    <col min="6" max="6" width="64.00390625" style="401" bestFit="1" customWidth="1"/>
    <col min="7" max="16384" width="11.421875" style="401" customWidth="1"/>
  </cols>
  <sheetData>
    <row r="1" spans="1:4" ht="12.75">
      <c r="A1" s="400" t="s">
        <v>75</v>
      </c>
      <c r="B1" s="400" t="s">
        <v>75</v>
      </c>
      <c r="C1" s="400" t="s">
        <v>76</v>
      </c>
      <c r="D1" s="400" t="s">
        <v>77</v>
      </c>
    </row>
    <row r="2" spans="1:4" ht="12.75">
      <c r="A2" s="402" t="s">
        <v>60</v>
      </c>
      <c r="B2" s="403" t="s">
        <v>78</v>
      </c>
      <c r="C2" s="402">
        <v>31</v>
      </c>
      <c r="D2" s="402">
        <v>2006</v>
      </c>
    </row>
    <row r="3" spans="1:4" ht="12.75">
      <c r="A3" s="402" t="s">
        <v>61</v>
      </c>
      <c r="B3" s="403" t="s">
        <v>79</v>
      </c>
      <c r="C3" s="402">
        <f>IF(MOD(E14,4)=0,29,28)</f>
        <v>29</v>
      </c>
      <c r="D3" s="402">
        <f>+D2+1</f>
        <v>2007</v>
      </c>
    </row>
    <row r="4" spans="1:4" ht="12.75">
      <c r="A4" s="402" t="s">
        <v>62</v>
      </c>
      <c r="B4" s="403" t="s">
        <v>80</v>
      </c>
      <c r="C4" s="402">
        <v>31</v>
      </c>
      <c r="D4" s="402">
        <v>2008</v>
      </c>
    </row>
    <row r="5" spans="1:4" ht="12.75">
      <c r="A5" s="402" t="s">
        <v>63</v>
      </c>
      <c r="B5" s="403" t="s">
        <v>81</v>
      </c>
      <c r="C5" s="402">
        <v>30</v>
      </c>
      <c r="D5" s="402">
        <v>2009</v>
      </c>
    </row>
    <row r="6" spans="1:4" ht="12.75">
      <c r="A6" s="402" t="s">
        <v>64</v>
      </c>
      <c r="B6" s="403" t="s">
        <v>82</v>
      </c>
      <c r="C6" s="402">
        <v>31</v>
      </c>
      <c r="D6" s="402">
        <v>2010</v>
      </c>
    </row>
    <row r="7" spans="1:4" ht="12.75">
      <c r="A7" s="402" t="s">
        <v>65</v>
      </c>
      <c r="B7" s="403" t="s">
        <v>83</v>
      </c>
      <c r="C7" s="402">
        <v>30</v>
      </c>
      <c r="D7" s="402">
        <v>2011</v>
      </c>
    </row>
    <row r="8" spans="1:4" ht="12.75">
      <c r="A8" s="402" t="s">
        <v>66</v>
      </c>
      <c r="B8" s="403" t="s">
        <v>84</v>
      </c>
      <c r="C8" s="402">
        <v>31</v>
      </c>
      <c r="D8" s="402">
        <v>2012</v>
      </c>
    </row>
    <row r="9" spans="1:4" ht="12.75">
      <c r="A9" s="402" t="s">
        <v>67</v>
      </c>
      <c r="B9" s="403" t="s">
        <v>85</v>
      </c>
      <c r="C9" s="402">
        <v>31</v>
      </c>
      <c r="D9" s="402"/>
    </row>
    <row r="10" spans="1:4" ht="12.75">
      <c r="A10" s="402" t="s">
        <v>68</v>
      </c>
      <c r="B10" s="403" t="s">
        <v>86</v>
      </c>
      <c r="C10" s="402">
        <v>30</v>
      </c>
      <c r="D10" s="402"/>
    </row>
    <row r="11" spans="1:4" ht="12.75">
      <c r="A11" s="402" t="s">
        <v>69</v>
      </c>
      <c r="B11" s="403" t="s">
        <v>87</v>
      </c>
      <c r="C11" s="402">
        <v>31</v>
      </c>
      <c r="D11" s="402"/>
    </row>
    <row r="12" spans="1:4" ht="12.75">
      <c r="A12" s="402" t="s">
        <v>70</v>
      </c>
      <c r="B12" s="403" t="s">
        <v>88</v>
      </c>
      <c r="C12" s="402">
        <v>30</v>
      </c>
      <c r="D12" s="402"/>
    </row>
    <row r="13" spans="1:9" ht="12.75">
      <c r="A13" s="402" t="s">
        <v>71</v>
      </c>
      <c r="B13" s="403" t="s">
        <v>89</v>
      </c>
      <c r="C13" s="402">
        <v>31</v>
      </c>
      <c r="D13" s="402"/>
      <c r="I13" s="404" t="s">
        <v>90</v>
      </c>
    </row>
    <row r="14" spans="1:9" ht="12.75">
      <c r="A14" s="405">
        <v>7</v>
      </c>
      <c r="B14" s="406">
        <v>10</v>
      </c>
      <c r="C14" s="405" t="str">
        <f ca="1">CELL("CONTENIDO",OFFSET(A1,B14,0))</f>
        <v>octubre</v>
      </c>
      <c r="D14" s="405">
        <f ca="1">CELL("CONTENIDO",OFFSET(C1,B14,0))</f>
        <v>31</v>
      </c>
      <c r="E14" s="405">
        <f ca="1">CELL("CONTENIDO",OFFSET(D1,A14,0))</f>
        <v>2012</v>
      </c>
      <c r="F14" s="405" t="str">
        <f>"Desde el 01 al "&amp;D14&amp;" de "&amp;C14&amp;" de "&amp;E14</f>
        <v>Desde el 01 al 31 de octubre de 2012</v>
      </c>
      <c r="G14" s="405" t="str">
        <f ca="1">CELL("CONTENIDO",OFFSET(B1,B14,0))</f>
        <v>10</v>
      </c>
      <c r="H14" s="405" t="str">
        <f>RIGHT(E14,2)</f>
        <v>12</v>
      </c>
      <c r="I14" s="407" t="s">
        <v>91</v>
      </c>
    </row>
    <row r="15" spans="1:8" ht="12.75">
      <c r="A15" s="405"/>
      <c r="B15" s="408" t="str">
        <f>"\\rugor\files\Transporte\Transporte\AA PROCESO AUT ARCHIVOS J\DISTROCUYO\"&amp;E14</f>
        <v>\\rugor\files\Transporte\Transporte\AA PROCESO AUT ARCHIVOS J\DISTROCUYO\2012</v>
      </c>
      <c r="C15" s="405"/>
      <c r="D15" s="405"/>
      <c r="E15" s="405"/>
      <c r="F15" s="405"/>
      <c r="G15" s="405" t="str">
        <f>"J"&amp;G14&amp;H14&amp;"CUY"</f>
        <v>J1012CUY</v>
      </c>
      <c r="H15" s="405"/>
    </row>
    <row r="16" spans="1:8" ht="12.75">
      <c r="A16" s="405"/>
      <c r="B16" s="408" t="str">
        <f>"\\rugor\files\Transporte\transporte\AA PROCESO AUT\INTERCAMBIO\"&amp;H14&amp;G14</f>
        <v>\\rugor\files\Transporte\transporte\AA PROCESO AUT\INTERCAMBIO\1210</v>
      </c>
      <c r="C16" s="405"/>
      <c r="D16" s="405"/>
      <c r="E16" s="405"/>
      <c r="F16" s="405"/>
      <c r="G16" s="405"/>
      <c r="H16" s="405"/>
    </row>
    <row r="17" spans="1:29" s="409" customFormat="1" ht="12.75">
      <c r="A17" s="400" t="s">
        <v>92</v>
      </c>
      <c r="B17" s="400" t="s">
        <v>93</v>
      </c>
      <c r="C17" s="400" t="s">
        <v>94</v>
      </c>
      <c r="D17" s="400" t="s">
        <v>95</v>
      </c>
      <c r="E17" s="400" t="s">
        <v>96</v>
      </c>
      <c r="F17" s="400" t="s">
        <v>97</v>
      </c>
      <c r="G17" s="400" t="s">
        <v>125</v>
      </c>
      <c r="H17" s="400" t="s">
        <v>98</v>
      </c>
      <c r="I17" s="400" t="s">
        <v>99</v>
      </c>
      <c r="J17" s="400" t="s">
        <v>100</v>
      </c>
      <c r="K17" s="400" t="s">
        <v>101</v>
      </c>
      <c r="L17" s="400" t="s">
        <v>102</v>
      </c>
      <c r="M17" s="400" t="s">
        <v>103</v>
      </c>
      <c r="N17" s="400" t="s">
        <v>104</v>
      </c>
      <c r="O17" s="400" t="s">
        <v>105</v>
      </c>
      <c r="P17" s="400" t="s">
        <v>106</v>
      </c>
      <c r="Q17" s="400" t="s">
        <v>107</v>
      </c>
      <c r="R17" s="400" t="s">
        <v>108</v>
      </c>
      <c r="S17" s="400" t="s">
        <v>109</v>
      </c>
      <c r="T17" s="400" t="s">
        <v>110</v>
      </c>
      <c r="U17" s="400" t="s">
        <v>111</v>
      </c>
      <c r="V17" s="400" t="s">
        <v>112</v>
      </c>
      <c r="W17" s="400" t="s">
        <v>113</v>
      </c>
      <c r="X17" s="400" t="s">
        <v>114</v>
      </c>
      <c r="Y17" s="400" t="s">
        <v>115</v>
      </c>
      <c r="Z17" s="400" t="s">
        <v>116</v>
      </c>
      <c r="AA17" s="400" t="s">
        <v>117</v>
      </c>
      <c r="AB17" s="400" t="s">
        <v>118</v>
      </c>
      <c r="AC17" s="400" t="s">
        <v>119</v>
      </c>
    </row>
    <row r="18" spans="1:29" ht="12.75">
      <c r="A18" s="410" t="s">
        <v>120</v>
      </c>
      <c r="B18" s="410">
        <v>21</v>
      </c>
      <c r="C18" s="410">
        <v>19</v>
      </c>
      <c r="D18" s="410">
        <v>12</v>
      </c>
      <c r="E18" s="410" t="str">
        <f>"LI-"&amp;$G$14</f>
        <v>LI-10</v>
      </c>
      <c r="F18" s="410" t="s">
        <v>126</v>
      </c>
      <c r="G18" s="410">
        <v>3</v>
      </c>
      <c r="H18" s="411">
        <v>5</v>
      </c>
      <c r="I18" s="411">
        <v>4</v>
      </c>
      <c r="J18" s="410">
        <v>6</v>
      </c>
      <c r="K18" s="410">
        <v>7</v>
      </c>
      <c r="L18" s="410">
        <v>8</v>
      </c>
      <c r="M18" s="410">
        <v>0</v>
      </c>
      <c r="N18" s="410">
        <v>10</v>
      </c>
      <c r="O18" s="410">
        <v>11</v>
      </c>
      <c r="P18" s="410">
        <v>14</v>
      </c>
      <c r="Q18" s="410">
        <v>26</v>
      </c>
      <c r="R18" s="410">
        <v>0</v>
      </c>
      <c r="S18" s="410">
        <v>15</v>
      </c>
      <c r="T18" s="410">
        <v>0</v>
      </c>
      <c r="U18" s="410">
        <v>0</v>
      </c>
      <c r="V18" s="410">
        <v>0</v>
      </c>
      <c r="W18" s="410">
        <v>18</v>
      </c>
      <c r="X18" s="410">
        <v>9</v>
      </c>
      <c r="Y18" s="410">
        <v>42</v>
      </c>
      <c r="Z18" s="410">
        <v>27</v>
      </c>
      <c r="AA18" s="410">
        <v>19</v>
      </c>
      <c r="AB18" s="410">
        <v>27</v>
      </c>
      <c r="AC18" s="410">
        <v>14</v>
      </c>
    </row>
    <row r="19" spans="1:29" ht="12.75">
      <c r="A19" s="412" t="s">
        <v>121</v>
      </c>
      <c r="B19" s="412">
        <v>22</v>
      </c>
      <c r="C19" s="412">
        <v>19</v>
      </c>
      <c r="D19" s="412">
        <v>13</v>
      </c>
      <c r="E19" s="412" t="str">
        <f>"T-"&amp;$G$14</f>
        <v>T-10</v>
      </c>
      <c r="F19" s="412" t="s">
        <v>127</v>
      </c>
      <c r="G19" s="410">
        <v>3</v>
      </c>
      <c r="H19" s="411">
        <v>5</v>
      </c>
      <c r="I19" s="411">
        <v>4</v>
      </c>
      <c r="J19" s="412">
        <v>6</v>
      </c>
      <c r="K19" s="412">
        <v>7</v>
      </c>
      <c r="L19" s="412">
        <v>8</v>
      </c>
      <c r="M19" s="412">
        <v>9</v>
      </c>
      <c r="N19" s="412">
        <v>11</v>
      </c>
      <c r="O19" s="412">
        <v>12</v>
      </c>
      <c r="P19" s="412">
        <v>15</v>
      </c>
      <c r="Q19" s="412">
        <v>16</v>
      </c>
      <c r="R19" s="412">
        <v>18</v>
      </c>
      <c r="S19" s="412">
        <v>28</v>
      </c>
      <c r="T19" s="412">
        <v>17</v>
      </c>
      <c r="U19" s="412">
        <v>0</v>
      </c>
      <c r="V19" s="412">
        <v>0</v>
      </c>
      <c r="W19" s="412">
        <v>22</v>
      </c>
      <c r="X19" s="410">
        <v>9</v>
      </c>
      <c r="Y19" s="412">
        <v>43</v>
      </c>
      <c r="Z19" s="412">
        <v>29</v>
      </c>
      <c r="AA19" s="412">
        <v>20</v>
      </c>
      <c r="AB19" s="412">
        <v>29</v>
      </c>
      <c r="AC19" s="412">
        <v>15</v>
      </c>
    </row>
    <row r="20" spans="1:29" ht="12.75">
      <c r="A20" s="410" t="s">
        <v>122</v>
      </c>
      <c r="B20" s="410">
        <v>22</v>
      </c>
      <c r="C20" s="410">
        <v>19</v>
      </c>
      <c r="D20" s="410">
        <v>10</v>
      </c>
      <c r="E20" s="410" t="str">
        <f>"SA-"&amp;$G$14</f>
        <v>SA-10</v>
      </c>
      <c r="F20" s="410" t="s">
        <v>128</v>
      </c>
      <c r="G20" s="410">
        <v>3</v>
      </c>
      <c r="H20" s="411">
        <v>5</v>
      </c>
      <c r="I20" s="411">
        <v>4</v>
      </c>
      <c r="J20" s="410">
        <v>6</v>
      </c>
      <c r="K20" s="410">
        <v>7</v>
      </c>
      <c r="L20" s="410">
        <v>8</v>
      </c>
      <c r="M20" s="410">
        <v>10</v>
      </c>
      <c r="N20" s="410">
        <v>11</v>
      </c>
      <c r="O20" s="410">
        <v>14</v>
      </c>
      <c r="P20" s="410">
        <v>15</v>
      </c>
      <c r="Q20" s="410">
        <v>21</v>
      </c>
      <c r="R20" s="410">
        <v>0</v>
      </c>
      <c r="S20" s="410">
        <v>0</v>
      </c>
      <c r="T20" s="410">
        <v>0</v>
      </c>
      <c r="U20" s="410">
        <v>0</v>
      </c>
      <c r="V20" s="410">
        <v>0</v>
      </c>
      <c r="W20" s="410">
        <v>24</v>
      </c>
      <c r="X20" s="410">
        <v>9</v>
      </c>
      <c r="Y20" s="410">
        <v>43</v>
      </c>
      <c r="Z20" s="410">
        <v>22</v>
      </c>
      <c r="AA20" s="410">
        <v>20</v>
      </c>
      <c r="AB20" s="410">
        <v>22</v>
      </c>
      <c r="AC20" s="410">
        <v>14</v>
      </c>
    </row>
    <row r="21" spans="1:29" s="409" customFormat="1" ht="12.75">
      <c r="A21" s="413" t="s">
        <v>123</v>
      </c>
      <c r="B21" s="413">
        <v>19</v>
      </c>
      <c r="C21" s="413">
        <v>24</v>
      </c>
      <c r="D21" s="414">
        <v>4</v>
      </c>
      <c r="E21" s="413" t="str">
        <f>"CAUSAS-VST-"&amp;$G$14</f>
        <v>CAUSAS-VST-10</v>
      </c>
      <c r="F21" s="413" t="s">
        <v>124</v>
      </c>
      <c r="G21" s="413">
        <v>3</v>
      </c>
      <c r="H21" s="413">
        <v>4</v>
      </c>
      <c r="I21" s="413">
        <v>5</v>
      </c>
      <c r="J21" s="413">
        <v>6</v>
      </c>
      <c r="K21" s="413">
        <v>7</v>
      </c>
      <c r="L21" s="413">
        <v>0</v>
      </c>
      <c r="M21" s="413">
        <v>0</v>
      </c>
      <c r="N21" s="413">
        <v>0</v>
      </c>
      <c r="O21" s="413">
        <v>0</v>
      </c>
      <c r="P21" s="413">
        <v>0</v>
      </c>
      <c r="Q21" s="413">
        <v>0</v>
      </c>
      <c r="R21" s="413">
        <v>0</v>
      </c>
      <c r="S21" s="413">
        <v>0</v>
      </c>
      <c r="T21" s="413">
        <v>0</v>
      </c>
      <c r="U21" s="413">
        <v>0</v>
      </c>
      <c r="V21" s="413">
        <v>0</v>
      </c>
      <c r="W21" s="413">
        <v>999</v>
      </c>
      <c r="X21" s="413">
        <v>999</v>
      </c>
      <c r="Y21" s="413">
        <v>0</v>
      </c>
      <c r="Z21" s="413">
        <v>0</v>
      </c>
      <c r="AA21" s="413">
        <v>0</v>
      </c>
      <c r="AB21" s="413">
        <v>0</v>
      </c>
      <c r="AC21" s="413">
        <v>0</v>
      </c>
    </row>
  </sheetData>
  <hyperlinks>
    <hyperlink ref="D5" r:id="rId1" display="\\fileserver\files\Transporte\transporte\AA PROCESO AUT\DISTROCUYO\FABIAN"/>
  </hyperlinks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jescandar</cp:lastModifiedBy>
  <cp:lastPrinted>2013-11-20T14:17:18Z</cp:lastPrinted>
  <dcterms:created xsi:type="dcterms:W3CDTF">1998-09-02T21:31:22Z</dcterms:created>
  <dcterms:modified xsi:type="dcterms:W3CDTF">2013-11-20T14:21:38Z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