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1000" activeTab="5"/>
  </bookViews>
  <sheets>
    <sheet name="tot-0105" sheetId="1" r:id="rId1"/>
    <sheet name="LIN-YACY" sheetId="2" r:id="rId2"/>
    <sheet name="SALIDA-TIBA" sheetId="3" r:id="rId3"/>
    <sheet name="SALIDA TESA" sheetId="4" r:id="rId4"/>
    <sheet name="REAC-LITSA" sheetId="5" r:id="rId5"/>
    <sheet name="TRAFO-ENECOR" sheetId="6" r:id="rId6"/>
  </sheets>
  <definedNames>
    <definedName name="_xlnm.Print_Area" localSheetId="1">'LIN-YACY'!$A$1:$V$42</definedName>
    <definedName name="_xlnm.Print_Area" localSheetId="4">'REAC-LITSA'!$A$1:$W$47</definedName>
    <definedName name="_xlnm.Print_Area" localSheetId="3">'SALIDA TESA'!$A$1:$U$44</definedName>
    <definedName name="_xlnm.Print_Area" localSheetId="2">'SALIDA-TIBA'!$A$1:$U$45</definedName>
    <definedName name="_xlnm.Print_Area" localSheetId="0">'tot-0105'!$A$1:$K$35</definedName>
    <definedName name="_xlnm.Print_Area" localSheetId="5">'TRAFO-ENECOR'!$A$1:$AB$43</definedName>
    <definedName name="DD">[0]!DD</definedName>
    <definedName name="DDD">[0]!DDD</definedName>
    <definedName name="DISTROCUYO">[0]!DISTROCUYO</definedName>
    <definedName name="INICIO" localSheetId="3">'SALIDA TESA'!INICIO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 localSheetId="3">'SALIDA TESA'!XX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<sst xmlns="http://schemas.openxmlformats.org/spreadsheetml/2006/main" count="213" uniqueCount="103">
  <si>
    <t>SISTEMA DE TRANSPORTE DE ENERGÍA ELÉCTRICA EN ALTA TENSIÓN</t>
  </si>
  <si>
    <t>TRANSENER S.A.</t>
  </si>
  <si>
    <t>500/132/33</t>
  </si>
  <si>
    <t>BAHÍA BLANCA 500</t>
  </si>
  <si>
    <t>OLAVARRÍA 500</t>
  </si>
  <si>
    <t>CAMPANA 500</t>
  </si>
  <si>
    <t>LÍNEA A PRINGLES</t>
  </si>
  <si>
    <t>LÍNEA A HENDERSON</t>
  </si>
  <si>
    <t>LÍNEA A TANDIL</t>
  </si>
  <si>
    <t>LÍNEA A ZÁRATE</t>
  </si>
  <si>
    <t>EQUIPO</t>
  </si>
  <si>
    <t>SALTO GRANDE</t>
  </si>
  <si>
    <t>REACTOR 1 - RI</t>
  </si>
  <si>
    <t>REACTOR 2 - RI</t>
  </si>
  <si>
    <t xml:space="preserve">ENTE NACIONAL REGULADOR </t>
  </si>
  <si>
    <t>DE LA ELECTRICIDAD</t>
  </si>
  <si>
    <t>1.-</t>
  </si>
  <si>
    <t>LÍNEAS</t>
  </si>
  <si>
    <t>Transportista Independiente YACYLEC S.A.</t>
  </si>
  <si>
    <t>Transportista Independiente LITSA</t>
  </si>
  <si>
    <t>2.-</t>
  </si>
  <si>
    <t>CONEXIÓN</t>
  </si>
  <si>
    <t>Transformación</t>
  </si>
  <si>
    <t>Transportista Independiente TIBA</t>
  </si>
  <si>
    <t>Salidas</t>
  </si>
  <si>
    <t>3.-</t>
  </si>
  <si>
    <t>POTENCIA REACTIVA</t>
  </si>
  <si>
    <t xml:space="preserve">TOTAL </t>
  </si>
  <si>
    <t>SISTEMA DE TRANSPORTE DE ENERGÍA ELÉCTRICA EN ALTA TENSIÓN - TRANSENER S.A.</t>
  </si>
  <si>
    <t>N°</t>
  </si>
  <si>
    <t>U
[kV]</t>
  </si>
  <si>
    <t>Long.
[km]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</si>
  <si>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</si>
  <si>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</si>
  <si>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</si>
  <si>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</si>
  <si>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</si>
  <si>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</si>
  <si>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</si>
  <si>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</si>
  <si>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AUT.</t>
  </si>
  <si>
    <t>PENALIZ.
PROGRAM.</t>
  </si>
  <si>
    <t>REDUCC.
PROGRAM.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</si>
  <si>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</si>
  <si>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</si>
  <si>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</si>
  <si>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</si>
  <si>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</si>
  <si>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REDUCC.
RESTANTE</t>
  </si>
  <si>
    <t>1.2.-  Líneas de la Transportista Independiente YACYLEC S.A.</t>
  </si>
  <si>
    <t>VALOR MENSUAL DEL CANON =</t>
  </si>
  <si>
    <t>PENALIZAC.
PROGRAM.</t>
  </si>
  <si>
    <t>PENALIZACIÓN FORZADA
1ras 5 hs.        hs. Restantes</t>
  </si>
  <si>
    <t>REDUCC. FORZADA.
1ras 5 hs.           hs. Restantes</t>
  </si>
  <si>
    <t>PUNTOS
PENALIZAC.</t>
  </si>
  <si>
    <t>Multiplicador =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</si>
  <si>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</si>
  <si>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</si>
  <si>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</si>
  <si>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</si>
  <si>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</si>
  <si>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</si>
  <si>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</si>
  <si>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</si>
  <si>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</si>
  <si>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</si>
  <si>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</si>
  <si>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</si>
  <si>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</si>
  <si>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</si>
  <si>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</si>
  <si>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</si>
  <si>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SISTEMA DE TRANSPORTE DE ENERGÍA ELÉCTRICA EN ALTA TENSIÓN  -  TRANSENER S.A.</t>
  </si>
  <si>
    <t>3.- POTENCIA REACTIVA</t>
  </si>
  <si>
    <t>PENALIZACIÓN FORZADA
Por Salida     hs. Restantes</t>
  </si>
  <si>
    <t>3.3.- Transportista Independiente L.I.T.S.A.</t>
  </si>
  <si>
    <t>K (P)</t>
  </si>
  <si>
    <t>RINCON - PASO DE LA PATRIA</t>
  </si>
  <si>
    <t>Transportista Independiente ENECOR S.A.</t>
  </si>
  <si>
    <t>2.1.4.- Transportista Independiente ENECOR S.A.</t>
  </si>
  <si>
    <t>LÍNEA A PETROQUÍMICA 2</t>
  </si>
  <si>
    <t>LÍNEA A PETROQUÍMICA 3</t>
  </si>
  <si>
    <t>RESOLUCION ENRE Nº 1200/99</t>
  </si>
  <si>
    <t>Tasa de falla de LITSA =</t>
  </si>
  <si>
    <t>Duración Prom. anual móvil por salida forzada =</t>
  </si>
  <si>
    <t>Factor multiplicativo del mayoramiento =</t>
  </si>
  <si>
    <t>F</t>
  </si>
  <si>
    <t>Desde el 01 al 31 de mayo de 2007</t>
  </si>
  <si>
    <t>P</t>
  </si>
  <si>
    <t>P. DE LA PATRIA</t>
  </si>
  <si>
    <t>TIPT</t>
  </si>
  <si>
    <t>RINCÓN</t>
  </si>
  <si>
    <t xml:space="preserve"> 2.2.4.- Transportista independiente TESA</t>
  </si>
  <si>
    <t>Transportista Independiente TESA</t>
  </si>
  <si>
    <t>Valores remuneratorios según Decretos PEN  1462/05 y 1460/05</t>
  </si>
  <si>
    <t>SALIDA A CONVERSORA GARABÍ II</t>
  </si>
  <si>
    <t xml:space="preserve">P - PROGRAMADA              </t>
  </si>
  <si>
    <t xml:space="preserve">P - PROGRAMADA                    </t>
  </si>
  <si>
    <t xml:space="preserve">P - PROGRAMADA                 </t>
  </si>
  <si>
    <t xml:space="preserve">F - FORZADA                     </t>
  </si>
  <si>
    <t xml:space="preserve">P - PROGRAMADA                </t>
  </si>
  <si>
    <t>TOTAL DE PENALIZACIONES - Transportistas Independientes</t>
  </si>
  <si>
    <t>ANEXO VI.2. al Memorandum  D.T.E.E. N°1046   /2009</t>
  </si>
</sst>
</file>

<file path=xl/styles.xml><?xml version="1.0" encoding="utf-8"?>
<styleSheet xmlns="http://schemas.openxmlformats.org/spreadsheetml/2006/main">
  <numFmts count="6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0_);[Red]\(#,##0.000\)"/>
    <numFmt numFmtId="210" formatCode="#,##0.0000_);[Red]\(#,##0.0000\)"/>
    <numFmt numFmtId="211" formatCode="#,##0.00000_);[Red]\(#,##0.00000\)"/>
    <numFmt numFmtId="212" formatCode="#,##0.000000_);[Red]\(#,##0.000000\)"/>
    <numFmt numFmtId="213" formatCode="#,##0.0"/>
    <numFmt numFmtId="214" formatCode="0.0\ \k\V"/>
    <numFmt numFmtId="215" formatCode="0.00\ &quot;km&quot;"/>
    <numFmt numFmtId="216" formatCode="0.00\ &quot;MVA&quot;"/>
    <numFmt numFmtId="217" formatCode="dd/mm/yy"/>
    <numFmt numFmtId="218" formatCode="d\-m"/>
    <numFmt numFmtId="219" formatCode="dd/mm/\a\a\a\a\ hh:\n\n"/>
    <numFmt numFmtId="220" formatCode="d\-m\-yy\ h:mm"/>
    <numFmt numFmtId="221" formatCode="0.000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i/>
      <u val="single"/>
      <sz val="16"/>
      <name val="Times New Roman"/>
      <family val="1"/>
    </font>
    <font>
      <sz val="7"/>
      <name val="MS Sans Serif"/>
      <family val="0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1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sz val="11"/>
      <color indexed="27"/>
      <name val="MS Sans Serif"/>
      <family val="0"/>
    </font>
    <font>
      <b/>
      <sz val="10"/>
      <color indexed="27"/>
      <name val="Times New Roman"/>
      <family val="1"/>
    </font>
    <font>
      <b/>
      <sz val="10"/>
      <color indexed="8"/>
      <name val="Times New Roman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176" fontId="4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8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9" xfId="0" applyNumberFormat="1" applyFont="1" applyBorder="1" applyAlignment="1">
      <alignment horizontal="center"/>
    </xf>
    <xf numFmtId="22" fontId="4" fillId="0" borderId="10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7" fontId="12" fillId="0" borderId="1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11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13" fillId="0" borderId="18" xfId="0" applyFont="1" applyBorder="1" applyAlignment="1">
      <alignment horizontal="center"/>
    </xf>
    <xf numFmtId="7" fontId="13" fillId="0" borderId="19" xfId="0" applyNumberFormat="1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33" fillId="0" borderId="12" xfId="0" applyFont="1" applyBorder="1" applyAlignment="1">
      <alignment horizontal="center" vertical="center"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18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172" fontId="33" fillId="0" borderId="19" xfId="0" applyNumberFormat="1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6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172" fontId="0" fillId="0" borderId="19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 quotePrefix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right"/>
    </xf>
    <xf numFmtId="176" fontId="35" fillId="0" borderId="2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7" xfId="0" applyFont="1" applyBorder="1" applyAlignment="1">
      <alignment horizontal="centerContinuous"/>
    </xf>
    <xf numFmtId="0" fontId="32" fillId="0" borderId="16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17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9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26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 applyProtection="1" quotePrefix="1">
      <alignment horizontal="center"/>
      <protection/>
    </xf>
    <xf numFmtId="0" fontId="4" fillId="0" borderId="28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7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172" fontId="0" fillId="0" borderId="19" xfId="0" applyNumberFormat="1" applyFont="1" applyBorder="1" applyAlignment="1" applyProtection="1">
      <alignment horizontal="center"/>
      <protection/>
    </xf>
    <xf numFmtId="0" fontId="33" fillId="0" borderId="12" xfId="0" applyFont="1" applyBorder="1" applyAlignment="1" applyProtection="1" quotePrefix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26" xfId="0" applyNumberFormat="1" applyFont="1" applyFill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41" fillId="0" borderId="32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quotePrefix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16" xfId="0" applyFont="1" applyBorder="1" applyAlignment="1">
      <alignment/>
    </xf>
    <xf numFmtId="176" fontId="41" fillId="0" borderId="0" xfId="0" applyNumberFormat="1" applyFont="1" applyBorder="1" applyAlignment="1" applyProtection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Fill="1" applyAlignment="1">
      <alignment/>
    </xf>
    <xf numFmtId="0" fontId="41" fillId="0" borderId="1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17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17" fillId="0" borderId="0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0" fillId="0" borderId="16" xfId="0" applyFont="1" applyBorder="1" applyAlignment="1">
      <alignment horizontal="centerContinuous"/>
    </xf>
    <xf numFmtId="22" fontId="8" fillId="0" borderId="0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179" fontId="41" fillId="0" borderId="0" xfId="0" applyNumberFormat="1" applyFont="1" applyBorder="1" applyAlignment="1" applyProtection="1" quotePrefix="1">
      <alignment horizontal="center"/>
      <protection/>
    </xf>
    <xf numFmtId="176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>
      <alignment horizontal="center"/>
    </xf>
    <xf numFmtId="4" fontId="51" fillId="0" borderId="17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56" fillId="3" borderId="18" xfId="0" applyFont="1" applyFill="1" applyBorder="1" applyAlignment="1" applyProtection="1">
      <alignment horizontal="centerContinuous" vertical="center" wrapText="1"/>
      <protection/>
    </xf>
    <xf numFmtId="0" fontId="56" fillId="3" borderId="19" xfId="0" applyFont="1" applyFill="1" applyBorder="1" applyAlignment="1">
      <alignment horizontal="centerContinuous" vertical="center"/>
    </xf>
    <xf numFmtId="0" fontId="57" fillId="3" borderId="12" xfId="0" applyFont="1" applyFill="1" applyBorder="1" applyAlignment="1" applyProtection="1">
      <alignment horizontal="center" vertical="center"/>
      <protection/>
    </xf>
    <xf numFmtId="176" fontId="58" fillId="3" borderId="1" xfId="0" applyNumberFormat="1" applyFont="1" applyFill="1" applyBorder="1" applyAlignment="1" applyProtection="1">
      <alignment horizontal="center"/>
      <protection/>
    </xf>
    <xf numFmtId="176" fontId="58" fillId="3" borderId="5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58" fillId="3" borderId="29" xfId="0" applyFont="1" applyFill="1" applyBorder="1" applyAlignment="1">
      <alignment horizontal="center"/>
    </xf>
    <xf numFmtId="7" fontId="21" fillId="0" borderId="12" xfId="0" applyNumberFormat="1" applyFont="1" applyFill="1" applyBorder="1" applyAlignment="1">
      <alignment horizontal="right"/>
    </xf>
    <xf numFmtId="0" fontId="58" fillId="3" borderId="1" xfId="0" applyFont="1" applyFill="1" applyBorder="1" applyAlignment="1" applyProtection="1">
      <alignment horizontal="center"/>
      <protection/>
    </xf>
    <xf numFmtId="0" fontId="58" fillId="3" borderId="6" xfId="0" applyFont="1" applyFill="1" applyBorder="1" applyAlignment="1" applyProtection="1">
      <alignment horizontal="center"/>
      <protection/>
    </xf>
    <xf numFmtId="176" fontId="58" fillId="3" borderId="4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Border="1" applyAlignment="1" applyProtection="1">
      <alignment horizontal="center"/>
      <protection/>
    </xf>
    <xf numFmtId="0" fontId="49" fillId="0" borderId="0" xfId="0" applyFont="1" applyBorder="1" applyAlignment="1">
      <alignment horizontal="center"/>
    </xf>
    <xf numFmtId="0" fontId="38" fillId="3" borderId="12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2" fontId="62" fillId="4" borderId="12" xfId="0" applyNumberFormat="1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>
      <alignment horizontal="center" vertical="center" wrapText="1"/>
    </xf>
    <xf numFmtId="2" fontId="62" fillId="4" borderId="1" xfId="0" applyNumberFormat="1" applyFont="1" applyFill="1" applyBorder="1" applyAlignment="1" applyProtection="1">
      <alignment horizontal="center"/>
      <protection/>
    </xf>
    <xf numFmtId="0" fontId="58" fillId="3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72" fontId="4" fillId="0" borderId="37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61" fillId="5" borderId="12" xfId="0" applyFont="1" applyFill="1" applyBorder="1" applyAlignment="1" applyProtection="1">
      <alignment horizontal="center" vertical="center"/>
      <protection/>
    </xf>
    <xf numFmtId="0" fontId="63" fillId="5" borderId="37" xfId="0" applyFont="1" applyFill="1" applyBorder="1" applyAlignment="1">
      <alignment horizontal="center"/>
    </xf>
    <xf numFmtId="0" fontId="64" fillId="6" borderId="12" xfId="0" applyFont="1" applyFill="1" applyBorder="1" applyAlignment="1">
      <alignment horizontal="center" vertical="center" wrapText="1"/>
    </xf>
    <xf numFmtId="0" fontId="65" fillId="6" borderId="37" xfId="0" applyFont="1" applyFill="1" applyBorder="1" applyAlignment="1">
      <alignment horizontal="center"/>
    </xf>
    <xf numFmtId="4" fontId="65" fillId="6" borderId="12" xfId="0" applyNumberFormat="1" applyFont="1" applyFill="1" applyBorder="1" applyAlignment="1">
      <alignment horizontal="center"/>
    </xf>
    <xf numFmtId="0" fontId="66" fillId="7" borderId="12" xfId="0" applyFont="1" applyFill="1" applyBorder="1" applyAlignment="1">
      <alignment horizontal="center" vertical="center" wrapText="1"/>
    </xf>
    <xf numFmtId="0" fontId="67" fillId="7" borderId="37" xfId="0" applyFont="1" applyFill="1" applyBorder="1" applyAlignment="1">
      <alignment horizontal="center"/>
    </xf>
    <xf numFmtId="4" fontId="67" fillId="7" borderId="12" xfId="0" applyNumberFormat="1" applyFont="1" applyFill="1" applyBorder="1" applyAlignment="1">
      <alignment horizontal="center"/>
    </xf>
    <xf numFmtId="0" fontId="54" fillId="3" borderId="39" xfId="0" applyFont="1" applyFill="1" applyBorder="1" applyAlignment="1">
      <alignment horizontal="center"/>
    </xf>
    <xf numFmtId="0" fontId="54" fillId="3" borderId="40" xfId="0" applyFont="1" applyFill="1" applyBorder="1" applyAlignment="1">
      <alignment horizontal="center"/>
    </xf>
    <xf numFmtId="4" fontId="54" fillId="3" borderId="41" xfId="0" applyNumberFormat="1" applyFont="1" applyFill="1" applyBorder="1" applyAlignment="1">
      <alignment horizontal="center"/>
    </xf>
    <xf numFmtId="4" fontId="54" fillId="3" borderId="19" xfId="0" applyNumberFormat="1" applyFont="1" applyFill="1" applyBorder="1" applyAlignment="1">
      <alignment horizontal="center"/>
    </xf>
    <xf numFmtId="0" fontId="68" fillId="8" borderId="18" xfId="0" applyFont="1" applyFill="1" applyBorder="1" applyAlignment="1" applyProtection="1">
      <alignment horizontal="centerContinuous" vertical="center" wrapText="1"/>
      <protection/>
    </xf>
    <xf numFmtId="0" fontId="68" fillId="8" borderId="19" xfId="0" applyFont="1" applyFill="1" applyBorder="1" applyAlignment="1">
      <alignment horizontal="centerContinuous" vertical="center"/>
    </xf>
    <xf numFmtId="0" fontId="69" fillId="8" borderId="42" xfId="0" applyFont="1" applyFill="1" applyBorder="1" applyAlignment="1">
      <alignment horizontal="center"/>
    </xf>
    <xf numFmtId="0" fontId="69" fillId="8" borderId="43" xfId="0" applyFont="1" applyFill="1" applyBorder="1" applyAlignment="1">
      <alignment horizontal="center"/>
    </xf>
    <xf numFmtId="4" fontId="69" fillId="8" borderId="41" xfId="0" applyNumberFormat="1" applyFont="1" applyFill="1" applyBorder="1" applyAlignment="1">
      <alignment horizontal="center"/>
    </xf>
    <xf numFmtId="4" fontId="69" fillId="8" borderId="44" xfId="0" applyNumberFormat="1" applyFont="1" applyFill="1" applyBorder="1" applyAlignment="1">
      <alignment horizontal="center"/>
    </xf>
    <xf numFmtId="0" fontId="68" fillId="8" borderId="12" xfId="0" applyFont="1" applyFill="1" applyBorder="1" applyAlignment="1">
      <alignment horizontal="center" vertical="center" wrapText="1"/>
    </xf>
    <xf numFmtId="0" fontId="59" fillId="9" borderId="12" xfId="0" applyFont="1" applyFill="1" applyBorder="1" applyAlignment="1">
      <alignment horizontal="center" vertical="center" wrapText="1"/>
    </xf>
    <xf numFmtId="0" fontId="60" fillId="9" borderId="37" xfId="0" applyFont="1" applyFill="1" applyBorder="1" applyAlignment="1">
      <alignment horizontal="center"/>
    </xf>
    <xf numFmtId="0" fontId="70" fillId="6" borderId="12" xfId="0" applyFont="1" applyFill="1" applyBorder="1" applyAlignment="1">
      <alignment horizontal="center" vertical="center" wrapText="1"/>
    </xf>
    <xf numFmtId="0" fontId="71" fillId="6" borderId="37" xfId="0" applyFont="1" applyFill="1" applyBorder="1" applyAlignment="1">
      <alignment horizontal="center"/>
    </xf>
    <xf numFmtId="0" fontId="63" fillId="4" borderId="1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center" vertical="center"/>
      <protection/>
    </xf>
    <xf numFmtId="0" fontId="63" fillId="4" borderId="36" xfId="0" applyFont="1" applyFill="1" applyBorder="1" applyAlignment="1" applyProtection="1">
      <alignment horizontal="center"/>
      <protection/>
    </xf>
    <xf numFmtId="0" fontId="69" fillId="8" borderId="1" xfId="0" applyFont="1" applyFill="1" applyBorder="1" applyAlignment="1" applyProtection="1">
      <alignment horizontal="center"/>
      <protection/>
    </xf>
    <xf numFmtId="0" fontId="69" fillId="8" borderId="36" xfId="0" applyFont="1" applyFill="1" applyBorder="1" applyAlignment="1" applyProtection="1">
      <alignment horizontal="center"/>
      <protection/>
    </xf>
    <xf numFmtId="4" fontId="69" fillId="8" borderId="12" xfId="0" applyNumberFormat="1" applyFont="1" applyFill="1" applyBorder="1" applyAlignment="1">
      <alignment horizontal="center"/>
    </xf>
    <xf numFmtId="0" fontId="55" fillId="7" borderId="18" xfId="0" applyFont="1" applyFill="1" applyBorder="1" applyAlignment="1" applyProtection="1">
      <alignment horizontal="centerContinuous" vertical="center" wrapText="1"/>
      <protection/>
    </xf>
    <xf numFmtId="0" fontId="55" fillId="7" borderId="19" xfId="0" applyFont="1" applyFill="1" applyBorder="1" applyAlignment="1">
      <alignment horizontal="centerContinuous" vertical="center"/>
    </xf>
    <xf numFmtId="176" fontId="53" fillId="7" borderId="39" xfId="0" applyNumberFormat="1" applyFont="1" applyFill="1" applyBorder="1" applyAlignment="1" applyProtection="1" quotePrefix="1">
      <alignment horizontal="center"/>
      <protection/>
    </xf>
    <xf numFmtId="176" fontId="53" fillId="7" borderId="40" xfId="0" applyNumberFormat="1" applyFont="1" applyFill="1" applyBorder="1" applyAlignment="1" applyProtection="1" quotePrefix="1">
      <alignment horizontal="center"/>
      <protection/>
    </xf>
    <xf numFmtId="176" fontId="53" fillId="7" borderId="45" xfId="0" applyNumberFormat="1" applyFont="1" applyFill="1" applyBorder="1" applyAlignment="1" applyProtection="1" quotePrefix="1">
      <alignment horizontal="center"/>
      <protection/>
    </xf>
    <xf numFmtId="176" fontId="53" fillId="7" borderId="46" xfId="0" applyNumberFormat="1" applyFont="1" applyFill="1" applyBorder="1" applyAlignment="1" applyProtection="1" quotePrefix="1">
      <alignment horizontal="center"/>
      <protection/>
    </xf>
    <xf numFmtId="4" fontId="53" fillId="7" borderId="41" xfId="0" applyNumberFormat="1" applyFont="1" applyFill="1" applyBorder="1" applyAlignment="1">
      <alignment horizontal="center"/>
    </xf>
    <xf numFmtId="4" fontId="53" fillId="7" borderId="44" xfId="0" applyNumberFormat="1" applyFont="1" applyFill="1" applyBorder="1" applyAlignment="1">
      <alignment horizontal="center"/>
    </xf>
    <xf numFmtId="176" fontId="62" fillId="10" borderId="1" xfId="0" applyNumberFormat="1" applyFont="1" applyFill="1" applyBorder="1" applyAlignment="1" applyProtection="1" quotePrefix="1">
      <alignment horizontal="center"/>
      <protection/>
    </xf>
    <xf numFmtId="4" fontId="62" fillId="10" borderId="12" xfId="0" applyNumberFormat="1" applyFont="1" applyFill="1" applyBorder="1" applyAlignment="1">
      <alignment horizontal="center"/>
    </xf>
    <xf numFmtId="0" fontId="61" fillId="10" borderId="12" xfId="0" applyFont="1" applyFill="1" applyBorder="1" applyAlignment="1">
      <alignment horizontal="center" vertical="center" wrapText="1"/>
    </xf>
    <xf numFmtId="176" fontId="62" fillId="10" borderId="36" xfId="0" applyNumberFormat="1" applyFont="1" applyFill="1" applyBorder="1" applyAlignment="1" applyProtection="1" quotePrefix="1">
      <alignment horizontal="center"/>
      <protection/>
    </xf>
    <xf numFmtId="0" fontId="4" fillId="0" borderId="32" xfId="0" applyFont="1" applyBorder="1" applyAlignment="1">
      <alignment horizontal="center"/>
    </xf>
    <xf numFmtId="176" fontId="18" fillId="3" borderId="26" xfId="0" applyNumberFormat="1" applyFont="1" applyFill="1" applyBorder="1" applyAlignment="1">
      <alignment horizontal="center"/>
    </xf>
    <xf numFmtId="172" fontId="58" fillId="3" borderId="4" xfId="0" applyNumberFormat="1" applyFont="1" applyFill="1" applyBorder="1" applyAlignment="1" applyProtection="1">
      <alignment horizontal="center"/>
      <protection/>
    </xf>
    <xf numFmtId="0" fontId="72" fillId="11" borderId="12" xfId="0" applyFont="1" applyFill="1" applyBorder="1" applyAlignment="1">
      <alignment horizontal="center" vertical="center" wrapText="1"/>
    </xf>
    <xf numFmtId="0" fontId="73" fillId="11" borderId="37" xfId="0" applyFont="1" applyFill="1" applyBorder="1" applyAlignment="1">
      <alignment horizontal="center"/>
    </xf>
    <xf numFmtId="2" fontId="73" fillId="11" borderId="4" xfId="0" applyNumberFormat="1" applyFont="1" applyFill="1" applyBorder="1" applyAlignment="1">
      <alignment horizontal="center"/>
    </xf>
    <xf numFmtId="4" fontId="73" fillId="11" borderId="18" xfId="0" applyNumberFormat="1" applyFont="1" applyFill="1" applyBorder="1" applyAlignment="1">
      <alignment horizontal="center"/>
    </xf>
    <xf numFmtId="0" fontId="70" fillId="7" borderId="18" xfId="0" applyFont="1" applyFill="1" applyBorder="1" applyAlignment="1" applyProtection="1">
      <alignment horizontal="centerContinuous" vertical="center" wrapText="1"/>
      <protection/>
    </xf>
    <xf numFmtId="0" fontId="70" fillId="7" borderId="19" xfId="0" applyFont="1" applyFill="1" applyBorder="1" applyAlignment="1">
      <alignment horizontal="centerContinuous" vertical="center"/>
    </xf>
    <xf numFmtId="0" fontId="71" fillId="7" borderId="39" xfId="0" applyFont="1" applyFill="1" applyBorder="1" applyAlignment="1">
      <alignment horizontal="center"/>
    </xf>
    <xf numFmtId="0" fontId="71" fillId="7" borderId="40" xfId="0" applyFont="1" applyFill="1" applyBorder="1" applyAlignment="1">
      <alignment horizontal="center"/>
    </xf>
    <xf numFmtId="176" fontId="71" fillId="7" borderId="9" xfId="0" applyNumberFormat="1" applyFont="1" applyFill="1" applyBorder="1" applyAlignment="1" applyProtection="1" quotePrefix="1">
      <alignment horizontal="center"/>
      <protection/>
    </xf>
    <xf numFmtId="176" fontId="71" fillId="7" borderId="47" xfId="0" applyNumberFormat="1" applyFont="1" applyFill="1" applyBorder="1" applyAlignment="1" applyProtection="1" quotePrefix="1">
      <alignment horizontal="center"/>
      <protection/>
    </xf>
    <xf numFmtId="4" fontId="71" fillId="7" borderId="41" xfId="0" applyNumberFormat="1" applyFont="1" applyFill="1" applyBorder="1" applyAlignment="1">
      <alignment horizontal="center"/>
    </xf>
    <xf numFmtId="4" fontId="71" fillId="7" borderId="19" xfId="0" applyNumberFormat="1" applyFont="1" applyFill="1" applyBorder="1" applyAlignment="1">
      <alignment horizontal="center"/>
    </xf>
    <xf numFmtId="0" fontId="61" fillId="6" borderId="12" xfId="0" applyFont="1" applyFill="1" applyBorder="1" applyAlignment="1">
      <alignment horizontal="center" vertical="center" wrapText="1"/>
    </xf>
    <xf numFmtId="0" fontId="62" fillId="6" borderId="37" xfId="0" applyFont="1" applyFill="1" applyBorder="1" applyAlignment="1">
      <alignment horizontal="center"/>
    </xf>
    <xf numFmtId="176" fontId="62" fillId="6" borderId="4" xfId="0" applyNumberFormat="1" applyFont="1" applyFill="1" applyBorder="1" applyAlignment="1" applyProtection="1" quotePrefix="1">
      <alignment horizontal="center"/>
      <protection/>
    </xf>
    <xf numFmtId="4" fontId="62" fillId="6" borderId="12" xfId="0" applyNumberFormat="1" applyFont="1" applyFill="1" applyBorder="1" applyAlignment="1">
      <alignment horizontal="center"/>
    </xf>
    <xf numFmtId="176" fontId="18" fillId="3" borderId="4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right"/>
    </xf>
    <xf numFmtId="7" fontId="12" fillId="3" borderId="12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4" fontId="60" fillId="9" borderId="12" xfId="0" applyNumberFormat="1" applyFont="1" applyFill="1" applyBorder="1" applyAlignment="1">
      <alignment horizontal="center"/>
    </xf>
    <xf numFmtId="4" fontId="71" fillId="6" borderId="12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7" fontId="8" fillId="0" borderId="24" xfId="0" applyNumberFormat="1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8" fillId="8" borderId="12" xfId="0" applyFont="1" applyFill="1" applyBorder="1" applyAlignment="1" applyProtection="1">
      <alignment horizontal="center" vertical="center" wrapText="1"/>
      <protection/>
    </xf>
    <xf numFmtId="0" fontId="22" fillId="8" borderId="36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2" fontId="74" fillId="8" borderId="1" xfId="0" applyNumberFormat="1" applyFont="1" applyFill="1" applyBorder="1" applyAlignment="1" applyProtection="1">
      <alignment horizontal="center"/>
      <protection/>
    </xf>
    <xf numFmtId="2" fontId="22" fillId="8" borderId="5" xfId="0" applyNumberFormat="1" applyFont="1" applyFill="1" applyBorder="1" applyAlignment="1" applyProtection="1">
      <alignment horizontal="center"/>
      <protection/>
    </xf>
    <xf numFmtId="0" fontId="63" fillId="4" borderId="36" xfId="0" applyFont="1" applyFill="1" applyBorder="1" applyAlignment="1">
      <alignment horizontal="center"/>
    </xf>
    <xf numFmtId="0" fontId="63" fillId="4" borderId="1" xfId="0" applyFont="1" applyFill="1" applyBorder="1" applyAlignment="1">
      <alignment horizontal="center"/>
    </xf>
    <xf numFmtId="2" fontId="63" fillId="4" borderId="5" xfId="0" applyNumberFormat="1" applyFont="1" applyFill="1" applyBorder="1" applyAlignment="1" applyProtection="1">
      <alignment horizontal="center"/>
      <protection/>
    </xf>
    <xf numFmtId="0" fontId="61" fillId="10" borderId="18" xfId="0" applyFont="1" applyFill="1" applyBorder="1" applyAlignment="1" applyProtection="1">
      <alignment horizontal="centerContinuous" vertical="center" wrapText="1"/>
      <protection/>
    </xf>
    <xf numFmtId="0" fontId="61" fillId="10" borderId="19" xfId="0" applyFont="1" applyFill="1" applyBorder="1" applyAlignment="1" applyProtection="1">
      <alignment horizontal="centerContinuous" vertical="center" wrapText="1"/>
      <protection/>
    </xf>
    <xf numFmtId="0" fontId="63" fillId="10" borderId="39" xfId="0" applyFont="1" applyFill="1" applyBorder="1" applyAlignment="1">
      <alignment horizontal="center"/>
    </xf>
    <xf numFmtId="0" fontId="63" fillId="10" borderId="40" xfId="0" applyFont="1" applyFill="1" applyBorder="1" applyAlignment="1" applyProtection="1">
      <alignment horizontal="center"/>
      <protection/>
    </xf>
    <xf numFmtId="0" fontId="63" fillId="10" borderId="45" xfId="0" applyFont="1" applyFill="1" applyBorder="1" applyAlignment="1">
      <alignment horizontal="center"/>
    </xf>
    <xf numFmtId="0" fontId="63" fillId="10" borderId="2" xfId="0" applyFont="1" applyFill="1" applyBorder="1" applyAlignment="1" applyProtection="1">
      <alignment horizontal="center"/>
      <protection/>
    </xf>
    <xf numFmtId="176" fontId="62" fillId="10" borderId="45" xfId="0" applyNumberFormat="1" applyFont="1" applyFill="1" applyBorder="1" applyAlignment="1" applyProtection="1" quotePrefix="1">
      <alignment horizontal="center"/>
      <protection/>
    </xf>
    <xf numFmtId="176" fontId="62" fillId="10" borderId="2" xfId="0" applyNumberFormat="1" applyFont="1" applyFill="1" applyBorder="1" applyAlignment="1" applyProtection="1" quotePrefix="1">
      <alignment horizontal="center"/>
      <protection/>
    </xf>
    <xf numFmtId="176" fontId="63" fillId="10" borderId="48" xfId="0" applyNumberFormat="1" applyFont="1" applyFill="1" applyBorder="1" applyAlignment="1" applyProtection="1" quotePrefix="1">
      <alignment horizontal="center"/>
      <protection/>
    </xf>
    <xf numFmtId="176" fontId="63" fillId="10" borderId="7" xfId="0" applyNumberFormat="1" applyFont="1" applyFill="1" applyBorder="1" applyAlignment="1" applyProtection="1" quotePrefix="1">
      <alignment horizontal="center"/>
      <protection/>
    </xf>
    <xf numFmtId="0" fontId="55" fillId="7" borderId="19" xfId="0" applyFont="1" applyFill="1" applyBorder="1" applyAlignment="1" applyProtection="1">
      <alignment horizontal="centerContinuous" vertical="center" wrapText="1"/>
      <protection/>
    </xf>
    <xf numFmtId="0" fontId="52" fillId="7" borderId="39" xfId="0" applyFont="1" applyFill="1" applyBorder="1" applyAlignment="1">
      <alignment horizontal="left"/>
    </xf>
    <xf numFmtId="0" fontId="52" fillId="7" borderId="34" xfId="0" applyFont="1" applyFill="1" applyBorder="1" applyAlignment="1">
      <alignment horizontal="left"/>
    </xf>
    <xf numFmtId="0" fontId="52" fillId="7" borderId="45" xfId="0" applyFont="1" applyFill="1" applyBorder="1" applyAlignment="1">
      <alignment horizontal="left"/>
    </xf>
    <xf numFmtId="0" fontId="52" fillId="7" borderId="2" xfId="0" applyFont="1" applyFill="1" applyBorder="1" applyAlignment="1">
      <alignment horizontal="left"/>
    </xf>
    <xf numFmtId="176" fontId="53" fillId="7" borderId="2" xfId="0" applyNumberFormat="1" applyFont="1" applyFill="1" applyBorder="1" applyAlignment="1" applyProtection="1" quotePrefix="1">
      <alignment horizontal="center"/>
      <protection/>
    </xf>
    <xf numFmtId="4" fontId="52" fillId="7" borderId="48" xfId="0" applyNumberFormat="1" applyFont="1" applyFill="1" applyBorder="1" applyAlignment="1" applyProtection="1">
      <alignment horizontal="center"/>
      <protection/>
    </xf>
    <xf numFmtId="4" fontId="52" fillId="7" borderId="7" xfId="0" applyNumberFormat="1" applyFont="1" applyFill="1" applyBorder="1" applyAlignment="1" applyProtection="1">
      <alignment horizontal="center"/>
      <protection/>
    </xf>
    <xf numFmtId="176" fontId="62" fillId="10" borderId="12" xfId="0" applyNumberFormat="1" applyFont="1" applyFill="1" applyBorder="1" applyAlignment="1" applyProtection="1" quotePrefix="1">
      <alignment horizontal="center"/>
      <protection/>
    </xf>
    <xf numFmtId="4" fontId="53" fillId="7" borderId="12" xfId="0" applyNumberFormat="1" applyFont="1" applyFill="1" applyBorder="1" applyAlignment="1" applyProtection="1">
      <alignment horizontal="center"/>
      <protection/>
    </xf>
    <xf numFmtId="0" fontId="61" fillId="6" borderId="12" xfId="0" applyFont="1" applyFill="1" applyBorder="1" applyAlignment="1" applyProtection="1">
      <alignment horizontal="centerContinuous" vertical="center" wrapText="1"/>
      <protection/>
    </xf>
    <xf numFmtId="0" fontId="63" fillId="6" borderId="36" xfId="0" applyFont="1" applyFill="1" applyBorder="1" applyAlignment="1">
      <alignment horizontal="left"/>
    </xf>
    <xf numFmtId="0" fontId="63" fillId="6" borderId="1" xfId="0" applyFont="1" applyFill="1" applyBorder="1" applyAlignment="1">
      <alignment horizontal="left"/>
    </xf>
    <xf numFmtId="176" fontId="62" fillId="6" borderId="1" xfId="0" applyNumberFormat="1" applyFont="1" applyFill="1" applyBorder="1" applyAlignment="1" applyProtection="1" quotePrefix="1">
      <alignment horizontal="center"/>
      <protection/>
    </xf>
    <xf numFmtId="4" fontId="63" fillId="6" borderId="5" xfId="0" applyNumberFormat="1" applyFont="1" applyFill="1" applyBorder="1" applyAlignment="1" applyProtection="1">
      <alignment horizontal="center"/>
      <protection/>
    </xf>
    <xf numFmtId="4" fontId="62" fillId="6" borderId="12" xfId="0" applyNumberFormat="1" applyFont="1" applyFill="1" applyBorder="1" applyAlignment="1" applyProtection="1">
      <alignment horizontal="center"/>
      <protection/>
    </xf>
    <xf numFmtId="0" fontId="61" fillId="12" borderId="12" xfId="0" applyFont="1" applyFill="1" applyBorder="1" applyAlignment="1" applyProtection="1">
      <alignment horizontal="centerContinuous" vertical="center" wrapText="1"/>
      <protection/>
    </xf>
    <xf numFmtId="0" fontId="63" fillId="12" borderId="36" xfId="0" applyFont="1" applyFill="1" applyBorder="1" applyAlignment="1">
      <alignment horizontal="left"/>
    </xf>
    <xf numFmtId="0" fontId="63" fillId="12" borderId="1" xfId="0" applyFont="1" applyFill="1" applyBorder="1" applyAlignment="1">
      <alignment horizontal="left"/>
    </xf>
    <xf numFmtId="176" fontId="62" fillId="12" borderId="1" xfId="0" applyNumberFormat="1" applyFont="1" applyFill="1" applyBorder="1" applyAlignment="1" applyProtection="1" quotePrefix="1">
      <alignment horizontal="center"/>
      <protection/>
    </xf>
    <xf numFmtId="4" fontId="63" fillId="12" borderId="5" xfId="0" applyNumberFormat="1" applyFont="1" applyFill="1" applyBorder="1" applyAlignment="1" applyProtection="1">
      <alignment horizontal="center"/>
      <protection/>
    </xf>
    <xf numFmtId="4" fontId="62" fillId="12" borderId="12" xfId="0" applyNumberFormat="1" applyFont="1" applyFill="1" applyBorder="1" applyAlignment="1" applyProtection="1">
      <alignment horizontal="center"/>
      <protection/>
    </xf>
    <xf numFmtId="7" fontId="4" fillId="0" borderId="36" xfId="0" applyNumberFormat="1" applyFont="1" applyBorder="1" applyAlignment="1">
      <alignment/>
    </xf>
    <xf numFmtId="7" fontId="18" fillId="3" borderId="37" xfId="0" applyNumberFormat="1" applyFont="1" applyFill="1" applyBorder="1" applyAlignment="1">
      <alignment horizontal="center"/>
    </xf>
    <xf numFmtId="7" fontId="18" fillId="0" borderId="3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4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58" fillId="3" borderId="1" xfId="0" applyNumberFormat="1" applyFont="1" applyFill="1" applyBorder="1" applyAlignment="1" applyProtection="1">
      <alignment horizontal="center"/>
      <protection/>
    </xf>
    <xf numFmtId="7" fontId="16" fillId="0" borderId="38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75" fillId="0" borderId="0" xfId="0" applyFont="1" applyAlignment="1">
      <alignment horizontal="right" vertical="top"/>
    </xf>
    <xf numFmtId="0" fontId="75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0" fontId="0" fillId="0" borderId="18" xfId="0" applyFont="1" applyBorder="1" applyAlignment="1" applyProtection="1">
      <alignment horizontal="left" vertical="center"/>
      <protection/>
    </xf>
    <xf numFmtId="18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80" fontId="0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4" fillId="13" borderId="24" xfId="0" applyFont="1" applyFill="1" applyBorder="1" applyAlignment="1">
      <alignment/>
    </xf>
    <xf numFmtId="0" fontId="4" fillId="13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4" fillId="13" borderId="18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7" fontId="12" fillId="0" borderId="17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center"/>
    </xf>
    <xf numFmtId="176" fontId="19" fillId="2" borderId="49" xfId="0" applyNumberFormat="1" applyFont="1" applyFill="1" applyBorder="1" applyAlignment="1">
      <alignment horizontal="center"/>
    </xf>
    <xf numFmtId="0" fontId="78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6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 quotePrefix="1">
      <alignment horizontal="center"/>
      <protection locked="0"/>
    </xf>
    <xf numFmtId="0" fontId="4" fillId="0" borderId="7" xfId="0" applyFont="1" applyBorder="1" applyAlignment="1" applyProtection="1" quotePrefix="1">
      <alignment horizontal="center"/>
      <protection locked="0"/>
    </xf>
    <xf numFmtId="2" fontId="74" fillId="0" borderId="38" xfId="0" applyNumberFormat="1" applyFont="1" applyFill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7" xfId="0" applyNumberFormat="1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49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2" fontId="65" fillId="6" borderId="1" xfId="0" applyNumberFormat="1" applyFont="1" applyFill="1" applyBorder="1" applyAlignment="1" applyProtection="1">
      <alignment horizontal="center"/>
      <protection locked="0"/>
    </xf>
    <xf numFmtId="2" fontId="67" fillId="7" borderId="1" xfId="0" applyNumberFormat="1" applyFont="1" applyFill="1" applyBorder="1" applyAlignment="1" applyProtection="1">
      <alignment horizontal="center"/>
      <protection locked="0"/>
    </xf>
    <xf numFmtId="176" fontId="54" fillId="3" borderId="9" xfId="0" applyNumberFormat="1" applyFont="1" applyFill="1" applyBorder="1" applyAlignment="1" applyProtection="1" quotePrefix="1">
      <alignment horizontal="center"/>
      <protection locked="0"/>
    </xf>
    <xf numFmtId="176" fontId="54" fillId="3" borderId="47" xfId="0" applyNumberFormat="1" applyFont="1" applyFill="1" applyBorder="1" applyAlignment="1" applyProtection="1" quotePrefix="1">
      <alignment horizontal="center"/>
      <protection locked="0"/>
    </xf>
    <xf numFmtId="176" fontId="69" fillId="8" borderId="9" xfId="0" applyNumberFormat="1" applyFont="1" applyFill="1" applyBorder="1" applyAlignment="1" applyProtection="1" quotePrefix="1">
      <alignment horizontal="center"/>
      <protection locked="0"/>
    </xf>
    <xf numFmtId="176" fontId="69" fillId="8" borderId="47" xfId="0" applyNumberFormat="1" applyFont="1" applyFill="1" applyBorder="1" applyAlignment="1" applyProtection="1" quotePrefix="1">
      <alignment horizontal="center"/>
      <protection locked="0"/>
    </xf>
    <xf numFmtId="176" fontId="60" fillId="9" borderId="1" xfId="0" applyNumberFormat="1" applyFont="1" applyFill="1" applyBorder="1" applyAlignment="1" applyProtection="1" quotePrefix="1">
      <alignment horizontal="center"/>
      <protection locked="0"/>
    </xf>
    <xf numFmtId="176" fontId="71" fillId="6" borderId="4" xfId="0" applyNumberFormat="1" applyFont="1" applyFill="1" applyBorder="1" applyAlignment="1" applyProtection="1" quotePrefix="1">
      <alignment horizontal="center"/>
      <protection locked="0"/>
    </xf>
    <xf numFmtId="2" fontId="65" fillId="6" borderId="5" xfId="0" applyNumberFormat="1" applyFont="1" applyFill="1" applyBorder="1" applyAlignment="1" applyProtection="1">
      <alignment horizontal="center"/>
      <protection locked="0"/>
    </xf>
    <xf numFmtId="2" fontId="67" fillId="7" borderId="5" xfId="0" applyNumberFormat="1" applyFont="1" applyFill="1" applyBorder="1" applyAlignment="1" applyProtection="1">
      <alignment horizontal="center"/>
      <protection locked="0"/>
    </xf>
    <xf numFmtId="176" fontId="54" fillId="3" borderId="51" xfId="0" applyNumberFormat="1" applyFont="1" applyFill="1" applyBorder="1" applyAlignment="1" applyProtection="1" quotePrefix="1">
      <alignment horizontal="center"/>
      <protection locked="0"/>
    </xf>
    <xf numFmtId="176" fontId="54" fillId="3" borderId="52" xfId="0" applyNumberFormat="1" applyFont="1" applyFill="1" applyBorder="1" applyAlignment="1" applyProtection="1" quotePrefix="1">
      <alignment horizontal="center"/>
      <protection locked="0"/>
    </xf>
    <xf numFmtId="176" fontId="69" fillId="8" borderId="48" xfId="0" applyNumberFormat="1" applyFont="1" applyFill="1" applyBorder="1" applyAlignment="1" applyProtection="1" quotePrefix="1">
      <alignment horizontal="center"/>
      <protection locked="0"/>
    </xf>
    <xf numFmtId="176" fontId="69" fillId="8" borderId="53" xfId="0" applyNumberFormat="1" applyFont="1" applyFill="1" applyBorder="1" applyAlignment="1" applyProtection="1" quotePrefix="1">
      <alignment horizontal="center"/>
      <protection locked="0"/>
    </xf>
    <xf numFmtId="176" fontId="60" fillId="9" borderId="5" xfId="0" applyNumberFormat="1" applyFont="1" applyFill="1" applyBorder="1" applyAlignment="1" applyProtection="1" quotePrefix="1">
      <alignment horizontal="center"/>
      <protection locked="0"/>
    </xf>
    <xf numFmtId="176" fontId="71" fillId="6" borderId="5" xfId="0" applyNumberFormat="1" applyFont="1" applyFill="1" applyBorder="1" applyAlignment="1" applyProtection="1" quotePrefix="1">
      <alignment horizontal="center"/>
      <protection locked="0"/>
    </xf>
    <xf numFmtId="176" fontId="19" fillId="0" borderId="7" xfId="0" applyNumberFormat="1" applyFont="1" applyFill="1" applyBorder="1" applyAlignment="1" applyProtection="1">
      <alignment horizontal="center"/>
      <protection locked="0"/>
    </xf>
    <xf numFmtId="172" fontId="63" fillId="5" borderId="1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2" fontId="63" fillId="5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22" fontId="4" fillId="0" borderId="45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7" xfId="0" applyNumberFormat="1" applyFont="1" applyBorder="1" applyAlignment="1" applyProtection="1">
      <alignment horizontal="center"/>
      <protection locked="0"/>
    </xf>
    <xf numFmtId="172" fontId="63" fillId="4" borderId="1" xfId="0" applyNumberFormat="1" applyFont="1" applyFill="1" applyBorder="1" applyAlignment="1" applyProtection="1">
      <alignment horizontal="center"/>
      <protection locked="0"/>
    </xf>
    <xf numFmtId="2" fontId="69" fillId="8" borderId="1" xfId="0" applyNumberFormat="1" applyFont="1" applyFill="1" applyBorder="1" applyAlignment="1" applyProtection="1">
      <alignment horizontal="center"/>
      <protection locked="0"/>
    </xf>
    <xf numFmtId="176" fontId="53" fillId="7" borderId="45" xfId="0" applyNumberFormat="1" applyFont="1" applyFill="1" applyBorder="1" applyAlignment="1" applyProtection="1" quotePrefix="1">
      <alignment horizontal="center"/>
      <protection locked="0"/>
    </xf>
    <xf numFmtId="176" fontId="53" fillId="7" borderId="46" xfId="0" applyNumberFormat="1" applyFont="1" applyFill="1" applyBorder="1" applyAlignment="1" applyProtection="1" quotePrefix="1">
      <alignment horizontal="center"/>
      <protection locked="0"/>
    </xf>
    <xf numFmtId="176" fontId="62" fillId="10" borderId="1" xfId="0" applyNumberFormat="1" applyFont="1" applyFill="1" applyBorder="1" applyAlignment="1" applyProtection="1" quotePrefix="1">
      <alignment horizontal="center"/>
      <protection locked="0"/>
    </xf>
    <xf numFmtId="172" fontId="63" fillId="4" borderId="5" xfId="0" applyNumberFormat="1" applyFont="1" applyFill="1" applyBorder="1" applyAlignment="1" applyProtection="1">
      <alignment horizontal="center"/>
      <protection locked="0"/>
    </xf>
    <xf numFmtId="2" fontId="69" fillId="8" borderId="5" xfId="0" applyNumberFormat="1" applyFont="1" applyFill="1" applyBorder="1" applyAlignment="1" applyProtection="1">
      <alignment horizontal="center"/>
      <protection locked="0"/>
    </xf>
    <xf numFmtId="176" fontId="53" fillId="7" borderId="48" xfId="0" applyNumberFormat="1" applyFont="1" applyFill="1" applyBorder="1" applyAlignment="1" applyProtection="1" quotePrefix="1">
      <alignment horizontal="center"/>
      <protection locked="0"/>
    </xf>
    <xf numFmtId="176" fontId="53" fillId="7" borderId="53" xfId="0" applyNumberFormat="1" applyFont="1" applyFill="1" applyBorder="1" applyAlignment="1" applyProtection="1" quotePrefix="1">
      <alignment horizontal="center"/>
      <protection locked="0"/>
    </xf>
    <xf numFmtId="176" fontId="62" fillId="10" borderId="5" xfId="0" applyNumberFormat="1" applyFont="1" applyFill="1" applyBorder="1" applyAlignment="1" applyProtection="1" quotePrefix="1">
      <alignment horizontal="center"/>
      <protection locked="0"/>
    </xf>
    <xf numFmtId="180" fontId="0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58" fillId="3" borderId="1" xfId="0" applyNumberFormat="1" applyFont="1" applyFill="1" applyBorder="1" applyAlignment="1" applyProtection="1">
      <alignment horizontal="center"/>
      <protection locked="0"/>
    </xf>
    <xf numFmtId="2" fontId="73" fillId="11" borderId="1" xfId="0" applyNumberFormat="1" applyFont="1" applyFill="1" applyBorder="1" applyAlignment="1" applyProtection="1">
      <alignment horizontal="center"/>
      <protection locked="0"/>
    </xf>
    <xf numFmtId="176" fontId="71" fillId="7" borderId="9" xfId="0" applyNumberFormat="1" applyFont="1" applyFill="1" applyBorder="1" applyAlignment="1" applyProtection="1" quotePrefix="1">
      <alignment horizontal="center"/>
      <protection locked="0"/>
    </xf>
    <xf numFmtId="176" fontId="71" fillId="7" borderId="47" xfId="0" applyNumberFormat="1" applyFont="1" applyFill="1" applyBorder="1" applyAlignment="1" applyProtection="1" quotePrefix="1">
      <alignment horizontal="center"/>
      <protection locked="0"/>
    </xf>
    <xf numFmtId="176" fontId="62" fillId="6" borderId="4" xfId="0" applyNumberFormat="1" applyFont="1" applyFill="1" applyBorder="1" applyAlignment="1" applyProtection="1" quotePrefix="1">
      <alignment horizontal="center"/>
      <protection locked="0"/>
    </xf>
    <xf numFmtId="176" fontId="4" fillId="0" borderId="6" xfId="0" applyNumberFormat="1" applyFont="1" applyBorder="1" applyAlignment="1" applyProtection="1">
      <alignment horizontal="center"/>
      <protection locked="0"/>
    </xf>
    <xf numFmtId="172" fontId="58" fillId="3" borderId="5" xfId="0" applyNumberFormat="1" applyFont="1" applyFill="1" applyBorder="1" applyAlignment="1" applyProtection="1">
      <alignment horizontal="center"/>
      <protection locked="0"/>
    </xf>
    <xf numFmtId="2" fontId="73" fillId="11" borderId="5" xfId="0" applyNumberFormat="1" applyFont="1" applyFill="1" applyBorder="1" applyAlignment="1" applyProtection="1">
      <alignment horizontal="center"/>
      <protection locked="0"/>
    </xf>
    <xf numFmtId="176" fontId="71" fillId="7" borderId="51" xfId="0" applyNumberFormat="1" applyFont="1" applyFill="1" applyBorder="1" applyAlignment="1" applyProtection="1" quotePrefix="1">
      <alignment horizontal="center"/>
      <protection locked="0"/>
    </xf>
    <xf numFmtId="176" fontId="71" fillId="7" borderId="52" xfId="0" applyNumberFormat="1" applyFont="1" applyFill="1" applyBorder="1" applyAlignment="1" applyProtection="1" quotePrefix="1">
      <alignment horizontal="center"/>
      <protection locked="0"/>
    </xf>
    <xf numFmtId="176" fontId="62" fillId="6" borderId="5" xfId="0" applyNumberFormat="1" applyFont="1" applyFill="1" applyBorder="1" applyAlignment="1" applyProtection="1" quotePrefix="1">
      <alignment horizontal="center"/>
      <protection locked="0"/>
    </xf>
    <xf numFmtId="176" fontId="4" fillId="0" borderId="5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22" fillId="2" borderId="4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 quotePrefix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176" fontId="58" fillId="2" borderId="1" xfId="0" applyNumberFormat="1" applyFont="1" applyFill="1" applyBorder="1" applyAlignment="1" applyProtection="1">
      <alignment horizontal="center"/>
      <protection/>
    </xf>
    <xf numFmtId="22" fontId="4" fillId="2" borderId="45" xfId="0" applyNumberFormat="1" applyFont="1" applyFill="1" applyBorder="1" applyAlignment="1" applyProtection="1">
      <alignment horizontal="center"/>
      <protection locked="0"/>
    </xf>
    <xf numFmtId="22" fontId="4" fillId="0" borderId="4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6"/>
  <sheetViews>
    <sheetView zoomScale="75" zoomScaleNormal="75" workbookViewId="0" topLeftCell="A1">
      <selection activeCell="C9" sqref="C9"/>
    </sheetView>
  </sheetViews>
  <sheetFormatPr defaultColWidth="11.421875" defaultRowHeight="12.75"/>
  <cols>
    <col min="1" max="1" width="22.7109375" style="15" customWidth="1"/>
    <col min="2" max="2" width="7.7109375" style="15" customWidth="1"/>
    <col min="3" max="3" width="9.140625" style="15" customWidth="1"/>
    <col min="4" max="4" width="10.7109375" style="15" customWidth="1"/>
    <col min="5" max="5" width="9.57421875" style="15" customWidth="1"/>
    <col min="6" max="6" width="17.00390625" style="15" customWidth="1"/>
    <col min="7" max="7" width="19.8515625" style="15" customWidth="1"/>
    <col min="8" max="8" width="17.57421875" style="15" customWidth="1"/>
    <col min="9" max="9" width="21.57421875" style="15" customWidth="1"/>
    <col min="10" max="10" width="12.28125" style="15" customWidth="1"/>
    <col min="11" max="11" width="15.7109375" style="15" customWidth="1"/>
    <col min="12" max="13" width="11.421875" style="15" customWidth="1"/>
    <col min="14" max="14" width="14.140625" style="15" customWidth="1"/>
    <col min="15" max="15" width="11.421875" style="15" customWidth="1"/>
    <col min="16" max="16" width="14.7109375" style="15" customWidth="1"/>
    <col min="17" max="17" width="11.421875" style="15" customWidth="1"/>
    <col min="18" max="18" width="12.00390625" style="15" customWidth="1"/>
    <col min="19" max="16384" width="11.421875" style="15" customWidth="1"/>
  </cols>
  <sheetData>
    <row r="1" spans="2:11" s="59" customFormat="1" ht="26.25">
      <c r="B1" s="60"/>
      <c r="E1" s="12"/>
      <c r="K1" s="427"/>
    </row>
    <row r="2" spans="2:10" s="59" customFormat="1" ht="26.25">
      <c r="B2" s="60" t="s">
        <v>102</v>
      </c>
      <c r="C2" s="61"/>
      <c r="D2" s="62"/>
      <c r="E2" s="62"/>
      <c r="F2" s="62"/>
      <c r="G2" s="62"/>
      <c r="H2" s="62"/>
      <c r="I2" s="62"/>
      <c r="J2" s="62"/>
    </row>
    <row r="3" spans="3:19" ht="12.75">
      <c r="C3"/>
      <c r="D3" s="63"/>
      <c r="E3" s="63"/>
      <c r="F3" s="63"/>
      <c r="G3" s="63"/>
      <c r="H3" s="63"/>
      <c r="I3" s="63"/>
      <c r="J3" s="63"/>
      <c r="P3" s="13"/>
      <c r="Q3" s="13"/>
      <c r="R3" s="13"/>
      <c r="S3" s="13"/>
    </row>
    <row r="4" spans="1:19" s="66" customFormat="1" ht="11.25">
      <c r="A4" s="64" t="s">
        <v>14</v>
      </c>
      <c r="B4" s="65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s="66" customFormat="1" ht="11.25">
      <c r="A5" s="64" t="s">
        <v>15</v>
      </c>
      <c r="B5" s="65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2:19" s="59" customFormat="1" ht="11.25" customHeight="1">
      <c r="B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2:19" s="9" customFormat="1" ht="21">
      <c r="B7" s="221" t="s">
        <v>0</v>
      </c>
      <c r="C7" s="70"/>
      <c r="D7" s="7"/>
      <c r="E7" s="7"/>
      <c r="F7" s="8"/>
      <c r="G7" s="8"/>
      <c r="H7" s="8"/>
      <c r="I7" s="8"/>
      <c r="J7" s="8"/>
      <c r="K7" s="10"/>
      <c r="L7" s="10"/>
      <c r="M7" s="10"/>
      <c r="N7" s="10"/>
      <c r="O7" s="10"/>
      <c r="P7" s="10"/>
      <c r="Q7" s="10"/>
      <c r="R7" s="10"/>
      <c r="S7" s="10"/>
    </row>
    <row r="8" spans="9:19" ht="12.75"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s="9" customFormat="1" ht="21">
      <c r="B9" s="221" t="s">
        <v>1</v>
      </c>
      <c r="C9" s="70"/>
      <c r="D9" s="7"/>
      <c r="E9" s="7"/>
      <c r="F9" s="7"/>
      <c r="G9" s="7"/>
      <c r="H9" s="7"/>
      <c r="I9" s="8"/>
      <c r="J9" s="8"/>
      <c r="K9" s="10"/>
      <c r="L9" s="10"/>
      <c r="M9" s="10"/>
      <c r="N9" s="10"/>
      <c r="O9" s="10"/>
      <c r="P9" s="10"/>
      <c r="Q9" s="10"/>
      <c r="R9" s="10"/>
      <c r="S9" s="10"/>
    </row>
    <row r="10" spans="4:19" ht="12.75">
      <c r="D10" s="72"/>
      <c r="E10" s="7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s="9" customFormat="1" ht="20.25">
      <c r="B11" s="221" t="s">
        <v>101</v>
      </c>
      <c r="C11" s="3"/>
      <c r="D11" s="71"/>
      <c r="E11" s="71"/>
      <c r="F11" s="7"/>
      <c r="G11" s="7"/>
      <c r="H11" s="7"/>
      <c r="I11" s="8"/>
      <c r="J11" s="8"/>
      <c r="K11" s="10"/>
      <c r="L11" s="10"/>
      <c r="M11" s="10"/>
      <c r="N11" s="10"/>
      <c r="O11" s="10"/>
      <c r="P11" s="10"/>
      <c r="Q11" s="10"/>
      <c r="R11" s="10"/>
      <c r="S11" s="10"/>
    </row>
    <row r="12" spans="4:19" s="73" customFormat="1" ht="16.5" thickBot="1">
      <c r="D12" s="74"/>
      <c r="E12" s="7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2:19" s="73" customFormat="1" ht="16.5" thickTop="1">
      <c r="B13" s="76"/>
      <c r="C13" s="77"/>
      <c r="D13" s="77"/>
      <c r="E13" s="416"/>
      <c r="F13" s="77"/>
      <c r="G13" s="77"/>
      <c r="H13" s="77"/>
      <c r="I13" s="77"/>
      <c r="J13" s="78"/>
      <c r="K13" s="75"/>
      <c r="L13" s="75"/>
      <c r="M13" s="75"/>
      <c r="N13" s="75"/>
      <c r="O13" s="75"/>
      <c r="P13" s="75"/>
      <c r="Q13" s="75"/>
      <c r="R13" s="75"/>
      <c r="S13" s="75"/>
    </row>
    <row r="14" spans="2:19" s="14" customFormat="1" ht="19.5">
      <c r="B14" s="79" t="s">
        <v>87</v>
      </c>
      <c r="C14" s="80"/>
      <c r="D14" s="81"/>
      <c r="E14" s="417"/>
      <c r="F14" s="82"/>
      <c r="G14" s="82"/>
      <c r="H14" s="82"/>
      <c r="I14" s="83"/>
      <c r="J14" s="84"/>
      <c r="K14" s="85"/>
      <c r="L14" s="85"/>
      <c r="M14" s="85"/>
      <c r="N14" s="85"/>
      <c r="O14" s="85"/>
      <c r="P14" s="85"/>
      <c r="Q14" s="85"/>
      <c r="R14" s="85"/>
      <c r="S14" s="85"/>
    </row>
    <row r="15" spans="2:19" s="14" customFormat="1" ht="13.5" customHeight="1">
      <c r="B15" s="86"/>
      <c r="C15" s="87"/>
      <c r="D15" s="415"/>
      <c r="E15" s="418"/>
      <c r="F15" s="39"/>
      <c r="G15" s="39"/>
      <c r="H15" s="39"/>
      <c r="I15" s="85"/>
      <c r="J15" s="88"/>
      <c r="K15" s="85"/>
      <c r="L15" s="85"/>
      <c r="M15" s="85"/>
      <c r="N15" s="85"/>
      <c r="O15" s="85"/>
      <c r="P15" s="85"/>
      <c r="Q15" s="85"/>
      <c r="R15" s="85"/>
      <c r="S15" s="85"/>
    </row>
    <row r="16" spans="2:19" s="14" customFormat="1" ht="19.5">
      <c r="B16" s="86"/>
      <c r="C16" s="89" t="s">
        <v>16</v>
      </c>
      <c r="D16" s="415" t="s">
        <v>17</v>
      </c>
      <c r="E16" s="418"/>
      <c r="F16" s="39"/>
      <c r="G16" s="39"/>
      <c r="H16" s="39"/>
      <c r="I16" s="90"/>
      <c r="J16" s="88"/>
      <c r="K16" s="85"/>
      <c r="L16" s="85"/>
      <c r="M16" s="85"/>
      <c r="N16" s="85"/>
      <c r="O16" s="85"/>
      <c r="P16" s="85"/>
      <c r="Q16" s="85"/>
      <c r="R16" s="85"/>
      <c r="S16" s="85"/>
    </row>
    <row r="17" spans="2:19" s="14" customFormat="1" ht="19.5">
      <c r="B17" s="86"/>
      <c r="C17" s="89"/>
      <c r="D17" s="415">
        <v>12</v>
      </c>
      <c r="E17" s="419" t="s">
        <v>18</v>
      </c>
      <c r="F17" s="39"/>
      <c r="G17" s="39"/>
      <c r="H17" s="39"/>
      <c r="I17" s="90">
        <f>'LIN-YACY'!V40</f>
        <v>970938</v>
      </c>
      <c r="J17" s="88"/>
      <c r="K17" s="85"/>
      <c r="L17" s="85"/>
      <c r="M17" s="85"/>
      <c r="N17" s="85"/>
      <c r="O17" s="85"/>
      <c r="P17" s="85"/>
      <c r="Q17" s="85"/>
      <c r="R17" s="85"/>
      <c r="S17" s="85"/>
    </row>
    <row r="18" spans="2:19" ht="12.75" customHeight="1">
      <c r="B18" s="91"/>
      <c r="C18" s="92"/>
      <c r="D18" s="415"/>
      <c r="E18" s="420"/>
      <c r="F18" s="93"/>
      <c r="G18" s="93"/>
      <c r="H18" s="93"/>
      <c r="I18" s="94"/>
      <c r="J18" s="95"/>
      <c r="K18" s="13"/>
      <c r="L18" s="13"/>
      <c r="M18" s="13"/>
      <c r="N18" s="13"/>
      <c r="O18" s="13"/>
      <c r="P18" s="13"/>
      <c r="Q18" s="13"/>
      <c r="R18" s="13"/>
      <c r="S18" s="13"/>
    </row>
    <row r="19" spans="2:19" s="14" customFormat="1" ht="19.5">
      <c r="B19" s="86"/>
      <c r="C19" s="89" t="s">
        <v>20</v>
      </c>
      <c r="D19" s="422" t="s">
        <v>21</v>
      </c>
      <c r="E19" s="418"/>
      <c r="F19" s="39"/>
      <c r="G19" s="39"/>
      <c r="H19" s="39"/>
      <c r="I19" s="90"/>
      <c r="J19" s="88"/>
      <c r="K19" s="85"/>
      <c r="L19" s="85"/>
      <c r="M19" s="85"/>
      <c r="N19" s="85"/>
      <c r="O19" s="85"/>
      <c r="P19" s="85"/>
      <c r="Q19" s="85"/>
      <c r="R19" s="85"/>
      <c r="S19" s="85"/>
    </row>
    <row r="20" spans="2:19" s="14" customFormat="1" ht="19.5">
      <c r="B20" s="86"/>
      <c r="C20" s="89"/>
      <c r="D20" s="415">
        <v>21</v>
      </c>
      <c r="E20" s="419" t="s">
        <v>22</v>
      </c>
      <c r="F20" s="39"/>
      <c r="G20" s="39"/>
      <c r="H20" s="39"/>
      <c r="I20" s="90"/>
      <c r="J20" s="88"/>
      <c r="K20" s="85"/>
      <c r="L20" s="85"/>
      <c r="M20" s="85"/>
      <c r="N20" s="85"/>
      <c r="O20" s="85"/>
      <c r="P20" s="85"/>
      <c r="Q20" s="85"/>
      <c r="R20" s="85"/>
      <c r="S20" s="85"/>
    </row>
    <row r="21" spans="2:19" s="14" customFormat="1" ht="19.5">
      <c r="B21" s="86"/>
      <c r="C21" s="89"/>
      <c r="D21" s="415"/>
      <c r="E21" s="421">
        <v>214</v>
      </c>
      <c r="F21" s="12" t="s">
        <v>78</v>
      </c>
      <c r="G21" s="39"/>
      <c r="H21" s="39"/>
      <c r="I21" s="90">
        <f>'TRAFO-ENECOR'!AA41</f>
        <v>389.4</v>
      </c>
      <c r="J21" s="88"/>
      <c r="K21" s="85"/>
      <c r="L21" s="85"/>
      <c r="M21" s="85"/>
      <c r="N21" s="85"/>
      <c r="O21" s="85"/>
      <c r="P21" s="85"/>
      <c r="Q21" s="85"/>
      <c r="R21" s="85"/>
      <c r="S21" s="85"/>
    </row>
    <row r="22" spans="2:19" s="14" customFormat="1" ht="19.5">
      <c r="B22" s="86"/>
      <c r="C22" s="89"/>
      <c r="D22" s="415">
        <v>22</v>
      </c>
      <c r="E22" s="419" t="s">
        <v>24</v>
      </c>
      <c r="F22" s="39"/>
      <c r="G22" s="39"/>
      <c r="H22" s="39"/>
      <c r="I22" s="90"/>
      <c r="J22" s="88"/>
      <c r="K22" s="85"/>
      <c r="L22" s="85"/>
      <c r="M22" s="85"/>
      <c r="N22" s="85"/>
      <c r="O22" s="85"/>
      <c r="P22" s="85"/>
      <c r="Q22" s="85"/>
      <c r="R22" s="85"/>
      <c r="S22" s="85"/>
    </row>
    <row r="23" spans="2:19" s="14" customFormat="1" ht="19.5">
      <c r="B23" s="86"/>
      <c r="C23" s="89"/>
      <c r="D23" s="415"/>
      <c r="E23" s="421">
        <v>222</v>
      </c>
      <c r="F23" s="12" t="s">
        <v>23</v>
      </c>
      <c r="G23" s="39"/>
      <c r="H23" s="39"/>
      <c r="I23" s="90">
        <f>'SALIDA-TIBA'!T43</f>
        <v>3189.93</v>
      </c>
      <c r="J23" s="88"/>
      <c r="K23" s="85"/>
      <c r="L23" s="85"/>
      <c r="M23" s="85"/>
      <c r="N23" s="85"/>
      <c r="O23" s="85"/>
      <c r="P23" s="85"/>
      <c r="Q23" s="85"/>
      <c r="R23" s="85"/>
      <c r="S23" s="85"/>
    </row>
    <row r="24" spans="2:19" s="14" customFormat="1" ht="19.5">
      <c r="B24" s="86"/>
      <c r="C24" s="89"/>
      <c r="D24" s="415"/>
      <c r="E24" s="421">
        <v>223</v>
      </c>
      <c r="F24" s="12" t="s">
        <v>93</v>
      </c>
      <c r="G24" s="39"/>
      <c r="H24" s="39"/>
      <c r="I24" s="90">
        <f>'SALIDA TESA'!T42</f>
        <v>5531.94</v>
      </c>
      <c r="J24" s="88"/>
      <c r="K24" s="85"/>
      <c r="L24" s="85"/>
      <c r="M24" s="85"/>
      <c r="N24" s="85"/>
      <c r="O24" s="85"/>
      <c r="P24" s="85"/>
      <c r="Q24" s="85"/>
      <c r="R24" s="85"/>
      <c r="S24" s="85"/>
    </row>
    <row r="25" spans="2:19" s="14" customFormat="1" ht="19.5">
      <c r="B25" s="86"/>
      <c r="C25" s="89"/>
      <c r="D25" s="415"/>
      <c r="E25" s="421"/>
      <c r="F25" s="12"/>
      <c r="G25" s="39"/>
      <c r="H25" s="39"/>
      <c r="I25" s="90"/>
      <c r="J25" s="88"/>
      <c r="K25" s="85"/>
      <c r="L25" s="85"/>
      <c r="M25" s="85"/>
      <c r="N25" s="85"/>
      <c r="O25" s="85"/>
      <c r="P25" s="85"/>
      <c r="Q25" s="85"/>
      <c r="R25" s="85"/>
      <c r="S25" s="85"/>
    </row>
    <row r="26" spans="2:19" ht="12.75" customHeight="1">
      <c r="B26" s="91"/>
      <c r="C26" s="92"/>
      <c r="D26" s="415"/>
      <c r="E26" s="420"/>
      <c r="F26" s="93"/>
      <c r="G26" s="93"/>
      <c r="H26" s="93"/>
      <c r="I26" s="94"/>
      <c r="J26" s="95"/>
      <c r="K26" s="13"/>
      <c r="L26" s="13"/>
      <c r="M26" s="13"/>
      <c r="N26" s="13"/>
      <c r="O26" s="13"/>
      <c r="P26" s="13"/>
      <c r="Q26" s="13"/>
      <c r="R26" s="13"/>
      <c r="S26" s="13"/>
    </row>
    <row r="27" spans="2:19" s="14" customFormat="1" ht="19.5">
      <c r="B27" s="86"/>
      <c r="C27" s="89" t="s">
        <v>25</v>
      </c>
      <c r="D27" s="422" t="s">
        <v>26</v>
      </c>
      <c r="E27" s="418"/>
      <c r="F27" s="39"/>
      <c r="G27" s="39"/>
      <c r="H27" s="39"/>
      <c r="I27" s="90"/>
      <c r="J27" s="88"/>
      <c r="K27" s="85"/>
      <c r="L27" s="85"/>
      <c r="M27" s="85"/>
      <c r="N27" s="85"/>
      <c r="O27" s="85"/>
      <c r="P27" s="85"/>
      <c r="Q27" s="85"/>
      <c r="R27" s="85"/>
      <c r="S27" s="85"/>
    </row>
    <row r="28" spans="2:19" s="14" customFormat="1" ht="19.5">
      <c r="B28" s="86"/>
      <c r="C28" s="89"/>
      <c r="D28" s="415">
        <v>33</v>
      </c>
      <c r="E28" s="419" t="s">
        <v>19</v>
      </c>
      <c r="F28" s="39"/>
      <c r="G28" s="39"/>
      <c r="H28" s="39"/>
      <c r="I28" s="90">
        <f>'REAC-LITSA'!V45</f>
        <v>631.9</v>
      </c>
      <c r="J28" s="88"/>
      <c r="K28" s="85"/>
      <c r="L28" s="85"/>
      <c r="M28" s="85"/>
      <c r="N28" s="85"/>
      <c r="O28" s="85"/>
      <c r="P28" s="85"/>
      <c r="Q28" s="85"/>
      <c r="R28" s="85"/>
      <c r="S28" s="85"/>
    </row>
    <row r="29" spans="2:19" s="14" customFormat="1" ht="12.75" customHeight="1">
      <c r="B29" s="86"/>
      <c r="C29" s="89"/>
      <c r="D29" s="415"/>
      <c r="E29" s="419"/>
      <c r="F29" s="39"/>
      <c r="G29" s="39"/>
      <c r="H29" s="39"/>
      <c r="I29" s="90"/>
      <c r="J29" s="88"/>
      <c r="K29" s="85"/>
      <c r="L29" s="85"/>
      <c r="M29" s="85"/>
      <c r="N29" s="85"/>
      <c r="O29" s="85"/>
      <c r="P29" s="85"/>
      <c r="Q29" s="85"/>
      <c r="R29" s="85"/>
      <c r="S29" s="85"/>
    </row>
    <row r="30" spans="2:19" s="14" customFormat="1" ht="19.5">
      <c r="B30" s="86"/>
      <c r="C30" s="89"/>
      <c r="D30" s="415"/>
      <c r="E30" s="419"/>
      <c r="F30" s="39"/>
      <c r="G30" s="39"/>
      <c r="H30" s="39"/>
      <c r="I30" s="90"/>
      <c r="J30" s="88"/>
      <c r="K30" s="85"/>
      <c r="L30" s="85"/>
      <c r="M30" s="85"/>
      <c r="N30" s="85"/>
      <c r="O30" s="85"/>
      <c r="P30" s="85"/>
      <c r="Q30" s="85"/>
      <c r="R30" s="85"/>
      <c r="S30" s="85"/>
    </row>
    <row r="31" spans="2:19" s="14" customFormat="1" ht="20.25" thickBot="1">
      <c r="B31" s="86"/>
      <c r="C31" s="87"/>
      <c r="D31" s="415"/>
      <c r="E31" s="418"/>
      <c r="F31" s="39"/>
      <c r="G31" s="39"/>
      <c r="H31" s="39"/>
      <c r="I31" s="85"/>
      <c r="J31" s="88"/>
      <c r="K31" s="85"/>
      <c r="L31" s="85"/>
      <c r="M31" s="85"/>
      <c r="N31" s="85"/>
      <c r="O31" s="85"/>
      <c r="P31" s="85"/>
      <c r="Q31" s="85"/>
      <c r="R31" s="85"/>
      <c r="S31" s="85"/>
    </row>
    <row r="32" spans="2:19" s="14" customFormat="1" ht="20.25" thickBot="1" thickTop="1">
      <c r="B32" s="86"/>
      <c r="C32" s="89"/>
      <c r="D32" s="89"/>
      <c r="F32" s="96" t="s">
        <v>27</v>
      </c>
      <c r="G32" s="97">
        <f>SUM(I16:I29)</f>
        <v>980681.17</v>
      </c>
      <c r="H32" s="220"/>
      <c r="J32" s="88"/>
      <c r="K32" s="85"/>
      <c r="L32" s="85"/>
      <c r="M32" s="85"/>
      <c r="N32" s="85"/>
      <c r="O32" s="85"/>
      <c r="P32" s="85"/>
      <c r="Q32" s="85"/>
      <c r="R32" s="85"/>
      <c r="S32" s="85"/>
    </row>
    <row r="33" spans="2:19" s="14" customFormat="1" ht="9.75" customHeight="1" thickTop="1">
      <c r="B33" s="86"/>
      <c r="C33" s="89"/>
      <c r="D33" s="89"/>
      <c r="F33" s="423"/>
      <c r="G33" s="220"/>
      <c r="H33" s="220"/>
      <c r="J33" s="88"/>
      <c r="K33" s="85"/>
      <c r="L33" s="85"/>
      <c r="M33" s="85"/>
      <c r="N33" s="85"/>
      <c r="O33" s="85"/>
      <c r="P33" s="85"/>
      <c r="Q33" s="85"/>
      <c r="R33" s="85"/>
      <c r="S33" s="85"/>
    </row>
    <row r="34" spans="2:19" s="14" customFormat="1" ht="18.75">
      <c r="B34" s="86"/>
      <c r="C34" s="449" t="s">
        <v>94</v>
      </c>
      <c r="D34" s="89"/>
      <c r="F34" s="423"/>
      <c r="G34" s="220"/>
      <c r="H34" s="220"/>
      <c r="J34" s="88"/>
      <c r="K34" s="85"/>
      <c r="L34" s="85"/>
      <c r="M34" s="85"/>
      <c r="N34" s="85"/>
      <c r="O34" s="85"/>
      <c r="P34" s="85"/>
      <c r="Q34" s="85"/>
      <c r="R34" s="85"/>
      <c r="S34" s="85"/>
    </row>
    <row r="35" spans="2:19" s="73" customFormat="1" ht="10.5" customHeight="1" thickBot="1">
      <c r="B35" s="98"/>
      <c r="C35" s="99"/>
      <c r="D35" s="99"/>
      <c r="E35" s="100"/>
      <c r="F35" s="100"/>
      <c r="G35" s="100"/>
      <c r="H35" s="100"/>
      <c r="I35" s="100"/>
      <c r="J35" s="101"/>
      <c r="K35" s="75"/>
      <c r="L35" s="75"/>
      <c r="M35" s="102"/>
      <c r="N35" s="103"/>
      <c r="O35" s="103"/>
      <c r="P35" s="104"/>
      <c r="Q35" s="105"/>
      <c r="R35" s="75"/>
      <c r="S35" s="75"/>
    </row>
    <row r="36" spans="4:19" ht="13.5" thickTop="1">
      <c r="D36" s="13"/>
      <c r="F36" s="13"/>
      <c r="G36" s="13"/>
      <c r="H36" s="13"/>
      <c r="I36" s="13"/>
      <c r="J36" s="13"/>
      <c r="K36" s="13"/>
      <c r="L36" s="13"/>
      <c r="M36" s="36"/>
      <c r="N36" s="106"/>
      <c r="O36" s="106"/>
      <c r="P36" s="13"/>
      <c r="Q36" s="1"/>
      <c r="R36" s="13"/>
      <c r="S36" s="13"/>
    </row>
    <row r="37" spans="4:19" ht="12.75">
      <c r="D37" s="13"/>
      <c r="F37" s="13"/>
      <c r="G37" s="13"/>
      <c r="H37" s="13"/>
      <c r="I37" s="13"/>
      <c r="J37" s="13"/>
      <c r="K37" s="13"/>
      <c r="L37" s="13"/>
      <c r="M37" s="13"/>
      <c r="N37" s="107"/>
      <c r="O37" s="107"/>
      <c r="P37" s="108"/>
      <c r="Q37" s="1"/>
      <c r="R37" s="13"/>
      <c r="S37" s="13"/>
    </row>
    <row r="38" spans="4:19" ht="12.7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7"/>
      <c r="O38" s="107"/>
      <c r="P38" s="108"/>
      <c r="Q38" s="1"/>
      <c r="R38" s="13"/>
      <c r="S38" s="13"/>
    </row>
    <row r="39" spans="4:19" ht="12.75">
      <c r="D39" s="13"/>
      <c r="E39" s="13"/>
      <c r="L39" s="13"/>
      <c r="M39" s="13"/>
      <c r="N39" s="13"/>
      <c r="O39" s="13"/>
      <c r="P39" s="13"/>
      <c r="Q39" s="13"/>
      <c r="R39" s="13"/>
      <c r="S39" s="13"/>
    </row>
    <row r="40" spans="4:19" ht="12.75">
      <c r="D40" s="13"/>
      <c r="E40" s="13"/>
      <c r="P40" s="13"/>
      <c r="Q40" s="13"/>
      <c r="R40" s="13"/>
      <c r="S40" s="13"/>
    </row>
    <row r="41" spans="4:19" ht="12.75">
      <c r="D41" s="13"/>
      <c r="E41" s="13"/>
      <c r="P41" s="13"/>
      <c r="Q41" s="13"/>
      <c r="R41" s="13"/>
      <c r="S41" s="13"/>
    </row>
    <row r="42" spans="4:19" ht="12.75">
      <c r="D42" s="13"/>
      <c r="E42" s="13"/>
      <c r="P42" s="13"/>
      <c r="Q42" s="13"/>
      <c r="R42" s="13"/>
      <c r="S42" s="13"/>
    </row>
    <row r="43" spans="4:19" ht="12.75">
      <c r="D43" s="13"/>
      <c r="E43" s="13"/>
      <c r="P43" s="13"/>
      <c r="Q43" s="13"/>
      <c r="R43" s="13"/>
      <c r="S43" s="13"/>
    </row>
    <row r="44" spans="4:19" ht="12.75">
      <c r="D44" s="13"/>
      <c r="E44" s="13"/>
      <c r="P44" s="13"/>
      <c r="Q44" s="13"/>
      <c r="R44" s="13"/>
      <c r="S44" s="13"/>
    </row>
    <row r="45" spans="16:19" ht="12.75">
      <c r="P45" s="13"/>
      <c r="Q45" s="13"/>
      <c r="R45" s="13"/>
      <c r="S45" s="13"/>
    </row>
    <row r="46" spans="16:19" ht="12.75">
      <c r="P46" s="13"/>
      <c r="Q46" s="13"/>
      <c r="R46" s="13"/>
      <c r="S46" s="13"/>
    </row>
  </sheetData>
  <printOptions horizontalCentered="1" vertic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8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W155"/>
  <sheetViews>
    <sheetView zoomScale="75" zoomScaleNormal="75" workbookViewId="0" topLeftCell="B4">
      <selection activeCell="D42" sqref="D42"/>
    </sheetView>
  </sheetViews>
  <sheetFormatPr defaultColWidth="11.421875" defaultRowHeight="12.75" outlineLevelCol="1"/>
  <cols>
    <col min="1" max="2" width="15.7109375" style="0" customWidth="1"/>
    <col min="3" max="3" width="4.7109375" style="0" customWidth="1"/>
    <col min="4" max="4" width="44.28125" style="0" customWidth="1"/>
    <col min="5" max="5" width="6.57421875" style="0" customWidth="1"/>
    <col min="6" max="6" width="7.7109375" style="0" customWidth="1"/>
    <col min="7" max="8" width="14.57421875" style="0" bestFit="1" customWidth="1"/>
    <col min="9" max="9" width="7.57421875" style="0" customWidth="1"/>
    <col min="10" max="10" width="7.140625" style="0" bestFit="1" customWidth="1"/>
    <col min="11" max="11" width="7.57421875" style="0" bestFit="1" customWidth="1"/>
    <col min="12" max="12" width="6.421875" style="0" bestFit="1" customWidth="1"/>
    <col min="13" max="13" width="16.140625" style="0" hidden="1" customWidth="1" outlineLevel="1"/>
    <col min="14" max="14" width="15.140625" style="0" hidden="1" customWidth="1" outlineLevel="1"/>
    <col min="15" max="15" width="15.00390625" style="0" hidden="1" customWidth="1" outlineLevel="1"/>
    <col min="16" max="16" width="18.28125" style="0" hidden="1" customWidth="1" outlineLevel="1"/>
    <col min="17" max="19" width="17.7109375" style="0" hidden="1" customWidth="1" outlineLevel="1"/>
    <col min="20" max="20" width="15.7109375" style="0" hidden="1" customWidth="1" outlineLevel="1"/>
    <col min="21" max="21" width="15.7109375" style="0" customWidth="1" collapsed="1"/>
    <col min="22" max="22" width="15.7109375" style="0" customWidth="1"/>
    <col min="23" max="23" width="30.421875" style="0" customWidth="1"/>
    <col min="24" max="24" width="3.140625" style="0" customWidth="1"/>
    <col min="25" max="25" width="3.57421875" style="0" customWidth="1"/>
    <col min="26" max="26" width="24.28125" style="0" customWidth="1"/>
    <col min="27" max="27" width="4.7109375" style="0" customWidth="1"/>
    <col min="28" max="28" width="7.57421875" style="0" customWidth="1"/>
    <col min="29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1:22" ht="27.75" customHeight="1">
      <c r="A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27"/>
    </row>
    <row r="2" spans="1:22" ht="27.75" customHeight="1">
      <c r="A2" s="2"/>
      <c r="B2" s="60" t="str">
        <f>+'tot-0105'!B2</f>
        <v>ANEXO VI.2. al Memorandum  D.T.E.E. N°1046   /2009</v>
      </c>
      <c r="C2" s="3"/>
      <c r="D2" s="3"/>
      <c r="E2" s="3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ht="12.75">
      <c r="A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" s="66" customFormat="1" ht="11.25">
      <c r="A4" s="64" t="s">
        <v>14</v>
      </c>
      <c r="B4" s="132"/>
    </row>
    <row r="5" spans="1:2" s="66" customFormat="1" ht="11.25">
      <c r="A5" s="64" t="s">
        <v>15</v>
      </c>
      <c r="B5" s="132"/>
    </row>
    <row r="6" spans="6:22" ht="13.5" thickBo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3" ht="13.5" thickTop="1">
      <c r="B7" s="243"/>
      <c r="C7" s="244"/>
      <c r="D7" s="244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6"/>
    </row>
    <row r="8" spans="2:23" ht="20.25">
      <c r="B8" s="247"/>
      <c r="D8" s="6" t="s">
        <v>28</v>
      </c>
      <c r="F8" s="7"/>
      <c r="G8" s="3"/>
      <c r="H8" s="3"/>
      <c r="I8" s="3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</row>
    <row r="9" spans="2:23" ht="20.25">
      <c r="B9" s="247"/>
      <c r="C9" s="10"/>
      <c r="D9" s="250"/>
      <c r="E9" s="10"/>
      <c r="F9" s="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51"/>
    </row>
    <row r="10" spans="2:23" ht="20.25">
      <c r="B10" s="247"/>
      <c r="D10" s="120" t="s">
        <v>49</v>
      </c>
      <c r="E10" s="10"/>
      <c r="F10" s="1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51"/>
    </row>
    <row r="11" spans="2:23" ht="20.25">
      <c r="B11" s="247"/>
      <c r="C11" s="10"/>
      <c r="D11" s="10"/>
      <c r="E11" s="10"/>
      <c r="F11" s="207"/>
      <c r="G11" s="252"/>
      <c r="H11" s="252"/>
      <c r="I11" s="252"/>
      <c r="J11" s="252"/>
      <c r="K11" s="25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51"/>
    </row>
    <row r="12" spans="2:23" ht="16.5" customHeight="1">
      <c r="B12" s="253" t="str">
        <f>+'tot-0105'!B14</f>
        <v>Desde el 01 al 31 de mayo de 2007</v>
      </c>
      <c r="C12" s="8"/>
      <c r="D12" s="8"/>
      <c r="E12" s="8"/>
      <c r="F12" s="3"/>
      <c r="G12" s="248"/>
      <c r="H12" s="248"/>
      <c r="I12" s="248"/>
      <c r="J12" s="3"/>
      <c r="K12" s="3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9"/>
    </row>
    <row r="13" spans="2:23" ht="16.5" customHeight="1" thickBot="1">
      <c r="B13" s="247"/>
      <c r="C13" s="11"/>
      <c r="D13" s="11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51"/>
    </row>
    <row r="14" spans="2:23" ht="16.5" customHeight="1" thickBot="1" thickTop="1">
      <c r="B14" s="247"/>
      <c r="D14" s="369" t="s">
        <v>50</v>
      </c>
      <c r="E14" s="370">
        <v>5547660</v>
      </c>
      <c r="F14" s="371"/>
      <c r="L14" s="5"/>
      <c r="M14" s="5"/>
      <c r="N14" s="5"/>
      <c r="O14" s="5"/>
      <c r="P14" s="254"/>
      <c r="Q14" s="254"/>
      <c r="R14" s="254"/>
      <c r="S14" s="254"/>
      <c r="T14" s="4"/>
      <c r="U14" s="5"/>
      <c r="V14" s="5"/>
      <c r="W14" s="251"/>
    </row>
    <row r="15" spans="2:23" ht="16.5" customHeight="1" thickBot="1" thickTop="1">
      <c r="B15" s="247"/>
      <c r="C15" s="11"/>
      <c r="D15" s="11"/>
      <c r="E15" s="11"/>
      <c r="F15" s="5"/>
      <c r="G15" s="5"/>
      <c r="H15" s="5"/>
      <c r="I15" s="5"/>
      <c r="J15" s="25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51"/>
    </row>
    <row r="16" spans="2:23" ht="33.75" customHeight="1" thickBot="1" thickTop="1">
      <c r="B16" s="247"/>
      <c r="C16" s="123" t="s">
        <v>29</v>
      </c>
      <c r="D16" s="124" t="s">
        <v>17</v>
      </c>
      <c r="E16" s="128" t="s">
        <v>30</v>
      </c>
      <c r="F16" s="130" t="s">
        <v>31</v>
      </c>
      <c r="G16" s="125" t="s">
        <v>34</v>
      </c>
      <c r="H16" s="126" t="s">
        <v>35</v>
      </c>
      <c r="I16" s="130" t="s">
        <v>36</v>
      </c>
      <c r="J16" s="130" t="s">
        <v>37</v>
      </c>
      <c r="K16" s="130" t="s">
        <v>38</v>
      </c>
      <c r="L16" s="130" t="s">
        <v>39</v>
      </c>
      <c r="M16" s="372" t="s">
        <v>51</v>
      </c>
      <c r="N16" s="295" t="s">
        <v>42</v>
      </c>
      <c r="O16" s="380" t="s">
        <v>52</v>
      </c>
      <c r="P16" s="381"/>
      <c r="Q16" s="330" t="s">
        <v>53</v>
      </c>
      <c r="R16" s="390"/>
      <c r="S16" s="400" t="s">
        <v>43</v>
      </c>
      <c r="T16" s="406" t="s">
        <v>48</v>
      </c>
      <c r="U16" s="131" t="s">
        <v>54</v>
      </c>
      <c r="V16" s="131" t="s">
        <v>46</v>
      </c>
      <c r="W16" s="256"/>
    </row>
    <row r="17" spans="2:23" ht="16.5" customHeight="1" thickTop="1">
      <c r="B17" s="247"/>
      <c r="C17" s="292"/>
      <c r="D17" s="258"/>
      <c r="E17" s="366"/>
      <c r="F17" s="366"/>
      <c r="G17" s="258"/>
      <c r="H17" s="259"/>
      <c r="I17" s="293"/>
      <c r="J17" s="293"/>
      <c r="K17" s="293"/>
      <c r="L17" s="293"/>
      <c r="M17" s="373"/>
      <c r="N17" s="377"/>
      <c r="O17" s="382"/>
      <c r="P17" s="383"/>
      <c r="Q17" s="391"/>
      <c r="R17" s="392"/>
      <c r="S17" s="401"/>
      <c r="T17" s="407"/>
      <c r="U17" s="293"/>
      <c r="V17" s="412"/>
      <c r="W17" s="257"/>
    </row>
    <row r="18" spans="2:23" ht="16.5" customHeight="1">
      <c r="B18" s="247"/>
      <c r="C18" s="16"/>
      <c r="D18" s="17"/>
      <c r="E18" s="17"/>
      <c r="F18" s="17"/>
      <c r="G18" s="49"/>
      <c r="H18" s="364"/>
      <c r="I18" s="19"/>
      <c r="J18" s="19"/>
      <c r="K18" s="19"/>
      <c r="L18" s="19"/>
      <c r="M18" s="374"/>
      <c r="N18" s="378"/>
      <c r="O18" s="384"/>
      <c r="P18" s="385"/>
      <c r="Q18" s="393"/>
      <c r="R18" s="394"/>
      <c r="S18" s="402"/>
      <c r="T18" s="408"/>
      <c r="U18" s="19"/>
      <c r="V18" s="16"/>
      <c r="W18" s="257"/>
    </row>
    <row r="19" spans="2:23" ht="16.5" customHeight="1">
      <c r="B19" s="247"/>
      <c r="C19" s="450">
        <v>58</v>
      </c>
      <c r="D19" s="29" t="s">
        <v>77</v>
      </c>
      <c r="E19" s="29">
        <v>500</v>
      </c>
      <c r="F19" s="29">
        <v>227</v>
      </c>
      <c r="G19" s="18">
        <v>39212.472916666666</v>
      </c>
      <c r="H19" s="455">
        <v>39212.743055555555</v>
      </c>
      <c r="I19" s="21">
        <f aca="true" t="shared" si="0" ref="I19:I38">IF(D19="","",ROUND((H19-G19)*24,2))</f>
        <v>6.48</v>
      </c>
      <c r="J19" s="22">
        <f aca="true" t="shared" si="1" ref="J19:J38">IF(D19="","",ROUND((H19-G19)*24*60,0))</f>
        <v>389</v>
      </c>
      <c r="K19" s="459" t="s">
        <v>86</v>
      </c>
      <c r="L19" s="458" t="str">
        <f>IF(D19="","","--")</f>
        <v>--</v>
      </c>
      <c r="M19" s="375" t="str">
        <f>IF(K19="P",5*ROUND(IF(J19&gt;10,J19,10)/60,2),"--")</f>
        <v>--</v>
      </c>
      <c r="N19" s="296" t="str">
        <f>IF(K19="RP",5*L19/100*ROUND(IF(J19&gt;10,J19,10)/60,2),"--")</f>
        <v>--</v>
      </c>
      <c r="O19" s="386">
        <f>IF(K19="F",50*IF(J19&lt;300,ROUND(IF(J19&gt;10,J19,10)/60,2),5),"--")</f>
        <v>250</v>
      </c>
      <c r="P19" s="387">
        <f>IF(AND(K19="F",J19&gt;300),(ROUND(J19/60,2)-5)*10,"--")</f>
        <v>14.800000000000004</v>
      </c>
      <c r="Q19" s="334" t="str">
        <f>IF(K19="R",50*L19/100*IF(J19&lt;300,ROUND(IF(J19&gt;10,J19,10)/60,2),5),"--")</f>
        <v>--</v>
      </c>
      <c r="R19" s="395" t="str">
        <f>IF(AND(K19="R",J19&gt;300),(ROUND(J19/60,2)-5)*10*L19/100,"--")</f>
        <v>--</v>
      </c>
      <c r="S19" s="403" t="str">
        <f>IF(K19="RF",ROUND(J19/60,2)*10,"--")</f>
        <v>--</v>
      </c>
      <c r="T19" s="409" t="str">
        <f>IF(K19="R",ROUND(J19/60,2)*10*L19/100,"--")</f>
        <v>--</v>
      </c>
      <c r="U19" s="365">
        <f aca="true" t="shared" si="2" ref="U19:U38">IF(D19="","",SUM(M19:T19))</f>
        <v>264.8</v>
      </c>
      <c r="V19" s="260">
        <f>IF(D19="","",ROUND((U19/1500*$E$14)*F19/270.6,0))</f>
        <v>821551</v>
      </c>
      <c r="W19" s="261"/>
    </row>
    <row r="20" spans="2:23" ht="16.5" customHeight="1">
      <c r="B20" s="247"/>
      <c r="C20" s="450">
        <v>59</v>
      </c>
      <c r="D20" s="29" t="s">
        <v>77</v>
      </c>
      <c r="E20" s="29">
        <v>500</v>
      </c>
      <c r="F20" s="29">
        <v>227</v>
      </c>
      <c r="G20" s="18">
        <v>39214.009722222225</v>
      </c>
      <c r="H20" s="455">
        <v>39214.17847222222</v>
      </c>
      <c r="I20" s="21">
        <f t="shared" si="0"/>
        <v>4.05</v>
      </c>
      <c r="J20" s="22">
        <f t="shared" si="1"/>
        <v>243</v>
      </c>
      <c r="K20" s="459" t="s">
        <v>88</v>
      </c>
      <c r="L20" s="458" t="str">
        <f aca="true" t="shared" si="3" ref="L20:L35">IF(D20="","","--")</f>
        <v>--</v>
      </c>
      <c r="M20" s="375">
        <f aca="true" t="shared" si="4" ref="M20:M35">IF(K20="P",5*ROUND(IF(J20&gt;10,J20,10)/60,2),"--")</f>
        <v>20.25</v>
      </c>
      <c r="N20" s="296" t="str">
        <f aca="true" t="shared" si="5" ref="N20:N35">IF(K20="RP",5*L20/100*ROUND(IF(J20&gt;10,J20,10)/60,2),"--")</f>
        <v>--</v>
      </c>
      <c r="O20" s="386" t="str">
        <f aca="true" t="shared" si="6" ref="O20:O35">IF(K20="F",50*IF(J20&lt;300,ROUND(IF(J20&gt;10,J20,10)/60,2),5),"--")</f>
        <v>--</v>
      </c>
      <c r="P20" s="387" t="str">
        <f aca="true" t="shared" si="7" ref="P20:P35">IF(AND(K20="F",J20&gt;300),(ROUND(J20/60,2)-5)*10,"--")</f>
        <v>--</v>
      </c>
      <c r="Q20" s="334" t="str">
        <f aca="true" t="shared" si="8" ref="Q20:Q35">IF(K20="R",50*L20/100*IF(J20&lt;300,ROUND(IF(J20&gt;10,J20,10)/60,2),5),"--")</f>
        <v>--</v>
      </c>
      <c r="R20" s="395" t="str">
        <f aca="true" t="shared" si="9" ref="R20:R35">IF(AND(K20="R",J20&gt;300),(ROUND(J20/60,2)-5)*10*L20/100,"--")</f>
        <v>--</v>
      </c>
      <c r="S20" s="403" t="str">
        <f aca="true" t="shared" si="10" ref="S20:S35">IF(K20="RF",ROUND(J20/60,2)*10,"--")</f>
        <v>--</v>
      </c>
      <c r="T20" s="409" t="str">
        <f aca="true" t="shared" si="11" ref="T20:T35">IF(K20="R",ROUND(J20/60,2)*10*L20/100,"--")</f>
        <v>--</v>
      </c>
      <c r="U20" s="365">
        <f t="shared" si="2"/>
        <v>20.25</v>
      </c>
      <c r="V20" s="260">
        <f aca="true" t="shared" si="12" ref="V20:V38">IF(D20="","",ROUND((U20/1500*$E$14)*F20/270.6,0))</f>
        <v>62826</v>
      </c>
      <c r="W20" s="261"/>
    </row>
    <row r="21" spans="2:23" ht="16.5" customHeight="1">
      <c r="B21" s="247"/>
      <c r="C21" s="450">
        <v>60</v>
      </c>
      <c r="D21" s="29" t="s">
        <v>77</v>
      </c>
      <c r="E21" s="29">
        <v>500</v>
      </c>
      <c r="F21" s="29">
        <v>227</v>
      </c>
      <c r="G21" s="18">
        <v>39222.038194444445</v>
      </c>
      <c r="H21" s="455">
        <v>39222.270833333336</v>
      </c>
      <c r="I21" s="21">
        <f t="shared" si="0"/>
        <v>5.58</v>
      </c>
      <c r="J21" s="22">
        <f t="shared" si="1"/>
        <v>335</v>
      </c>
      <c r="K21" s="459" t="s">
        <v>88</v>
      </c>
      <c r="L21" s="458" t="str">
        <f t="shared" si="3"/>
        <v>--</v>
      </c>
      <c r="M21" s="375">
        <f t="shared" si="4"/>
        <v>27.9</v>
      </c>
      <c r="N21" s="296" t="str">
        <f t="shared" si="5"/>
        <v>--</v>
      </c>
      <c r="O21" s="386" t="str">
        <f t="shared" si="6"/>
        <v>--</v>
      </c>
      <c r="P21" s="387" t="str">
        <f t="shared" si="7"/>
        <v>--</v>
      </c>
      <c r="Q21" s="334" t="str">
        <f t="shared" si="8"/>
        <v>--</v>
      </c>
      <c r="R21" s="395" t="str">
        <f t="shared" si="9"/>
        <v>--</v>
      </c>
      <c r="S21" s="403" t="str">
        <f t="shared" si="10"/>
        <v>--</v>
      </c>
      <c r="T21" s="409" t="str">
        <f t="shared" si="11"/>
        <v>--</v>
      </c>
      <c r="U21" s="365">
        <f t="shared" si="2"/>
        <v>27.9</v>
      </c>
      <c r="V21" s="260">
        <f t="shared" si="12"/>
        <v>86561</v>
      </c>
      <c r="W21" s="261"/>
    </row>
    <row r="22" spans="2:23" ht="16.5" customHeight="1">
      <c r="B22" s="247"/>
      <c r="C22" s="450"/>
      <c r="D22" s="461"/>
      <c r="E22" s="462"/>
      <c r="F22" s="462"/>
      <c r="G22" s="49"/>
      <c r="H22" s="455"/>
      <c r="I22" s="21">
        <f t="shared" si="0"/>
      </c>
      <c r="J22" s="22">
        <f t="shared" si="1"/>
      </c>
      <c r="K22" s="459"/>
      <c r="L22" s="458">
        <f t="shared" si="3"/>
      </c>
      <c r="M22" s="375" t="str">
        <f t="shared" si="4"/>
        <v>--</v>
      </c>
      <c r="N22" s="296" t="str">
        <f t="shared" si="5"/>
        <v>--</v>
      </c>
      <c r="O22" s="386" t="str">
        <f t="shared" si="6"/>
        <v>--</v>
      </c>
      <c r="P22" s="387" t="str">
        <f t="shared" si="7"/>
        <v>--</v>
      </c>
      <c r="Q22" s="334" t="str">
        <f t="shared" si="8"/>
        <v>--</v>
      </c>
      <c r="R22" s="395" t="str">
        <f t="shared" si="9"/>
        <v>--</v>
      </c>
      <c r="S22" s="403" t="str">
        <f t="shared" si="10"/>
        <v>--</v>
      </c>
      <c r="T22" s="409" t="str">
        <f t="shared" si="11"/>
        <v>--</v>
      </c>
      <c r="U22" s="365">
        <f t="shared" si="2"/>
      </c>
      <c r="V22" s="260">
        <f t="shared" si="12"/>
      </c>
      <c r="W22" s="261"/>
    </row>
    <row r="23" spans="2:23" ht="16.5" customHeight="1">
      <c r="B23" s="247"/>
      <c r="C23" s="450"/>
      <c r="D23" s="461"/>
      <c r="E23" s="462"/>
      <c r="F23" s="462"/>
      <c r="G23" s="454"/>
      <c r="H23" s="455"/>
      <c r="I23" s="21">
        <f t="shared" si="0"/>
      </c>
      <c r="J23" s="22">
        <f t="shared" si="1"/>
      </c>
      <c r="K23" s="459"/>
      <c r="L23" s="458">
        <f t="shared" si="3"/>
      </c>
      <c r="M23" s="375" t="str">
        <f t="shared" si="4"/>
        <v>--</v>
      </c>
      <c r="N23" s="296" t="str">
        <f t="shared" si="5"/>
        <v>--</v>
      </c>
      <c r="O23" s="386" t="str">
        <f t="shared" si="6"/>
        <v>--</v>
      </c>
      <c r="P23" s="387" t="str">
        <f t="shared" si="7"/>
        <v>--</v>
      </c>
      <c r="Q23" s="334" t="str">
        <f t="shared" si="8"/>
        <v>--</v>
      </c>
      <c r="R23" s="395" t="str">
        <f t="shared" si="9"/>
        <v>--</v>
      </c>
      <c r="S23" s="403" t="str">
        <f t="shared" si="10"/>
        <v>--</v>
      </c>
      <c r="T23" s="409" t="str">
        <f t="shared" si="11"/>
        <v>--</v>
      </c>
      <c r="U23" s="365">
        <f t="shared" si="2"/>
      </c>
      <c r="V23" s="260">
        <f t="shared" si="12"/>
      </c>
      <c r="W23" s="261"/>
    </row>
    <row r="24" spans="2:23" ht="16.5" customHeight="1">
      <c r="B24" s="247"/>
      <c r="C24" s="450"/>
      <c r="D24" s="461"/>
      <c r="E24" s="462"/>
      <c r="F24" s="462"/>
      <c r="G24" s="454"/>
      <c r="H24" s="455"/>
      <c r="I24" s="21">
        <f t="shared" si="0"/>
      </c>
      <c r="J24" s="22">
        <f t="shared" si="1"/>
      </c>
      <c r="K24" s="459"/>
      <c r="L24" s="458">
        <f t="shared" si="3"/>
      </c>
      <c r="M24" s="375" t="str">
        <f t="shared" si="4"/>
        <v>--</v>
      </c>
      <c r="N24" s="296" t="str">
        <f t="shared" si="5"/>
        <v>--</v>
      </c>
      <c r="O24" s="386" t="str">
        <f t="shared" si="6"/>
        <v>--</v>
      </c>
      <c r="P24" s="387" t="str">
        <f t="shared" si="7"/>
        <v>--</v>
      </c>
      <c r="Q24" s="334" t="str">
        <f t="shared" si="8"/>
        <v>--</v>
      </c>
      <c r="R24" s="395" t="str">
        <f t="shared" si="9"/>
        <v>--</v>
      </c>
      <c r="S24" s="403" t="str">
        <f t="shared" si="10"/>
        <v>--</v>
      </c>
      <c r="T24" s="409" t="str">
        <f t="shared" si="11"/>
        <v>--</v>
      </c>
      <c r="U24" s="365">
        <f t="shared" si="2"/>
      </c>
      <c r="V24" s="260">
        <f t="shared" si="12"/>
      </c>
      <c r="W24" s="261"/>
    </row>
    <row r="25" spans="2:23" ht="16.5" customHeight="1">
      <c r="B25" s="247"/>
      <c r="C25" s="450"/>
      <c r="D25" s="461"/>
      <c r="E25" s="462"/>
      <c r="F25" s="462"/>
      <c r="G25" s="454"/>
      <c r="H25" s="455"/>
      <c r="I25" s="21">
        <f t="shared" si="0"/>
      </c>
      <c r="J25" s="22">
        <f t="shared" si="1"/>
      </c>
      <c r="K25" s="459"/>
      <c r="L25" s="458">
        <f t="shared" si="3"/>
      </c>
      <c r="M25" s="375" t="str">
        <f t="shared" si="4"/>
        <v>--</v>
      </c>
      <c r="N25" s="296" t="str">
        <f t="shared" si="5"/>
        <v>--</v>
      </c>
      <c r="O25" s="386" t="str">
        <f t="shared" si="6"/>
        <v>--</v>
      </c>
      <c r="P25" s="387" t="str">
        <f t="shared" si="7"/>
        <v>--</v>
      </c>
      <c r="Q25" s="334" t="str">
        <f t="shared" si="8"/>
        <v>--</v>
      </c>
      <c r="R25" s="395" t="str">
        <f t="shared" si="9"/>
        <v>--</v>
      </c>
      <c r="S25" s="403" t="str">
        <f t="shared" si="10"/>
        <v>--</v>
      </c>
      <c r="T25" s="409" t="str">
        <f t="shared" si="11"/>
        <v>--</v>
      </c>
      <c r="U25" s="365">
        <f t="shared" si="2"/>
      </c>
      <c r="V25" s="260">
        <f t="shared" si="12"/>
      </c>
      <c r="W25" s="261"/>
    </row>
    <row r="26" spans="2:23" ht="16.5" customHeight="1">
      <c r="B26" s="247"/>
      <c r="C26" s="450"/>
      <c r="D26" s="461"/>
      <c r="E26" s="462"/>
      <c r="F26" s="462"/>
      <c r="G26" s="454"/>
      <c r="H26" s="455"/>
      <c r="I26" s="21">
        <f t="shared" si="0"/>
      </c>
      <c r="J26" s="22">
        <f t="shared" si="1"/>
      </c>
      <c r="K26" s="459"/>
      <c r="L26" s="458">
        <f t="shared" si="3"/>
      </c>
      <c r="M26" s="375" t="str">
        <f t="shared" si="4"/>
        <v>--</v>
      </c>
      <c r="N26" s="296" t="str">
        <f t="shared" si="5"/>
        <v>--</v>
      </c>
      <c r="O26" s="386" t="str">
        <f t="shared" si="6"/>
        <v>--</v>
      </c>
      <c r="P26" s="387" t="str">
        <f t="shared" si="7"/>
        <v>--</v>
      </c>
      <c r="Q26" s="334" t="str">
        <f t="shared" si="8"/>
        <v>--</v>
      </c>
      <c r="R26" s="395" t="str">
        <f t="shared" si="9"/>
        <v>--</v>
      </c>
      <c r="S26" s="403" t="str">
        <f t="shared" si="10"/>
        <v>--</v>
      </c>
      <c r="T26" s="409" t="str">
        <f t="shared" si="11"/>
        <v>--</v>
      </c>
      <c r="U26" s="365">
        <f t="shared" si="2"/>
      </c>
      <c r="V26" s="260">
        <f t="shared" si="12"/>
      </c>
      <c r="W26" s="261"/>
    </row>
    <row r="27" spans="2:23" ht="16.5" customHeight="1">
      <c r="B27" s="247"/>
      <c r="C27" s="450"/>
      <c r="D27" s="461"/>
      <c r="E27" s="462"/>
      <c r="F27" s="462"/>
      <c r="G27" s="454"/>
      <c r="H27" s="455"/>
      <c r="I27" s="21">
        <f t="shared" si="0"/>
      </c>
      <c r="J27" s="22">
        <f t="shared" si="1"/>
      </c>
      <c r="K27" s="459"/>
      <c r="L27" s="458">
        <f t="shared" si="3"/>
      </c>
      <c r="M27" s="375" t="str">
        <f t="shared" si="4"/>
        <v>--</v>
      </c>
      <c r="N27" s="296" t="str">
        <f t="shared" si="5"/>
        <v>--</v>
      </c>
      <c r="O27" s="386" t="str">
        <f t="shared" si="6"/>
        <v>--</v>
      </c>
      <c r="P27" s="387" t="str">
        <f t="shared" si="7"/>
        <v>--</v>
      </c>
      <c r="Q27" s="334" t="str">
        <f t="shared" si="8"/>
        <v>--</v>
      </c>
      <c r="R27" s="395" t="str">
        <f t="shared" si="9"/>
        <v>--</v>
      </c>
      <c r="S27" s="403" t="str">
        <f t="shared" si="10"/>
        <v>--</v>
      </c>
      <c r="T27" s="409" t="str">
        <f t="shared" si="11"/>
        <v>--</v>
      </c>
      <c r="U27" s="365">
        <f t="shared" si="2"/>
      </c>
      <c r="V27" s="260">
        <f t="shared" si="12"/>
      </c>
      <c r="W27" s="261"/>
    </row>
    <row r="28" spans="2:23" ht="16.5" customHeight="1">
      <c r="B28" s="247"/>
      <c r="C28" s="450"/>
      <c r="D28" s="461"/>
      <c r="E28" s="462"/>
      <c r="F28" s="462"/>
      <c r="G28" s="454"/>
      <c r="H28" s="455"/>
      <c r="I28" s="21">
        <f t="shared" si="0"/>
      </c>
      <c r="J28" s="22">
        <f t="shared" si="1"/>
      </c>
      <c r="K28" s="459"/>
      <c r="L28" s="458">
        <f t="shared" si="3"/>
      </c>
      <c r="M28" s="375" t="str">
        <f t="shared" si="4"/>
        <v>--</v>
      </c>
      <c r="N28" s="296" t="str">
        <f t="shared" si="5"/>
        <v>--</v>
      </c>
      <c r="O28" s="386" t="str">
        <f t="shared" si="6"/>
        <v>--</v>
      </c>
      <c r="P28" s="387" t="str">
        <f t="shared" si="7"/>
        <v>--</v>
      </c>
      <c r="Q28" s="334" t="str">
        <f t="shared" si="8"/>
        <v>--</v>
      </c>
      <c r="R28" s="395" t="str">
        <f t="shared" si="9"/>
        <v>--</v>
      </c>
      <c r="S28" s="403" t="str">
        <f t="shared" si="10"/>
        <v>--</v>
      </c>
      <c r="T28" s="409" t="str">
        <f t="shared" si="11"/>
        <v>--</v>
      </c>
      <c r="U28" s="365">
        <f t="shared" si="2"/>
      </c>
      <c r="V28" s="260">
        <f t="shared" si="12"/>
      </c>
      <c r="W28" s="261"/>
    </row>
    <row r="29" spans="2:23" ht="16.5" customHeight="1">
      <c r="B29" s="247"/>
      <c r="C29" s="450"/>
      <c r="D29" s="462"/>
      <c r="E29" s="462"/>
      <c r="F29" s="462"/>
      <c r="G29" s="454"/>
      <c r="H29" s="455"/>
      <c r="I29" s="21">
        <f t="shared" si="0"/>
      </c>
      <c r="J29" s="22">
        <f t="shared" si="1"/>
      </c>
      <c r="K29" s="459"/>
      <c r="L29" s="458">
        <f t="shared" si="3"/>
      </c>
      <c r="M29" s="375" t="str">
        <f t="shared" si="4"/>
        <v>--</v>
      </c>
      <c r="N29" s="296" t="str">
        <f t="shared" si="5"/>
        <v>--</v>
      </c>
      <c r="O29" s="386" t="str">
        <f t="shared" si="6"/>
        <v>--</v>
      </c>
      <c r="P29" s="387" t="str">
        <f t="shared" si="7"/>
        <v>--</v>
      </c>
      <c r="Q29" s="334" t="str">
        <f t="shared" si="8"/>
        <v>--</v>
      </c>
      <c r="R29" s="395" t="str">
        <f t="shared" si="9"/>
        <v>--</v>
      </c>
      <c r="S29" s="403" t="str">
        <f t="shared" si="10"/>
        <v>--</v>
      </c>
      <c r="T29" s="409" t="str">
        <f t="shared" si="11"/>
        <v>--</v>
      </c>
      <c r="U29" s="365">
        <f t="shared" si="2"/>
      </c>
      <c r="V29" s="260">
        <f t="shared" si="12"/>
      </c>
      <c r="W29" s="261"/>
    </row>
    <row r="30" spans="2:23" ht="16.5" customHeight="1">
      <c r="B30" s="247"/>
      <c r="C30" s="450"/>
      <c r="D30" s="462"/>
      <c r="E30" s="462"/>
      <c r="F30" s="462"/>
      <c r="G30" s="454"/>
      <c r="H30" s="455"/>
      <c r="I30" s="21">
        <f t="shared" si="0"/>
      </c>
      <c r="J30" s="22">
        <f t="shared" si="1"/>
      </c>
      <c r="K30" s="459"/>
      <c r="L30" s="458">
        <f t="shared" si="3"/>
      </c>
      <c r="M30" s="375" t="str">
        <f t="shared" si="4"/>
        <v>--</v>
      </c>
      <c r="N30" s="296" t="str">
        <f t="shared" si="5"/>
        <v>--</v>
      </c>
      <c r="O30" s="386" t="str">
        <f t="shared" si="6"/>
        <v>--</v>
      </c>
      <c r="P30" s="387" t="str">
        <f t="shared" si="7"/>
        <v>--</v>
      </c>
      <c r="Q30" s="334" t="str">
        <f t="shared" si="8"/>
        <v>--</v>
      </c>
      <c r="R30" s="395" t="str">
        <f t="shared" si="9"/>
        <v>--</v>
      </c>
      <c r="S30" s="403" t="str">
        <f t="shared" si="10"/>
        <v>--</v>
      </c>
      <c r="T30" s="409" t="str">
        <f t="shared" si="11"/>
        <v>--</v>
      </c>
      <c r="U30" s="365">
        <f t="shared" si="2"/>
      </c>
      <c r="V30" s="260">
        <f t="shared" si="12"/>
      </c>
      <c r="W30" s="261"/>
    </row>
    <row r="31" spans="2:23" ht="16.5" customHeight="1">
      <c r="B31" s="247"/>
      <c r="C31" s="450"/>
      <c r="D31" s="462"/>
      <c r="E31" s="462"/>
      <c r="F31" s="462"/>
      <c r="G31" s="454"/>
      <c r="H31" s="455"/>
      <c r="I31" s="21">
        <f t="shared" si="0"/>
      </c>
      <c r="J31" s="22">
        <f t="shared" si="1"/>
      </c>
      <c r="K31" s="459"/>
      <c r="L31" s="458">
        <f t="shared" si="3"/>
      </c>
      <c r="M31" s="375" t="str">
        <f t="shared" si="4"/>
        <v>--</v>
      </c>
      <c r="N31" s="296" t="str">
        <f t="shared" si="5"/>
        <v>--</v>
      </c>
      <c r="O31" s="386" t="str">
        <f t="shared" si="6"/>
        <v>--</v>
      </c>
      <c r="P31" s="387" t="str">
        <f t="shared" si="7"/>
        <v>--</v>
      </c>
      <c r="Q31" s="334" t="str">
        <f t="shared" si="8"/>
        <v>--</v>
      </c>
      <c r="R31" s="395" t="str">
        <f t="shared" si="9"/>
        <v>--</v>
      </c>
      <c r="S31" s="403" t="str">
        <f t="shared" si="10"/>
        <v>--</v>
      </c>
      <c r="T31" s="409" t="str">
        <f t="shared" si="11"/>
        <v>--</v>
      </c>
      <c r="U31" s="365">
        <f t="shared" si="2"/>
      </c>
      <c r="V31" s="260">
        <f t="shared" si="12"/>
      </c>
      <c r="W31" s="261"/>
    </row>
    <row r="32" spans="2:23" ht="16.5" customHeight="1">
      <c r="B32" s="247"/>
      <c r="C32" s="450"/>
      <c r="D32" s="462"/>
      <c r="E32" s="462"/>
      <c r="F32" s="462"/>
      <c r="G32" s="454"/>
      <c r="H32" s="455"/>
      <c r="I32" s="21">
        <f t="shared" si="0"/>
      </c>
      <c r="J32" s="22">
        <f t="shared" si="1"/>
      </c>
      <c r="K32" s="459"/>
      <c r="L32" s="458">
        <f t="shared" si="3"/>
      </c>
      <c r="M32" s="375" t="str">
        <f t="shared" si="4"/>
        <v>--</v>
      </c>
      <c r="N32" s="296" t="str">
        <f t="shared" si="5"/>
        <v>--</v>
      </c>
      <c r="O32" s="386" t="str">
        <f t="shared" si="6"/>
        <v>--</v>
      </c>
      <c r="P32" s="387" t="str">
        <f t="shared" si="7"/>
        <v>--</v>
      </c>
      <c r="Q32" s="334" t="str">
        <f t="shared" si="8"/>
        <v>--</v>
      </c>
      <c r="R32" s="395" t="str">
        <f t="shared" si="9"/>
        <v>--</v>
      </c>
      <c r="S32" s="403" t="str">
        <f t="shared" si="10"/>
        <v>--</v>
      </c>
      <c r="T32" s="409" t="str">
        <f t="shared" si="11"/>
        <v>--</v>
      </c>
      <c r="U32" s="365">
        <f t="shared" si="2"/>
      </c>
      <c r="V32" s="260">
        <f t="shared" si="12"/>
      </c>
      <c r="W32" s="261"/>
    </row>
    <row r="33" spans="2:23" ht="16.5" customHeight="1">
      <c r="B33" s="247"/>
      <c r="C33" s="450"/>
      <c r="D33" s="462"/>
      <c r="E33" s="462"/>
      <c r="F33" s="462"/>
      <c r="G33" s="454"/>
      <c r="H33" s="455"/>
      <c r="I33" s="21">
        <f t="shared" si="0"/>
      </c>
      <c r="J33" s="22">
        <f t="shared" si="1"/>
      </c>
      <c r="K33" s="459"/>
      <c r="L33" s="458">
        <f t="shared" si="3"/>
      </c>
      <c r="M33" s="375" t="str">
        <f t="shared" si="4"/>
        <v>--</v>
      </c>
      <c r="N33" s="296" t="str">
        <f t="shared" si="5"/>
        <v>--</v>
      </c>
      <c r="O33" s="386" t="str">
        <f t="shared" si="6"/>
        <v>--</v>
      </c>
      <c r="P33" s="387" t="str">
        <f t="shared" si="7"/>
        <v>--</v>
      </c>
      <c r="Q33" s="334" t="str">
        <f t="shared" si="8"/>
        <v>--</v>
      </c>
      <c r="R33" s="395" t="str">
        <f t="shared" si="9"/>
        <v>--</v>
      </c>
      <c r="S33" s="403" t="str">
        <f t="shared" si="10"/>
        <v>--</v>
      </c>
      <c r="T33" s="409" t="str">
        <f t="shared" si="11"/>
        <v>--</v>
      </c>
      <c r="U33" s="365">
        <f t="shared" si="2"/>
      </c>
      <c r="V33" s="260">
        <f t="shared" si="12"/>
      </c>
      <c r="W33" s="261"/>
    </row>
    <row r="34" spans="2:23" ht="16.5" customHeight="1">
      <c r="B34" s="247"/>
      <c r="C34" s="450"/>
      <c r="D34" s="462"/>
      <c r="E34" s="462"/>
      <c r="F34" s="462"/>
      <c r="G34" s="454"/>
      <c r="H34" s="455"/>
      <c r="I34" s="21">
        <f t="shared" si="0"/>
      </c>
      <c r="J34" s="22">
        <f t="shared" si="1"/>
      </c>
      <c r="K34" s="459"/>
      <c r="L34" s="458">
        <f t="shared" si="3"/>
      </c>
      <c r="M34" s="375" t="str">
        <f t="shared" si="4"/>
        <v>--</v>
      </c>
      <c r="N34" s="296" t="str">
        <f t="shared" si="5"/>
        <v>--</v>
      </c>
      <c r="O34" s="386" t="str">
        <f t="shared" si="6"/>
        <v>--</v>
      </c>
      <c r="P34" s="387" t="str">
        <f t="shared" si="7"/>
        <v>--</v>
      </c>
      <c r="Q34" s="334" t="str">
        <f t="shared" si="8"/>
        <v>--</v>
      </c>
      <c r="R34" s="395" t="str">
        <f t="shared" si="9"/>
        <v>--</v>
      </c>
      <c r="S34" s="403" t="str">
        <f t="shared" si="10"/>
        <v>--</v>
      </c>
      <c r="T34" s="409" t="str">
        <f t="shared" si="11"/>
        <v>--</v>
      </c>
      <c r="U34" s="365">
        <f t="shared" si="2"/>
      </c>
      <c r="V34" s="260">
        <f t="shared" si="12"/>
      </c>
      <c r="W34" s="261"/>
    </row>
    <row r="35" spans="2:23" ht="16.5" customHeight="1">
      <c r="B35" s="247"/>
      <c r="C35" s="450"/>
      <c r="D35" s="462"/>
      <c r="E35" s="462"/>
      <c r="F35" s="462"/>
      <c r="G35" s="454"/>
      <c r="H35" s="455"/>
      <c r="I35" s="21">
        <f t="shared" si="0"/>
      </c>
      <c r="J35" s="22">
        <f t="shared" si="1"/>
      </c>
      <c r="K35" s="459"/>
      <c r="L35" s="458">
        <f t="shared" si="3"/>
      </c>
      <c r="M35" s="375" t="str">
        <f t="shared" si="4"/>
        <v>--</v>
      </c>
      <c r="N35" s="296" t="str">
        <f t="shared" si="5"/>
        <v>--</v>
      </c>
      <c r="O35" s="386" t="str">
        <f t="shared" si="6"/>
        <v>--</v>
      </c>
      <c r="P35" s="387" t="str">
        <f t="shared" si="7"/>
        <v>--</v>
      </c>
      <c r="Q35" s="334" t="str">
        <f t="shared" si="8"/>
        <v>--</v>
      </c>
      <c r="R35" s="395" t="str">
        <f t="shared" si="9"/>
        <v>--</v>
      </c>
      <c r="S35" s="403" t="str">
        <f t="shared" si="10"/>
        <v>--</v>
      </c>
      <c r="T35" s="409" t="str">
        <f t="shared" si="11"/>
        <v>--</v>
      </c>
      <c r="U35" s="365">
        <f t="shared" si="2"/>
      </c>
      <c r="V35" s="260">
        <f t="shared" si="12"/>
      </c>
      <c r="W35" s="261"/>
    </row>
    <row r="36" spans="2:23" ht="16.5" customHeight="1">
      <c r="B36" s="247"/>
      <c r="C36" s="450"/>
      <c r="D36" s="462"/>
      <c r="E36" s="462"/>
      <c r="F36" s="462"/>
      <c r="G36" s="454"/>
      <c r="H36" s="455"/>
      <c r="I36" s="21">
        <f t="shared" si="0"/>
      </c>
      <c r="J36" s="22">
        <f t="shared" si="1"/>
      </c>
      <c r="K36" s="459"/>
      <c r="L36" s="458">
        <f>IF(D36="","","--")</f>
      </c>
      <c r="M36" s="375" t="str">
        <f>IF(K36="P",5*ROUND(IF(J36&gt;10,J36,10)/60,2),"--")</f>
        <v>--</v>
      </c>
      <c r="N36" s="296" t="str">
        <f>IF(K36="RP",5*L36/100*ROUND(IF(J36&gt;10,J36,10)/60,2),"--")</f>
        <v>--</v>
      </c>
      <c r="O36" s="386" t="str">
        <f>IF(K36="F",50*IF(J36&lt;300,ROUND(IF(J36&gt;10,J36,10)/60,2),5),"--")</f>
        <v>--</v>
      </c>
      <c r="P36" s="387" t="str">
        <f>IF(AND(K36="F",J36&gt;300),(ROUND(J36/60,2)-5)*10,"--")</f>
        <v>--</v>
      </c>
      <c r="Q36" s="334" t="str">
        <f>IF(K36="R",50*L36/100*IF(J36&lt;300,ROUND(IF(J36&gt;10,J36,10)/60,2),5),"--")</f>
        <v>--</v>
      </c>
      <c r="R36" s="395" t="str">
        <f>IF(AND(K36="R",J36&gt;300),(ROUND(J36/60,2)-5)*10*L36/100,"--")</f>
        <v>--</v>
      </c>
      <c r="S36" s="403" t="str">
        <f>IF(K36="RF",ROUND(J36/60,2)*10,"--")</f>
        <v>--</v>
      </c>
      <c r="T36" s="409" t="str">
        <f>IF(K36="R",ROUND(J36/60,2)*10*L36/100,"--")</f>
        <v>--</v>
      </c>
      <c r="U36" s="365">
        <f t="shared" si="2"/>
      </c>
      <c r="V36" s="260">
        <f t="shared" si="12"/>
      </c>
      <c r="W36" s="261"/>
    </row>
    <row r="37" spans="2:23" ht="16.5" customHeight="1">
      <c r="B37" s="247"/>
      <c r="C37" s="450"/>
      <c r="D37" s="462"/>
      <c r="E37" s="462"/>
      <c r="F37" s="462"/>
      <c r="G37" s="454"/>
      <c r="H37" s="455"/>
      <c r="I37" s="21">
        <f t="shared" si="0"/>
      </c>
      <c r="J37" s="22">
        <f t="shared" si="1"/>
      </c>
      <c r="K37" s="459"/>
      <c r="L37" s="458">
        <f>IF(D37="","","--")</f>
      </c>
      <c r="M37" s="375" t="str">
        <f>IF(K37="P",5*ROUND(IF(J37&gt;10,J37,10)/60,2),"--")</f>
        <v>--</v>
      </c>
      <c r="N37" s="296" t="str">
        <f>IF(K37="RP",5*L37/100*ROUND(IF(J37&gt;10,J37,10)/60,2),"--")</f>
        <v>--</v>
      </c>
      <c r="O37" s="386" t="str">
        <f>IF(K37="F",50*IF(J37&lt;300,ROUND(IF(J37&gt;10,J37,10)/60,2),5),"--")</f>
        <v>--</v>
      </c>
      <c r="P37" s="387" t="str">
        <f>IF(AND(K37="F",J37&gt;300),(ROUND(J37/60,2)-5)*10,"--")</f>
        <v>--</v>
      </c>
      <c r="Q37" s="334" t="str">
        <f>IF(K37="R",50*L37/100*IF(J37&lt;300,ROUND(IF(J37&gt;10,J37,10)/60,2),5),"--")</f>
        <v>--</v>
      </c>
      <c r="R37" s="395" t="str">
        <f>IF(AND(K37="R",J37&gt;300),(ROUND(J37/60,2)-5)*10*L37/100,"--")</f>
        <v>--</v>
      </c>
      <c r="S37" s="403" t="str">
        <f>IF(K37="RF",ROUND(J37/60,2)*10,"--")</f>
        <v>--</v>
      </c>
      <c r="T37" s="409" t="str">
        <f>IF(K37="R",ROUND(J37/60,2)*10*L37/100,"--")</f>
        <v>--</v>
      </c>
      <c r="U37" s="365">
        <f t="shared" si="2"/>
      </c>
      <c r="V37" s="260">
        <f t="shared" si="12"/>
      </c>
      <c r="W37" s="261"/>
    </row>
    <row r="38" spans="2:23" ht="16.5" customHeight="1">
      <c r="B38" s="247"/>
      <c r="C38" s="450"/>
      <c r="D38" s="462"/>
      <c r="E38" s="462"/>
      <c r="F38" s="462"/>
      <c r="G38" s="454"/>
      <c r="H38" s="455"/>
      <c r="I38" s="21">
        <f t="shared" si="0"/>
      </c>
      <c r="J38" s="22">
        <f t="shared" si="1"/>
      </c>
      <c r="K38" s="459"/>
      <c r="L38" s="458">
        <f>IF(D38="","","--")</f>
      </c>
      <c r="M38" s="375" t="str">
        <f>IF(K38="P",5*ROUND(IF(J38&gt;10,J38,10)/60,2),"--")</f>
        <v>--</v>
      </c>
      <c r="N38" s="296" t="str">
        <f>IF(K38="RP",5*L38/100*ROUND(IF(J38&gt;10,J38,10)/60,2),"--")</f>
        <v>--</v>
      </c>
      <c r="O38" s="386" t="str">
        <f>IF(K38="F",50*IF(J38&lt;300,ROUND(IF(J38&gt;10,J38,10)/60,2),5),"--")</f>
        <v>--</v>
      </c>
      <c r="P38" s="387" t="str">
        <f>IF(AND(K38="F",J38&gt;300),(ROUND(J38/60,2)-5)*10,"--")</f>
        <v>--</v>
      </c>
      <c r="Q38" s="334" t="str">
        <f>IF(K38="R",50*L38/100*IF(J38&lt;300,ROUND(IF(J38&gt;10,J38,10)/60,2),5),"--")</f>
        <v>--</v>
      </c>
      <c r="R38" s="395" t="str">
        <f>IF(AND(K38="R",J38&gt;300),(ROUND(J38/60,2)-5)*10*L38/100,"--")</f>
        <v>--</v>
      </c>
      <c r="S38" s="403" t="str">
        <f>IF(K38="RF",ROUND(J38/60,2)*10,"--")</f>
        <v>--</v>
      </c>
      <c r="T38" s="409" t="str">
        <f>IF(K38="R",ROUND(J38/60,2)*10*L38/100,"--")</f>
        <v>--</v>
      </c>
      <c r="U38" s="365">
        <f t="shared" si="2"/>
      </c>
      <c r="V38" s="260">
        <f t="shared" si="12"/>
      </c>
      <c r="W38" s="261"/>
    </row>
    <row r="39" spans="2:23" ht="16.5" customHeight="1" thickBot="1">
      <c r="B39" s="247"/>
      <c r="C39" s="452"/>
      <c r="D39" s="463"/>
      <c r="E39" s="463"/>
      <c r="F39" s="463"/>
      <c r="G39" s="456"/>
      <c r="H39" s="456"/>
      <c r="I39" s="262"/>
      <c r="J39" s="262"/>
      <c r="K39" s="456"/>
      <c r="L39" s="460"/>
      <c r="M39" s="376"/>
      <c r="N39" s="379"/>
      <c r="O39" s="388"/>
      <c r="P39" s="389"/>
      <c r="Q39" s="396"/>
      <c r="R39" s="397"/>
      <c r="S39" s="404"/>
      <c r="T39" s="410"/>
      <c r="U39" s="448"/>
      <c r="V39" s="447"/>
      <c r="W39" s="261"/>
    </row>
    <row r="40" spans="2:23" ht="16.5" customHeight="1" thickBot="1" thickTop="1">
      <c r="B40" s="247"/>
      <c r="C40" s="222" t="s">
        <v>47</v>
      </c>
      <c r="D40" s="223" t="s">
        <v>98</v>
      </c>
      <c r="E40" s="25"/>
      <c r="F40" s="26"/>
      <c r="G40" s="26"/>
      <c r="H40" s="26"/>
      <c r="I40" s="26"/>
      <c r="J40" s="26"/>
      <c r="K40" s="263"/>
      <c r="L40" s="464"/>
      <c r="M40" s="294">
        <f aca="true" t="shared" si="13" ref="M40:S40">SUM(N17:N39)</f>
        <v>0</v>
      </c>
      <c r="N40" s="398">
        <f t="shared" si="13"/>
        <v>250</v>
      </c>
      <c r="O40" s="398">
        <f t="shared" si="13"/>
        <v>14.800000000000004</v>
      </c>
      <c r="P40" s="399">
        <f t="shared" si="13"/>
        <v>0</v>
      </c>
      <c r="Q40" s="399">
        <f t="shared" si="13"/>
        <v>0</v>
      </c>
      <c r="R40" s="405">
        <f t="shared" si="13"/>
        <v>0</v>
      </c>
      <c r="S40" s="411">
        <f t="shared" si="13"/>
        <v>0</v>
      </c>
      <c r="T40" s="264"/>
      <c r="U40" s="264"/>
      <c r="V40" s="47">
        <f>SUM(V17:V39)</f>
        <v>970938</v>
      </c>
      <c r="W40" s="446"/>
    </row>
    <row r="41" spans="2:23" s="265" customFormat="1" ht="9.75" thickTop="1">
      <c r="B41" s="266"/>
      <c r="C41" s="224"/>
      <c r="D41" s="226" t="s">
        <v>99</v>
      </c>
      <c r="E41" s="225"/>
      <c r="F41" s="229"/>
      <c r="G41" s="229"/>
      <c r="H41" s="229"/>
      <c r="I41" s="229"/>
      <c r="J41" s="229"/>
      <c r="K41" s="267"/>
      <c r="L41" s="230"/>
      <c r="M41" s="230"/>
      <c r="N41" s="268"/>
      <c r="O41" s="268"/>
      <c r="P41" s="269"/>
      <c r="Q41" s="269"/>
      <c r="R41" s="269"/>
      <c r="S41" s="269"/>
      <c r="T41" s="270"/>
      <c r="U41" s="239"/>
      <c r="V41" s="239"/>
      <c r="W41" s="271"/>
    </row>
    <row r="42" spans="2:23" ht="16.5" customHeight="1" thickBot="1">
      <c r="B42" s="272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4"/>
      <c r="U42" s="273"/>
      <c r="V42" s="273"/>
      <c r="W42" s="275"/>
    </row>
    <row r="43" spans="2:22" ht="16.5" customHeight="1" thickTop="1">
      <c r="B43" s="11"/>
      <c r="T43" s="2"/>
      <c r="V43" s="11"/>
    </row>
    <row r="44" ht="16.5" customHeight="1">
      <c r="T44" s="2"/>
    </row>
    <row r="45" ht="16.5" customHeight="1">
      <c r="T45" s="2"/>
    </row>
    <row r="46" ht="12.75">
      <c r="T46" s="2"/>
    </row>
    <row r="47" ht="12.75">
      <c r="T47" s="2"/>
    </row>
    <row r="48" ht="12.75">
      <c r="T48" s="2"/>
    </row>
    <row r="49" ht="12.75">
      <c r="T49" s="2"/>
    </row>
    <row r="50" ht="12.75">
      <c r="T50" s="2"/>
    </row>
    <row r="51" ht="12.75">
      <c r="T51" s="2"/>
    </row>
    <row r="52" ht="12.75">
      <c r="T52" s="2"/>
    </row>
    <row r="53" ht="12.75">
      <c r="T53" s="2"/>
    </row>
    <row r="54" ht="12.75">
      <c r="T54" s="2"/>
    </row>
    <row r="55" ht="12.75">
      <c r="T55" s="2"/>
    </row>
    <row r="56" ht="12.75">
      <c r="T56" s="2"/>
    </row>
    <row r="57" ht="12.75">
      <c r="T57" s="2"/>
    </row>
    <row r="58" ht="12.75">
      <c r="T58" s="2"/>
    </row>
    <row r="59" ht="12.75">
      <c r="T59" s="2"/>
    </row>
    <row r="60" ht="12.75">
      <c r="T60" s="2"/>
    </row>
    <row r="61" ht="12.75">
      <c r="T61" s="2"/>
    </row>
    <row r="62" ht="12.75">
      <c r="T62" s="2"/>
    </row>
    <row r="63" ht="12.75">
      <c r="T63" s="2"/>
    </row>
    <row r="64" ht="12.75">
      <c r="T64" s="2"/>
    </row>
    <row r="65" ht="12.75">
      <c r="T65" s="2"/>
    </row>
    <row r="66" ht="12.75">
      <c r="T66" s="2"/>
    </row>
    <row r="67" ht="12.75">
      <c r="T67" s="2"/>
    </row>
    <row r="68" ht="12.75">
      <c r="T68" s="2"/>
    </row>
    <row r="69" ht="12.75">
      <c r="T69" s="2"/>
    </row>
    <row r="70" ht="12.75">
      <c r="T70" s="2"/>
    </row>
    <row r="71" ht="12.75">
      <c r="T71" s="2"/>
    </row>
    <row r="72" ht="12.75">
      <c r="T72" s="2"/>
    </row>
    <row r="73" ht="12.75">
      <c r="T73" s="2"/>
    </row>
    <row r="74" ht="12.75">
      <c r="T74" s="2"/>
    </row>
    <row r="75" ht="12.75">
      <c r="T75" s="2"/>
    </row>
    <row r="76" ht="12.75">
      <c r="T76" s="2"/>
    </row>
    <row r="77" ht="12.75">
      <c r="T77" s="2"/>
    </row>
    <row r="78" ht="12.75">
      <c r="T78" s="2"/>
    </row>
    <row r="79" ht="12.75">
      <c r="T79" s="2"/>
    </row>
    <row r="80" ht="12.75">
      <c r="T80" s="2"/>
    </row>
    <row r="81" ht="12.75">
      <c r="T81" s="2"/>
    </row>
    <row r="82" ht="12.75">
      <c r="T82" s="2"/>
    </row>
    <row r="83" ht="12.75">
      <c r="T83" s="2"/>
    </row>
    <row r="84" ht="12.75">
      <c r="T84" s="2"/>
    </row>
    <row r="85" ht="12.75">
      <c r="T85" s="2"/>
    </row>
    <row r="86" ht="12.75">
      <c r="T86" s="2"/>
    </row>
    <row r="87" ht="12.75">
      <c r="T87" s="2"/>
    </row>
    <row r="88" ht="12.75">
      <c r="T88" s="2"/>
    </row>
    <row r="89" ht="12.75">
      <c r="T89" s="2"/>
    </row>
    <row r="90" ht="12.75">
      <c r="T90" s="2"/>
    </row>
    <row r="91" ht="12.75">
      <c r="T91" s="2"/>
    </row>
    <row r="92" ht="12.75">
      <c r="T92" s="2"/>
    </row>
    <row r="93" ht="12.75">
      <c r="T93" s="2"/>
    </row>
    <row r="94" ht="12.75">
      <c r="T94" s="2"/>
    </row>
    <row r="95" ht="12.75">
      <c r="T95" s="2"/>
    </row>
    <row r="96" ht="12.75">
      <c r="T96" s="2"/>
    </row>
    <row r="97" ht="12.75">
      <c r="T97" s="2"/>
    </row>
    <row r="98" ht="12.75">
      <c r="T98" s="2"/>
    </row>
    <row r="99" ht="12.75">
      <c r="T99" s="2"/>
    </row>
    <row r="100" ht="12.75">
      <c r="T100" s="2"/>
    </row>
    <row r="101" ht="12.75">
      <c r="T101" s="2"/>
    </row>
    <row r="102" ht="12.75">
      <c r="T102" s="2"/>
    </row>
    <row r="103" ht="12.75">
      <c r="T103" s="2"/>
    </row>
    <row r="104" ht="12.75">
      <c r="T104" s="2"/>
    </row>
    <row r="105" ht="12.75">
      <c r="T105" s="2"/>
    </row>
    <row r="106" ht="12.75">
      <c r="T106" s="2"/>
    </row>
    <row r="107" ht="12.75">
      <c r="T107" s="2"/>
    </row>
    <row r="108" ht="12.75">
      <c r="T108" s="2"/>
    </row>
    <row r="109" ht="12.75">
      <c r="T109" s="2"/>
    </row>
    <row r="110" ht="12.75">
      <c r="T110" s="2"/>
    </row>
    <row r="111" ht="12.75">
      <c r="T111" s="2"/>
    </row>
    <row r="112" ht="12.75">
      <c r="T112" s="2"/>
    </row>
    <row r="113" ht="12.75">
      <c r="T113" s="2"/>
    </row>
    <row r="114" ht="12.75">
      <c r="T114" s="2"/>
    </row>
    <row r="115" ht="12.75">
      <c r="T115" s="2"/>
    </row>
    <row r="116" ht="12.75">
      <c r="T116" s="2"/>
    </row>
    <row r="117" ht="12.75">
      <c r="T117" s="2"/>
    </row>
    <row r="118" ht="12.75">
      <c r="T118" s="2"/>
    </row>
    <row r="119" ht="12.75">
      <c r="T119" s="2"/>
    </row>
    <row r="120" ht="12.75">
      <c r="T120" s="2"/>
    </row>
    <row r="121" ht="12.75">
      <c r="T121" s="2"/>
    </row>
    <row r="122" ht="12.75">
      <c r="T122" s="2"/>
    </row>
    <row r="123" ht="12.75">
      <c r="T123" s="2"/>
    </row>
    <row r="124" ht="12.75">
      <c r="T124" s="2"/>
    </row>
    <row r="125" ht="12.75">
      <c r="T125" s="2"/>
    </row>
    <row r="126" ht="12.75">
      <c r="T126" s="2"/>
    </row>
    <row r="127" ht="12.75">
      <c r="T127" s="2"/>
    </row>
    <row r="128" ht="12.75">
      <c r="T128" s="2"/>
    </row>
    <row r="129" ht="12.75">
      <c r="T129" s="2"/>
    </row>
    <row r="130" ht="12.75">
      <c r="T130" s="2"/>
    </row>
    <row r="131" ht="12.75">
      <c r="T131" s="2"/>
    </row>
    <row r="132" ht="12.75">
      <c r="T132" s="2"/>
    </row>
    <row r="133" ht="12.75">
      <c r="T133" s="2"/>
    </row>
    <row r="134" ht="12.75">
      <c r="T134" s="2"/>
    </row>
    <row r="135" ht="12.75">
      <c r="T135" s="2"/>
    </row>
    <row r="136" ht="12.75">
      <c r="T136" s="2"/>
    </row>
    <row r="137" ht="12.75">
      <c r="T137" s="2"/>
    </row>
    <row r="138" ht="12.75">
      <c r="T138" s="2"/>
    </row>
    <row r="139" ht="12.75">
      <c r="T139" s="2"/>
    </row>
    <row r="140" ht="12.75">
      <c r="T140" s="2"/>
    </row>
    <row r="141" ht="12.75">
      <c r="T141" s="2"/>
    </row>
    <row r="142" ht="12.75">
      <c r="T142" s="2"/>
    </row>
    <row r="143" ht="12.75">
      <c r="T143" s="2"/>
    </row>
    <row r="144" ht="12.75">
      <c r="T144" s="2"/>
    </row>
    <row r="145" ht="12.75">
      <c r="T145" s="2"/>
    </row>
    <row r="146" ht="12.75">
      <c r="T146" s="2"/>
    </row>
    <row r="147" ht="12.75">
      <c r="T147" s="2"/>
    </row>
    <row r="148" ht="12.75">
      <c r="T148" s="2"/>
    </row>
    <row r="149" ht="12.75">
      <c r="T149" s="2"/>
    </row>
    <row r="150" ht="12.75">
      <c r="T150" s="2"/>
    </row>
    <row r="151" ht="12.75">
      <c r="T151" s="2"/>
    </row>
    <row r="152" ht="12.75">
      <c r="T152" s="2"/>
    </row>
    <row r="153" ht="12.75">
      <c r="T153" s="2"/>
    </row>
    <row r="154" ht="12.75">
      <c r="T154" s="2"/>
    </row>
    <row r="155" ht="12.75">
      <c r="T155" s="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zoomScale="75" zoomScaleNormal="75" workbookViewId="0" topLeftCell="A10">
      <selection activeCell="E15" sqref="E15:E1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59" customFormat="1" ht="26.25">
      <c r="A1" s="109"/>
      <c r="U1" s="427"/>
    </row>
    <row r="2" spans="1:21" s="59" customFormat="1" ht="26.25">
      <c r="A2" s="109"/>
      <c r="B2" s="60" t="str">
        <f>+'tot-0105'!B2</f>
        <v>ANEXO VI.2. al Memorandum  D.T.E.E. N°1046   /2009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="15" customFormat="1" ht="12.75">
      <c r="A3" s="35"/>
    </row>
    <row r="4" spans="1:2" s="66" customFormat="1" ht="11.25">
      <c r="A4" s="64" t="s">
        <v>14</v>
      </c>
      <c r="B4" s="132"/>
    </row>
    <row r="5" spans="1:2" s="66" customFormat="1" ht="11.25">
      <c r="A5" s="64" t="s">
        <v>15</v>
      </c>
      <c r="B5" s="132"/>
    </row>
    <row r="6" s="15" customFormat="1" ht="13.5" thickBot="1"/>
    <row r="7" spans="2:21" s="15" customFormat="1" ht="13.5" thickTop="1"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68"/>
    </row>
    <row r="8" spans="2:21" s="9" customFormat="1" ht="20.25">
      <c r="B8" s="119"/>
      <c r="C8" s="10"/>
      <c r="D8" s="38" t="s">
        <v>28</v>
      </c>
      <c r="L8" s="145"/>
      <c r="M8" s="145"/>
      <c r="N8" s="27"/>
      <c r="O8" s="10"/>
      <c r="P8" s="10"/>
      <c r="Q8" s="10"/>
      <c r="R8" s="10"/>
      <c r="S8" s="10"/>
      <c r="T8" s="10"/>
      <c r="U8" s="177"/>
    </row>
    <row r="9" spans="2:21" s="15" customFormat="1" ht="12.75">
      <c r="B9" s="91"/>
      <c r="C9" s="1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3"/>
      <c r="P9" s="13"/>
      <c r="Q9" s="13"/>
      <c r="R9" s="13"/>
      <c r="S9" s="13"/>
      <c r="T9" s="13"/>
      <c r="U9" s="95"/>
    </row>
    <row r="10" spans="2:21" s="9" customFormat="1" ht="20.25">
      <c r="B10" s="119"/>
      <c r="C10" s="10"/>
      <c r="D10" s="149" t="s">
        <v>71</v>
      </c>
      <c r="E10" s="28"/>
      <c r="F10" s="145"/>
      <c r="G10" s="178"/>
      <c r="I10" s="178"/>
      <c r="J10" s="178"/>
      <c r="K10" s="178"/>
      <c r="L10" s="178"/>
      <c r="M10" s="178"/>
      <c r="N10" s="178"/>
      <c r="O10" s="10"/>
      <c r="P10" s="10"/>
      <c r="Q10" s="10"/>
      <c r="R10" s="10"/>
      <c r="S10" s="10"/>
      <c r="T10" s="10"/>
      <c r="U10" s="177"/>
    </row>
    <row r="11" spans="2:21" s="15" customFormat="1" ht="13.5">
      <c r="B11" s="91"/>
      <c r="C11" s="13"/>
      <c r="D11" s="176"/>
      <c r="E11" s="176"/>
      <c r="F11" s="35"/>
      <c r="G11" s="169"/>
      <c r="H11" s="93"/>
      <c r="I11" s="169"/>
      <c r="J11" s="169"/>
      <c r="K11" s="169"/>
      <c r="L11" s="169"/>
      <c r="M11" s="169"/>
      <c r="N11" s="169"/>
      <c r="O11" s="13"/>
      <c r="P11" s="13"/>
      <c r="Q11" s="13"/>
      <c r="R11" s="13"/>
      <c r="S11" s="13"/>
      <c r="T11" s="13"/>
      <c r="U11" s="95"/>
    </row>
    <row r="12" spans="2:21" s="15" customFormat="1" ht="19.5">
      <c r="B12" s="79" t="str">
        <f>+'tot-0105'!B14</f>
        <v>Desde el 01 al 31 de mayo de 2007</v>
      </c>
      <c r="C12" s="82"/>
      <c r="D12" s="82"/>
      <c r="E12" s="82"/>
      <c r="F12" s="82"/>
      <c r="G12" s="179"/>
      <c r="H12" s="179"/>
      <c r="I12" s="179"/>
      <c r="J12" s="179"/>
      <c r="K12" s="179"/>
      <c r="L12" s="179"/>
      <c r="M12" s="179"/>
      <c r="N12" s="179"/>
      <c r="O12" s="82"/>
      <c r="P12" s="82"/>
      <c r="Q12" s="82"/>
      <c r="R12" s="82"/>
      <c r="S12" s="82"/>
      <c r="T12" s="82"/>
      <c r="U12" s="180"/>
    </row>
    <row r="13" spans="2:21" s="15" customFormat="1" ht="14.25" thickBot="1">
      <c r="B13" s="181"/>
      <c r="C13" s="182"/>
      <c r="D13" s="182"/>
      <c r="E13" s="182"/>
      <c r="F13" s="182"/>
      <c r="G13" s="183"/>
      <c r="H13" s="183"/>
      <c r="I13" s="183"/>
      <c r="J13" s="183"/>
      <c r="K13" s="183"/>
      <c r="L13" s="183"/>
      <c r="M13" s="183"/>
      <c r="N13" s="183"/>
      <c r="O13" s="182"/>
      <c r="P13" s="182"/>
      <c r="Q13" s="182"/>
      <c r="R13" s="182"/>
      <c r="S13" s="182"/>
      <c r="T13" s="182"/>
      <c r="U13" s="184"/>
    </row>
    <row r="14" spans="2:21" s="15" customFormat="1" ht="15" thickBot="1" thickTop="1">
      <c r="B14" s="91"/>
      <c r="C14" s="13"/>
      <c r="D14" s="185"/>
      <c r="E14" s="185"/>
      <c r="F14" s="186" t="s">
        <v>66</v>
      </c>
      <c r="G14" s="13"/>
      <c r="H14" s="9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5"/>
    </row>
    <row r="15" spans="2:21" s="15" customFormat="1" ht="16.5" customHeight="1" thickBot="1" thickTop="1">
      <c r="B15" s="91"/>
      <c r="C15" s="13"/>
      <c r="D15" s="431" t="s">
        <v>67</v>
      </c>
      <c r="E15" s="432">
        <v>17.848</v>
      </c>
      <c r="F15" s="433">
        <v>200</v>
      </c>
      <c r="T15" s="115"/>
      <c r="U15" s="95"/>
    </row>
    <row r="16" spans="2:21" s="15" customFormat="1" ht="16.5" customHeight="1" thickBot="1" thickTop="1">
      <c r="B16" s="91"/>
      <c r="C16" s="13"/>
      <c r="D16" s="434" t="s">
        <v>68</v>
      </c>
      <c r="E16" s="435">
        <v>16.064</v>
      </c>
      <c r="F16" s="433">
        <v>100</v>
      </c>
      <c r="M16" s="13"/>
      <c r="N16" s="13"/>
      <c r="O16" s="13"/>
      <c r="P16" s="13"/>
      <c r="Q16" s="13"/>
      <c r="R16" s="13"/>
      <c r="S16" s="13"/>
      <c r="T16" s="13"/>
      <c r="U16" s="95"/>
    </row>
    <row r="17" spans="2:21" s="15" customFormat="1" ht="16.5" customHeight="1" thickBot="1" thickTop="1">
      <c r="B17" s="91"/>
      <c r="C17" s="13"/>
      <c r="D17" s="436" t="s">
        <v>69</v>
      </c>
      <c r="E17" s="517">
        <v>14.279</v>
      </c>
      <c r="F17" s="433">
        <v>40</v>
      </c>
      <c r="M17" s="13"/>
      <c r="O17" s="13"/>
      <c r="P17" s="13"/>
      <c r="Q17" s="13"/>
      <c r="R17" s="13"/>
      <c r="S17" s="13"/>
      <c r="T17" s="13"/>
      <c r="U17" s="95"/>
    </row>
    <row r="18" spans="2:21" s="15" customFormat="1" ht="16.5" customHeight="1" thickBot="1" thickTop="1">
      <c r="B18" s="91"/>
      <c r="C18" s="20"/>
      <c r="D18" s="50"/>
      <c r="E18" s="50"/>
      <c r="F18" s="170"/>
      <c r="G18" s="171"/>
      <c r="H18" s="171"/>
      <c r="I18" s="171"/>
      <c r="J18" s="171"/>
      <c r="K18" s="171"/>
      <c r="L18" s="171"/>
      <c r="M18" s="171"/>
      <c r="N18" s="43"/>
      <c r="O18" s="172"/>
      <c r="P18" s="173"/>
      <c r="Q18" s="173"/>
      <c r="R18" s="173"/>
      <c r="S18" s="174"/>
      <c r="T18" s="175"/>
      <c r="U18" s="95"/>
    </row>
    <row r="19" spans="2:21" s="15" customFormat="1" ht="33.75" customHeight="1" thickBot="1" thickTop="1">
      <c r="B19" s="91"/>
      <c r="C19" s="123" t="s">
        <v>29</v>
      </c>
      <c r="D19" s="130" t="s">
        <v>59</v>
      </c>
      <c r="E19" s="127" t="s">
        <v>10</v>
      </c>
      <c r="F19" s="188" t="s">
        <v>30</v>
      </c>
      <c r="G19" s="278" t="s">
        <v>33</v>
      </c>
      <c r="H19" s="125" t="s">
        <v>34</v>
      </c>
      <c r="I19" s="127" t="s">
        <v>35</v>
      </c>
      <c r="J19" s="189" t="s">
        <v>36</v>
      </c>
      <c r="K19" s="189" t="s">
        <v>37</v>
      </c>
      <c r="L19" s="129" t="s">
        <v>38</v>
      </c>
      <c r="M19" s="126" t="s">
        <v>40</v>
      </c>
      <c r="N19" s="325" t="s">
        <v>32</v>
      </c>
      <c r="O19" s="319" t="s">
        <v>51</v>
      </c>
      <c r="P19" s="330" t="s">
        <v>70</v>
      </c>
      <c r="Q19" s="331"/>
      <c r="R19" s="340" t="s">
        <v>43</v>
      </c>
      <c r="S19" s="131" t="s">
        <v>45</v>
      </c>
      <c r="T19" s="163" t="s">
        <v>46</v>
      </c>
      <c r="U19" s="95"/>
    </row>
    <row r="20" spans="2:21" s="15" customFormat="1" ht="16.5" customHeight="1" thickTop="1">
      <c r="B20" s="91"/>
      <c r="C20" s="19"/>
      <c r="D20" s="40"/>
      <c r="E20" s="40"/>
      <c r="F20" s="40"/>
      <c r="G20" s="286"/>
      <c r="H20" s="40"/>
      <c r="I20" s="40"/>
      <c r="J20" s="40"/>
      <c r="K20" s="40"/>
      <c r="L20" s="40"/>
      <c r="M20" s="40"/>
      <c r="N20" s="326"/>
      <c r="O20" s="328"/>
      <c r="P20" s="332"/>
      <c r="Q20" s="333"/>
      <c r="R20" s="341"/>
      <c r="S20" s="40"/>
      <c r="T20" s="426"/>
      <c r="U20" s="95"/>
    </row>
    <row r="21" spans="2:21" s="15" customFormat="1" ht="16.5" customHeight="1">
      <c r="B21" s="91"/>
      <c r="C21" s="19"/>
      <c r="D21" s="41"/>
      <c r="E21" s="41"/>
      <c r="F21" s="41"/>
      <c r="G21" s="287"/>
      <c r="H21" s="41"/>
      <c r="I21" s="41"/>
      <c r="J21" s="41"/>
      <c r="K21" s="41"/>
      <c r="L21" s="41"/>
      <c r="M21" s="41"/>
      <c r="N21" s="324"/>
      <c r="O21" s="327"/>
      <c r="P21" s="334"/>
      <c r="Q21" s="335"/>
      <c r="R21" s="338"/>
      <c r="S21" s="41"/>
      <c r="T21" s="190"/>
      <c r="U21" s="95"/>
    </row>
    <row r="22" spans="2:21" s="15" customFormat="1" ht="16.5" customHeight="1">
      <c r="B22" s="91"/>
      <c r="C22" s="450">
        <v>61</v>
      </c>
      <c r="D22" s="536" t="s">
        <v>4</v>
      </c>
      <c r="E22" s="536" t="s">
        <v>7</v>
      </c>
      <c r="F22" s="536">
        <v>132</v>
      </c>
      <c r="G22" s="537">
        <f aca="true" t="shared" si="0" ref="G22:G41">IF(F22=500,$E$15,IF(F22=220,$E$16,$E$17))</f>
        <v>14.279</v>
      </c>
      <c r="H22" s="538">
        <v>39204.34305555555</v>
      </c>
      <c r="I22" s="505">
        <v>39204.63263888889</v>
      </c>
      <c r="J22" s="42">
        <f aca="true" t="shared" si="1" ref="J22:J41">IF(D22="","",(I22-H22)*24)</f>
        <v>6.950000000128057</v>
      </c>
      <c r="K22" s="23">
        <f aca="true" t="shared" si="2" ref="K22:K41">IF(D22="","",ROUND((I22-H22)*24*60,0))</f>
        <v>417</v>
      </c>
      <c r="L22" s="457" t="s">
        <v>88</v>
      </c>
      <c r="M22" s="459" t="str">
        <f aca="true" t="shared" si="3" ref="M22:M41">IF(D22="","",IF(L22="P","--","NO"))</f>
        <v>--</v>
      </c>
      <c r="N22" s="507">
        <f aca="true" t="shared" si="4" ref="N22:N41">IF(F22=500,$F$15,IF(F22=220,$F$16,$F$17))</f>
        <v>40</v>
      </c>
      <c r="O22" s="508">
        <f aca="true" t="shared" si="5" ref="O22:O41">IF(L22="P",G22*N22*ROUND(K22/60,2)*0.1,"--")</f>
        <v>396.9562</v>
      </c>
      <c r="P22" s="509" t="str">
        <f aca="true" t="shared" si="6" ref="P22:P41">IF(AND(L22="F",M22="NO"),G22*N22,"--")</f>
        <v>--</v>
      </c>
      <c r="Q22" s="510" t="str">
        <f aca="true" t="shared" si="7" ref="Q22:Q41">IF(L22="F",G22*N22*ROUND(K22/60,2),"--")</f>
        <v>--</v>
      </c>
      <c r="R22" s="511" t="str">
        <f aca="true" t="shared" si="8" ref="R22:R41">IF(L22="RF",G22*N22*ROUND(K22/60,2),"--")</f>
        <v>--</v>
      </c>
      <c r="S22" s="459" t="str">
        <f aca="true" t="shared" si="9" ref="S22:S41">IF(D22="","","SI")</f>
        <v>SI</v>
      </c>
      <c r="T22" s="44">
        <f aca="true" t="shared" si="10" ref="T22:T41">IF(D22="","",SUM(O22:R22)*IF(S22="SI",1,2))</f>
        <v>396.9562</v>
      </c>
      <c r="U22" s="95"/>
    </row>
    <row r="23" spans="2:22" s="15" customFormat="1" ht="16.5" customHeight="1">
      <c r="B23" s="91"/>
      <c r="C23" s="450">
        <v>62</v>
      </c>
      <c r="D23" s="536" t="s">
        <v>5</v>
      </c>
      <c r="E23" s="536" t="s">
        <v>9</v>
      </c>
      <c r="F23" s="536">
        <v>132</v>
      </c>
      <c r="G23" s="537">
        <f t="shared" si="0"/>
        <v>14.279</v>
      </c>
      <c r="H23" s="538">
        <v>39216.38263888889</v>
      </c>
      <c r="I23" s="505">
        <v>39216.402083333334</v>
      </c>
      <c r="J23" s="42">
        <f t="shared" si="1"/>
        <v>0.46666666661622</v>
      </c>
      <c r="K23" s="23">
        <f t="shared" si="2"/>
        <v>28</v>
      </c>
      <c r="L23" s="457" t="s">
        <v>88</v>
      </c>
      <c r="M23" s="459" t="str">
        <f t="shared" si="3"/>
        <v>--</v>
      </c>
      <c r="N23" s="507">
        <f t="shared" si="4"/>
        <v>40</v>
      </c>
      <c r="O23" s="508">
        <f t="shared" si="5"/>
        <v>26.844519999999996</v>
      </c>
      <c r="P23" s="509" t="str">
        <f t="shared" si="6"/>
        <v>--</v>
      </c>
      <c r="Q23" s="510" t="str">
        <f t="shared" si="7"/>
        <v>--</v>
      </c>
      <c r="R23" s="511" t="str">
        <f t="shared" si="8"/>
        <v>--</v>
      </c>
      <c r="S23" s="459" t="str">
        <f t="shared" si="9"/>
        <v>SI</v>
      </c>
      <c r="T23" s="44">
        <f t="shared" si="10"/>
        <v>26.844519999999996</v>
      </c>
      <c r="U23" s="95"/>
      <c r="V23" s="532"/>
    </row>
    <row r="24" spans="2:21" s="15" customFormat="1" ht="16.5" customHeight="1">
      <c r="B24" s="91"/>
      <c r="C24" s="450">
        <v>63</v>
      </c>
      <c r="D24" s="536" t="s">
        <v>3</v>
      </c>
      <c r="E24" s="536" t="s">
        <v>80</v>
      </c>
      <c r="F24" s="536">
        <v>132</v>
      </c>
      <c r="G24" s="537">
        <f t="shared" si="0"/>
        <v>14.279</v>
      </c>
      <c r="H24" s="538">
        <v>39216.45</v>
      </c>
      <c r="I24" s="505">
        <v>39216.61319444444</v>
      </c>
      <c r="J24" s="42">
        <f t="shared" si="1"/>
        <v>3.916666666686069</v>
      </c>
      <c r="K24" s="23">
        <f t="shared" si="2"/>
        <v>235</v>
      </c>
      <c r="L24" s="457" t="s">
        <v>88</v>
      </c>
      <c r="M24" s="459" t="str">
        <f t="shared" si="3"/>
        <v>--</v>
      </c>
      <c r="N24" s="507">
        <f t="shared" si="4"/>
        <v>40</v>
      </c>
      <c r="O24" s="508">
        <f t="shared" si="5"/>
        <v>223.89471999999998</v>
      </c>
      <c r="P24" s="509" t="str">
        <f t="shared" si="6"/>
        <v>--</v>
      </c>
      <c r="Q24" s="510" t="str">
        <f t="shared" si="7"/>
        <v>--</v>
      </c>
      <c r="R24" s="511" t="str">
        <f t="shared" si="8"/>
        <v>--</v>
      </c>
      <c r="S24" s="459" t="str">
        <f t="shared" si="9"/>
        <v>SI</v>
      </c>
      <c r="T24" s="44">
        <f t="shared" si="10"/>
        <v>223.89471999999998</v>
      </c>
      <c r="U24" s="95"/>
    </row>
    <row r="25" spans="2:21" s="15" customFormat="1" ht="16.5" customHeight="1">
      <c r="B25" s="91"/>
      <c r="C25" s="450">
        <v>64</v>
      </c>
      <c r="D25" s="536" t="s">
        <v>3</v>
      </c>
      <c r="E25" s="536" t="s">
        <v>80</v>
      </c>
      <c r="F25" s="536">
        <v>132</v>
      </c>
      <c r="G25" s="537">
        <f t="shared" si="0"/>
        <v>14.279</v>
      </c>
      <c r="H25" s="538">
        <v>39217.37569444445</v>
      </c>
      <c r="I25" s="505">
        <v>39217.62430555555</v>
      </c>
      <c r="J25" s="42">
        <f t="shared" si="1"/>
        <v>5.966666666558012</v>
      </c>
      <c r="K25" s="23">
        <f t="shared" si="2"/>
        <v>358</v>
      </c>
      <c r="L25" s="457" t="s">
        <v>88</v>
      </c>
      <c r="M25" s="459" t="str">
        <f t="shared" si="3"/>
        <v>--</v>
      </c>
      <c r="N25" s="507">
        <f t="shared" si="4"/>
        <v>40</v>
      </c>
      <c r="O25" s="508">
        <f t="shared" si="5"/>
        <v>340.98252</v>
      </c>
      <c r="P25" s="509" t="str">
        <f t="shared" si="6"/>
        <v>--</v>
      </c>
      <c r="Q25" s="510" t="str">
        <f t="shared" si="7"/>
        <v>--</v>
      </c>
      <c r="R25" s="511" t="str">
        <f t="shared" si="8"/>
        <v>--</v>
      </c>
      <c r="S25" s="459" t="str">
        <f t="shared" si="9"/>
        <v>SI</v>
      </c>
      <c r="T25" s="44">
        <f t="shared" si="10"/>
        <v>340.98252</v>
      </c>
      <c r="U25" s="95"/>
    </row>
    <row r="26" spans="2:21" s="15" customFormat="1" ht="16.5" customHeight="1">
      <c r="B26" s="91"/>
      <c r="C26" s="450">
        <v>65</v>
      </c>
      <c r="D26" s="536" t="s">
        <v>3</v>
      </c>
      <c r="E26" s="536" t="s">
        <v>80</v>
      </c>
      <c r="F26" s="536">
        <v>132</v>
      </c>
      <c r="G26" s="537">
        <f t="shared" si="0"/>
        <v>14.279</v>
      </c>
      <c r="H26" s="538">
        <v>39218.36875</v>
      </c>
      <c r="I26" s="505">
        <v>39218.64722222222</v>
      </c>
      <c r="J26" s="42">
        <f t="shared" si="1"/>
        <v>6.683333333290648</v>
      </c>
      <c r="K26" s="23">
        <f t="shared" si="2"/>
        <v>401</v>
      </c>
      <c r="L26" s="457" t="s">
        <v>88</v>
      </c>
      <c r="M26" s="459" t="str">
        <f t="shared" si="3"/>
        <v>--</v>
      </c>
      <c r="N26" s="507">
        <f t="shared" si="4"/>
        <v>40</v>
      </c>
      <c r="O26" s="508">
        <f t="shared" si="5"/>
        <v>381.53488</v>
      </c>
      <c r="P26" s="509" t="str">
        <f t="shared" si="6"/>
        <v>--</v>
      </c>
      <c r="Q26" s="510" t="str">
        <f t="shared" si="7"/>
        <v>--</v>
      </c>
      <c r="R26" s="511" t="str">
        <f t="shared" si="8"/>
        <v>--</v>
      </c>
      <c r="S26" s="459" t="str">
        <f t="shared" si="9"/>
        <v>SI</v>
      </c>
      <c r="T26" s="44">
        <f t="shared" si="10"/>
        <v>381.53488</v>
      </c>
      <c r="U26" s="95"/>
    </row>
    <row r="27" spans="2:21" s="15" customFormat="1" ht="16.5" customHeight="1">
      <c r="B27" s="91"/>
      <c r="C27" s="450">
        <v>66</v>
      </c>
      <c r="D27" s="536" t="s">
        <v>3</v>
      </c>
      <c r="E27" s="536" t="s">
        <v>81</v>
      </c>
      <c r="F27" s="536">
        <v>132</v>
      </c>
      <c r="G27" s="537">
        <f t="shared" si="0"/>
        <v>14.279</v>
      </c>
      <c r="H27" s="538">
        <v>39219.36319444444</v>
      </c>
      <c r="I27" s="505">
        <v>39219.62152777778</v>
      </c>
      <c r="J27" s="42">
        <f t="shared" si="1"/>
        <v>6.200000000128057</v>
      </c>
      <c r="K27" s="23">
        <f t="shared" si="2"/>
        <v>372</v>
      </c>
      <c r="L27" s="457" t="s">
        <v>88</v>
      </c>
      <c r="M27" s="459" t="str">
        <f t="shared" si="3"/>
        <v>--</v>
      </c>
      <c r="N27" s="507">
        <f t="shared" si="4"/>
        <v>40</v>
      </c>
      <c r="O27" s="508">
        <f t="shared" si="5"/>
        <v>354.11920000000003</v>
      </c>
      <c r="P27" s="509" t="str">
        <f t="shared" si="6"/>
        <v>--</v>
      </c>
      <c r="Q27" s="510" t="str">
        <f t="shared" si="7"/>
        <v>--</v>
      </c>
      <c r="R27" s="511" t="str">
        <f t="shared" si="8"/>
        <v>--</v>
      </c>
      <c r="S27" s="459" t="str">
        <f t="shared" si="9"/>
        <v>SI</v>
      </c>
      <c r="T27" s="44">
        <f t="shared" si="10"/>
        <v>354.11920000000003</v>
      </c>
      <c r="U27" s="95"/>
    </row>
    <row r="28" spans="2:21" s="15" customFormat="1" ht="16.5" customHeight="1">
      <c r="B28" s="91"/>
      <c r="C28" s="450">
        <v>67</v>
      </c>
      <c r="D28" s="536" t="s">
        <v>3</v>
      </c>
      <c r="E28" s="536" t="s">
        <v>81</v>
      </c>
      <c r="F28" s="536">
        <v>132</v>
      </c>
      <c r="G28" s="537">
        <f t="shared" si="0"/>
        <v>14.279</v>
      </c>
      <c r="H28" s="538">
        <v>39220.34722222222</v>
      </c>
      <c r="I28" s="505">
        <v>39220.61666666667</v>
      </c>
      <c r="J28" s="42">
        <f t="shared" si="1"/>
        <v>6.466666666790843</v>
      </c>
      <c r="K28" s="23">
        <f t="shared" si="2"/>
        <v>388</v>
      </c>
      <c r="L28" s="457" t="s">
        <v>88</v>
      </c>
      <c r="M28" s="459" t="str">
        <f t="shared" si="3"/>
        <v>--</v>
      </c>
      <c r="N28" s="507">
        <f t="shared" si="4"/>
        <v>40</v>
      </c>
      <c r="O28" s="508">
        <f t="shared" si="5"/>
        <v>369.54052</v>
      </c>
      <c r="P28" s="509" t="str">
        <f t="shared" si="6"/>
        <v>--</v>
      </c>
      <c r="Q28" s="510" t="str">
        <f t="shared" si="7"/>
        <v>--</v>
      </c>
      <c r="R28" s="511" t="str">
        <f t="shared" si="8"/>
        <v>--</v>
      </c>
      <c r="S28" s="459" t="str">
        <f t="shared" si="9"/>
        <v>SI</v>
      </c>
      <c r="T28" s="44">
        <f t="shared" si="10"/>
        <v>369.54052</v>
      </c>
      <c r="U28" s="95"/>
    </row>
    <row r="29" spans="2:21" s="15" customFormat="1" ht="16.5" customHeight="1">
      <c r="B29" s="91"/>
      <c r="C29" s="450">
        <v>68</v>
      </c>
      <c r="D29" s="536" t="s">
        <v>4</v>
      </c>
      <c r="E29" s="536" t="s">
        <v>8</v>
      </c>
      <c r="F29" s="536">
        <v>132</v>
      </c>
      <c r="G29" s="537">
        <f t="shared" si="0"/>
        <v>14.279</v>
      </c>
      <c r="H29" s="538">
        <v>39222.32013888889</v>
      </c>
      <c r="I29" s="505">
        <v>39222.72083333333</v>
      </c>
      <c r="J29" s="42">
        <f t="shared" si="1"/>
        <v>9.616666666581295</v>
      </c>
      <c r="K29" s="23">
        <f t="shared" si="2"/>
        <v>577</v>
      </c>
      <c r="L29" s="457" t="s">
        <v>88</v>
      </c>
      <c r="M29" s="459" t="str">
        <f t="shared" si="3"/>
        <v>--</v>
      </c>
      <c r="N29" s="507">
        <f t="shared" si="4"/>
        <v>40</v>
      </c>
      <c r="O29" s="508">
        <f t="shared" si="5"/>
        <v>549.45592</v>
      </c>
      <c r="P29" s="509" t="str">
        <f t="shared" si="6"/>
        <v>--</v>
      </c>
      <c r="Q29" s="510" t="str">
        <f t="shared" si="7"/>
        <v>--</v>
      </c>
      <c r="R29" s="511" t="str">
        <f t="shared" si="8"/>
        <v>--</v>
      </c>
      <c r="S29" s="459" t="str">
        <f t="shared" si="9"/>
        <v>SI</v>
      </c>
      <c r="T29" s="44">
        <f t="shared" si="10"/>
        <v>549.45592</v>
      </c>
      <c r="U29" s="95"/>
    </row>
    <row r="30" spans="2:21" s="15" customFormat="1" ht="16.5" customHeight="1">
      <c r="B30" s="91"/>
      <c r="C30" s="450">
        <v>69</v>
      </c>
      <c r="D30" s="536" t="s">
        <v>3</v>
      </c>
      <c r="E30" s="536" t="s">
        <v>6</v>
      </c>
      <c r="F30" s="536">
        <v>132</v>
      </c>
      <c r="G30" s="537">
        <f t="shared" si="0"/>
        <v>14.279</v>
      </c>
      <c r="H30" s="538">
        <v>39233.333333333336</v>
      </c>
      <c r="I30" s="505">
        <v>39233.731944444444</v>
      </c>
      <c r="J30" s="42">
        <f t="shared" si="1"/>
        <v>9.566666666592937</v>
      </c>
      <c r="K30" s="23">
        <f t="shared" si="2"/>
        <v>574</v>
      </c>
      <c r="L30" s="457" t="s">
        <v>88</v>
      </c>
      <c r="M30" s="459" t="str">
        <f t="shared" si="3"/>
        <v>--</v>
      </c>
      <c r="N30" s="507">
        <f t="shared" si="4"/>
        <v>40</v>
      </c>
      <c r="O30" s="508">
        <f t="shared" si="5"/>
        <v>546.60012</v>
      </c>
      <c r="P30" s="509" t="str">
        <f t="shared" si="6"/>
        <v>--</v>
      </c>
      <c r="Q30" s="510" t="str">
        <f t="shared" si="7"/>
        <v>--</v>
      </c>
      <c r="R30" s="511" t="str">
        <f t="shared" si="8"/>
        <v>--</v>
      </c>
      <c r="S30" s="459" t="str">
        <f t="shared" si="9"/>
        <v>SI</v>
      </c>
      <c r="T30" s="44">
        <f t="shared" si="10"/>
        <v>546.60012</v>
      </c>
      <c r="U30" s="95"/>
    </row>
    <row r="31" spans="2:21" s="15" customFormat="1" ht="16.5" customHeight="1">
      <c r="B31" s="91"/>
      <c r="C31" s="450"/>
      <c r="D31" s="534"/>
      <c r="E31" s="534"/>
      <c r="F31" s="535"/>
      <c r="G31" s="279">
        <f t="shared" si="0"/>
        <v>14.279</v>
      </c>
      <c r="H31" s="504"/>
      <c r="I31" s="505"/>
      <c r="J31" s="42">
        <f t="shared" si="1"/>
      </c>
      <c r="K31" s="23">
        <f t="shared" si="2"/>
      </c>
      <c r="L31" s="457"/>
      <c r="M31" s="459">
        <f t="shared" si="3"/>
      </c>
      <c r="N31" s="507">
        <f t="shared" si="4"/>
        <v>40</v>
      </c>
      <c r="O31" s="508" t="str">
        <f t="shared" si="5"/>
        <v>--</v>
      </c>
      <c r="P31" s="509" t="str">
        <f t="shared" si="6"/>
        <v>--</v>
      </c>
      <c r="Q31" s="510" t="str">
        <f t="shared" si="7"/>
        <v>--</v>
      </c>
      <c r="R31" s="511" t="str">
        <f t="shared" si="8"/>
        <v>--</v>
      </c>
      <c r="S31" s="459">
        <f t="shared" si="9"/>
      </c>
      <c r="T31" s="44">
        <f t="shared" si="10"/>
      </c>
      <c r="U31" s="95"/>
    </row>
    <row r="32" spans="2:21" s="15" customFormat="1" ht="16.5" customHeight="1">
      <c r="B32" s="91"/>
      <c r="C32" s="450"/>
      <c r="D32" s="501"/>
      <c r="E32" s="501"/>
      <c r="F32" s="502"/>
      <c r="G32" s="279">
        <f t="shared" si="0"/>
        <v>14.279</v>
      </c>
      <c r="H32" s="504"/>
      <c r="I32" s="505"/>
      <c r="J32" s="42">
        <f t="shared" si="1"/>
      </c>
      <c r="K32" s="23">
        <f t="shared" si="2"/>
      </c>
      <c r="L32" s="457"/>
      <c r="M32" s="459">
        <f t="shared" si="3"/>
      </c>
      <c r="N32" s="507">
        <f t="shared" si="4"/>
        <v>40</v>
      </c>
      <c r="O32" s="508" t="str">
        <f t="shared" si="5"/>
        <v>--</v>
      </c>
      <c r="P32" s="509" t="str">
        <f t="shared" si="6"/>
        <v>--</v>
      </c>
      <c r="Q32" s="510" t="str">
        <f t="shared" si="7"/>
        <v>--</v>
      </c>
      <c r="R32" s="511" t="str">
        <f t="shared" si="8"/>
        <v>--</v>
      </c>
      <c r="S32" s="459">
        <f t="shared" si="9"/>
      </c>
      <c r="T32" s="44">
        <f t="shared" si="10"/>
      </c>
      <c r="U32" s="95"/>
    </row>
    <row r="33" spans="2:21" s="15" customFormat="1" ht="16.5" customHeight="1">
      <c r="B33" s="91"/>
      <c r="C33" s="450"/>
      <c r="D33" s="501"/>
      <c r="E33" s="501"/>
      <c r="F33" s="502"/>
      <c r="G33" s="279">
        <f t="shared" si="0"/>
        <v>14.279</v>
      </c>
      <c r="H33" s="504"/>
      <c r="I33" s="505"/>
      <c r="J33" s="42">
        <f t="shared" si="1"/>
      </c>
      <c r="K33" s="23">
        <f t="shared" si="2"/>
      </c>
      <c r="L33" s="457"/>
      <c r="M33" s="459">
        <f t="shared" si="3"/>
      </c>
      <c r="N33" s="507">
        <f t="shared" si="4"/>
        <v>40</v>
      </c>
      <c r="O33" s="508" t="str">
        <f t="shared" si="5"/>
        <v>--</v>
      </c>
      <c r="P33" s="509" t="str">
        <f t="shared" si="6"/>
        <v>--</v>
      </c>
      <c r="Q33" s="510" t="str">
        <f t="shared" si="7"/>
        <v>--</v>
      </c>
      <c r="R33" s="511" t="str">
        <f t="shared" si="8"/>
        <v>--</v>
      </c>
      <c r="S33" s="459">
        <f t="shared" si="9"/>
      </c>
      <c r="T33" s="44">
        <f t="shared" si="10"/>
      </c>
      <c r="U33" s="95"/>
    </row>
    <row r="34" spans="2:21" s="15" customFormat="1" ht="16.5" customHeight="1">
      <c r="B34" s="91"/>
      <c r="C34" s="450"/>
      <c r="D34" s="501"/>
      <c r="E34" s="501"/>
      <c r="F34" s="502"/>
      <c r="G34" s="279">
        <f t="shared" si="0"/>
        <v>14.279</v>
      </c>
      <c r="H34" s="504"/>
      <c r="I34" s="505"/>
      <c r="J34" s="42">
        <f t="shared" si="1"/>
      </c>
      <c r="K34" s="23">
        <f t="shared" si="2"/>
      </c>
      <c r="L34" s="457"/>
      <c r="M34" s="459">
        <f t="shared" si="3"/>
      </c>
      <c r="N34" s="507">
        <f t="shared" si="4"/>
        <v>40</v>
      </c>
      <c r="O34" s="508" t="str">
        <f t="shared" si="5"/>
        <v>--</v>
      </c>
      <c r="P34" s="509" t="str">
        <f t="shared" si="6"/>
        <v>--</v>
      </c>
      <c r="Q34" s="510" t="str">
        <f t="shared" si="7"/>
        <v>--</v>
      </c>
      <c r="R34" s="511" t="str">
        <f t="shared" si="8"/>
        <v>--</v>
      </c>
      <c r="S34" s="459">
        <f t="shared" si="9"/>
      </c>
      <c r="T34" s="44">
        <f t="shared" si="10"/>
      </c>
      <c r="U34" s="95"/>
    </row>
    <row r="35" spans="2:21" s="15" customFormat="1" ht="16.5" customHeight="1">
      <c r="B35" s="91"/>
      <c r="C35" s="450"/>
      <c r="D35" s="501"/>
      <c r="E35" s="501"/>
      <c r="F35" s="502"/>
      <c r="G35" s="279">
        <f t="shared" si="0"/>
        <v>14.279</v>
      </c>
      <c r="H35" s="504"/>
      <c r="I35" s="505"/>
      <c r="J35" s="42">
        <f t="shared" si="1"/>
      </c>
      <c r="K35" s="23">
        <f t="shared" si="2"/>
      </c>
      <c r="L35" s="457"/>
      <c r="M35" s="459">
        <f t="shared" si="3"/>
      </c>
      <c r="N35" s="507">
        <f t="shared" si="4"/>
        <v>40</v>
      </c>
      <c r="O35" s="508" t="str">
        <f t="shared" si="5"/>
        <v>--</v>
      </c>
      <c r="P35" s="509" t="str">
        <f t="shared" si="6"/>
        <v>--</v>
      </c>
      <c r="Q35" s="510" t="str">
        <f t="shared" si="7"/>
        <v>--</v>
      </c>
      <c r="R35" s="511" t="str">
        <f t="shared" si="8"/>
        <v>--</v>
      </c>
      <c r="S35" s="459">
        <f t="shared" si="9"/>
      </c>
      <c r="T35" s="44">
        <f t="shared" si="10"/>
      </c>
      <c r="U35" s="95"/>
    </row>
    <row r="36" spans="2:21" s="15" customFormat="1" ht="16.5" customHeight="1">
      <c r="B36" s="91"/>
      <c r="C36" s="450"/>
      <c r="D36" s="501"/>
      <c r="E36" s="501"/>
      <c r="F36" s="502"/>
      <c r="G36" s="279">
        <f t="shared" si="0"/>
        <v>14.279</v>
      </c>
      <c r="H36" s="504"/>
      <c r="I36" s="505"/>
      <c r="J36" s="42">
        <f t="shared" si="1"/>
      </c>
      <c r="K36" s="23">
        <f t="shared" si="2"/>
      </c>
      <c r="L36" s="457"/>
      <c r="M36" s="459">
        <f t="shared" si="3"/>
      </c>
      <c r="N36" s="507">
        <f t="shared" si="4"/>
        <v>40</v>
      </c>
      <c r="O36" s="508" t="str">
        <f t="shared" si="5"/>
        <v>--</v>
      </c>
      <c r="P36" s="509" t="str">
        <f t="shared" si="6"/>
        <v>--</v>
      </c>
      <c r="Q36" s="510" t="str">
        <f t="shared" si="7"/>
        <v>--</v>
      </c>
      <c r="R36" s="511" t="str">
        <f t="shared" si="8"/>
        <v>--</v>
      </c>
      <c r="S36" s="459">
        <f t="shared" si="9"/>
      </c>
      <c r="T36" s="44">
        <f t="shared" si="10"/>
      </c>
      <c r="U36" s="95"/>
    </row>
    <row r="37" spans="2:21" s="15" customFormat="1" ht="16.5" customHeight="1">
      <c r="B37" s="91"/>
      <c r="C37" s="450"/>
      <c r="D37" s="501"/>
      <c r="E37" s="501"/>
      <c r="F37" s="502"/>
      <c r="G37" s="279">
        <f t="shared" si="0"/>
        <v>14.279</v>
      </c>
      <c r="H37" s="504"/>
      <c r="I37" s="505"/>
      <c r="J37" s="42">
        <f t="shared" si="1"/>
      </c>
      <c r="K37" s="23">
        <f t="shared" si="2"/>
      </c>
      <c r="L37" s="457"/>
      <c r="M37" s="459">
        <f t="shared" si="3"/>
      </c>
      <c r="N37" s="507">
        <f t="shared" si="4"/>
        <v>40</v>
      </c>
      <c r="O37" s="508" t="str">
        <f t="shared" si="5"/>
        <v>--</v>
      </c>
      <c r="P37" s="509" t="str">
        <f t="shared" si="6"/>
        <v>--</v>
      </c>
      <c r="Q37" s="510" t="str">
        <f t="shared" si="7"/>
        <v>--</v>
      </c>
      <c r="R37" s="511" t="str">
        <f t="shared" si="8"/>
        <v>--</v>
      </c>
      <c r="S37" s="459">
        <f t="shared" si="9"/>
      </c>
      <c r="T37" s="44">
        <f t="shared" si="10"/>
      </c>
      <c r="U37" s="95"/>
    </row>
    <row r="38" spans="2:21" s="15" customFormat="1" ht="16.5" customHeight="1">
      <c r="B38" s="91"/>
      <c r="C38" s="450"/>
      <c r="D38" s="501"/>
      <c r="E38" s="501"/>
      <c r="F38" s="502"/>
      <c r="G38" s="279">
        <f t="shared" si="0"/>
        <v>14.279</v>
      </c>
      <c r="H38" s="504"/>
      <c r="I38" s="505"/>
      <c r="J38" s="42">
        <f t="shared" si="1"/>
      </c>
      <c r="K38" s="23">
        <f t="shared" si="2"/>
      </c>
      <c r="L38" s="457"/>
      <c r="M38" s="459">
        <f t="shared" si="3"/>
      </c>
      <c r="N38" s="507">
        <f t="shared" si="4"/>
        <v>40</v>
      </c>
      <c r="O38" s="508" t="str">
        <f t="shared" si="5"/>
        <v>--</v>
      </c>
      <c r="P38" s="509" t="str">
        <f t="shared" si="6"/>
        <v>--</v>
      </c>
      <c r="Q38" s="510" t="str">
        <f t="shared" si="7"/>
        <v>--</v>
      </c>
      <c r="R38" s="511" t="str">
        <f t="shared" si="8"/>
        <v>--</v>
      </c>
      <c r="S38" s="459">
        <f t="shared" si="9"/>
      </c>
      <c r="T38" s="44">
        <f t="shared" si="10"/>
      </c>
      <c r="U38" s="95"/>
    </row>
    <row r="39" spans="2:21" s="15" customFormat="1" ht="16.5" customHeight="1">
      <c r="B39" s="91"/>
      <c r="C39" s="450"/>
      <c r="D39" s="501"/>
      <c r="E39" s="501"/>
      <c r="F39" s="502"/>
      <c r="G39" s="279">
        <f t="shared" si="0"/>
        <v>14.279</v>
      </c>
      <c r="H39" s="504"/>
      <c r="I39" s="505"/>
      <c r="J39" s="42">
        <f t="shared" si="1"/>
      </c>
      <c r="K39" s="23">
        <f t="shared" si="2"/>
      </c>
      <c r="L39" s="457"/>
      <c r="M39" s="459">
        <f t="shared" si="3"/>
      </c>
      <c r="N39" s="507">
        <f t="shared" si="4"/>
        <v>40</v>
      </c>
      <c r="O39" s="508" t="str">
        <f t="shared" si="5"/>
        <v>--</v>
      </c>
      <c r="P39" s="509" t="str">
        <f t="shared" si="6"/>
        <v>--</v>
      </c>
      <c r="Q39" s="510" t="str">
        <f t="shared" si="7"/>
        <v>--</v>
      </c>
      <c r="R39" s="511" t="str">
        <f t="shared" si="8"/>
        <v>--</v>
      </c>
      <c r="S39" s="459">
        <f t="shared" si="9"/>
      </c>
      <c r="T39" s="44">
        <f t="shared" si="10"/>
      </c>
      <c r="U39" s="95"/>
    </row>
    <row r="40" spans="2:21" s="15" customFormat="1" ht="16.5" customHeight="1">
      <c r="B40" s="91"/>
      <c r="C40" s="450"/>
      <c r="D40" s="501"/>
      <c r="E40" s="501"/>
      <c r="F40" s="502"/>
      <c r="G40" s="279">
        <f t="shared" si="0"/>
        <v>14.279</v>
      </c>
      <c r="H40" s="504"/>
      <c r="I40" s="505"/>
      <c r="J40" s="42">
        <f t="shared" si="1"/>
      </c>
      <c r="K40" s="23">
        <f t="shared" si="2"/>
      </c>
      <c r="L40" s="457"/>
      <c r="M40" s="459">
        <f t="shared" si="3"/>
      </c>
      <c r="N40" s="507">
        <f t="shared" si="4"/>
        <v>40</v>
      </c>
      <c r="O40" s="508" t="str">
        <f t="shared" si="5"/>
        <v>--</v>
      </c>
      <c r="P40" s="509" t="str">
        <f t="shared" si="6"/>
        <v>--</v>
      </c>
      <c r="Q40" s="510" t="str">
        <f t="shared" si="7"/>
        <v>--</v>
      </c>
      <c r="R40" s="511" t="str">
        <f t="shared" si="8"/>
        <v>--</v>
      </c>
      <c r="S40" s="459">
        <f t="shared" si="9"/>
      </c>
      <c r="T40" s="44">
        <f t="shared" si="10"/>
      </c>
      <c r="U40" s="95"/>
    </row>
    <row r="41" spans="2:21" s="15" customFormat="1" ht="16.5" customHeight="1">
      <c r="B41" s="91"/>
      <c r="C41" s="450"/>
      <c r="D41" s="501"/>
      <c r="E41" s="501"/>
      <c r="F41" s="502"/>
      <c r="G41" s="279">
        <f t="shared" si="0"/>
        <v>14.279</v>
      </c>
      <c r="H41" s="504"/>
      <c r="I41" s="505"/>
      <c r="J41" s="42">
        <f t="shared" si="1"/>
      </c>
      <c r="K41" s="23">
        <f t="shared" si="2"/>
      </c>
      <c r="L41" s="457"/>
      <c r="M41" s="459">
        <f t="shared" si="3"/>
      </c>
      <c r="N41" s="507">
        <f t="shared" si="4"/>
        <v>40</v>
      </c>
      <c r="O41" s="508" t="str">
        <f t="shared" si="5"/>
        <v>--</v>
      </c>
      <c r="P41" s="509" t="str">
        <f t="shared" si="6"/>
        <v>--</v>
      </c>
      <c r="Q41" s="510" t="str">
        <f t="shared" si="7"/>
        <v>--</v>
      </c>
      <c r="R41" s="511" t="str">
        <f t="shared" si="8"/>
        <v>--</v>
      </c>
      <c r="S41" s="459">
        <f t="shared" si="9"/>
      </c>
      <c r="T41" s="44">
        <f t="shared" si="10"/>
      </c>
      <c r="U41" s="95"/>
    </row>
    <row r="42" spans="2:21" s="15" customFormat="1" ht="16.5" customHeight="1" thickBot="1">
      <c r="B42" s="91"/>
      <c r="C42" s="452"/>
      <c r="D42" s="503"/>
      <c r="E42" s="503"/>
      <c r="F42" s="453"/>
      <c r="G42" s="280"/>
      <c r="H42" s="506"/>
      <c r="I42" s="506"/>
      <c r="J42" s="45"/>
      <c r="K42" s="45"/>
      <c r="L42" s="506"/>
      <c r="M42" s="456"/>
      <c r="N42" s="512"/>
      <c r="O42" s="513"/>
      <c r="P42" s="514"/>
      <c r="Q42" s="515"/>
      <c r="R42" s="516"/>
      <c r="S42" s="456"/>
      <c r="T42" s="191"/>
      <c r="U42" s="95"/>
    </row>
    <row r="43" spans="2:21" s="15" customFormat="1" ht="16.5" customHeight="1" thickBot="1" thickTop="1">
      <c r="B43" s="91"/>
      <c r="C43" s="222" t="s">
        <v>47</v>
      </c>
      <c r="D43" s="223" t="s">
        <v>97</v>
      </c>
      <c r="E43"/>
      <c r="F43" s="13"/>
      <c r="G43" s="13"/>
      <c r="H43" s="13"/>
      <c r="I43" s="13"/>
      <c r="J43" s="13"/>
      <c r="K43" s="13"/>
      <c r="L43" s="13"/>
      <c r="M43" s="13"/>
      <c r="N43" s="13"/>
      <c r="O43" s="329">
        <f>SUM(O20:O42)</f>
        <v>3189.9285999999997</v>
      </c>
      <c r="P43" s="336">
        <f>SUM(P20:P42)</f>
        <v>0</v>
      </c>
      <c r="Q43" s="337">
        <f>SUM(Q20:Q42)</f>
        <v>0</v>
      </c>
      <c r="R43" s="339">
        <f>SUM(R20:R42)</f>
        <v>0</v>
      </c>
      <c r="S43" s="46"/>
      <c r="T43" s="58">
        <f>ROUND(SUM(T20:T42),2)</f>
        <v>3189.93</v>
      </c>
      <c r="U43" s="95"/>
    </row>
    <row r="44" spans="2:21" s="227" customFormat="1" ht="13.5" thickTop="1">
      <c r="B44" s="228"/>
      <c r="C44" s="224"/>
      <c r="D44" s="226"/>
      <c r="E44"/>
      <c r="F44" s="238"/>
      <c r="G44" s="238"/>
      <c r="H44" s="238"/>
      <c r="I44" s="238"/>
      <c r="J44" s="238"/>
      <c r="K44" s="238"/>
      <c r="L44" s="238"/>
      <c r="M44" s="238"/>
      <c r="N44" s="238"/>
      <c r="O44" s="236"/>
      <c r="P44" s="236"/>
      <c r="Q44" s="236"/>
      <c r="R44" s="236"/>
      <c r="S44" s="236"/>
      <c r="T44" s="239"/>
      <c r="U44" s="240"/>
    </row>
    <row r="45" spans="2:21" s="15" customFormat="1" ht="16.5" customHeight="1" thickBot="1"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8"/>
    </row>
    <row r="46" spans="21:23" ht="16.5" customHeight="1" thickTop="1">
      <c r="U46" s="4"/>
      <c r="V46" s="4"/>
      <c r="W46" s="4"/>
    </row>
    <row r="47" spans="21:23" ht="16.5" customHeight="1">
      <c r="U47" s="4"/>
      <c r="V47" s="4"/>
      <c r="W47" s="4"/>
    </row>
    <row r="48" spans="21:23" ht="16.5" customHeight="1">
      <c r="U48" s="4"/>
      <c r="V48" s="4"/>
      <c r="W48" s="4"/>
    </row>
    <row r="49" spans="21:23" ht="16.5" customHeight="1">
      <c r="U49" s="4"/>
      <c r="V49" s="4"/>
      <c r="W49" s="4"/>
    </row>
    <row r="50" spans="21:23" ht="16.5" customHeight="1">
      <c r="U50" s="4"/>
      <c r="V50" s="4"/>
      <c r="W50" s="4"/>
    </row>
    <row r="51" spans="4:23" ht="16.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4:23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4:23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4:23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4:23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4:23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4:23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4:23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4:23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4:23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4:23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4:23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4:23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4:23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4:23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4:23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4:23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4:23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4:23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4:23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4:23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4:23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4:23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4:23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4:23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4:23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4:23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4:23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4:23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4:23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4:23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4:23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4:23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4:23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4:23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4:23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4:23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4:23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4:23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4:23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4:23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4:23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4:23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4:23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4:23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4:23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4:23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4:23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4:23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4:23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4:23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4:23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4:23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4:23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4:23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4:23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4:23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4:23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4:23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4:23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4:23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4:23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4:23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4:23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4:23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4:23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4:23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4:23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4:23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4:23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4:23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4:23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4:23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4:23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4:23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4:23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4:23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4:23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4:23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4:23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4:23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4:23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4:23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4:23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4:23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4:23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4:23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4:23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4:23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4:23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4:23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4:23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4:23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4:23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4:23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4:23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4:23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4:23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4:23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4:23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4:23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4:23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4:23" ht="16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4:23" ht="16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4:23" ht="16.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4:23" ht="16.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4:23" ht="16.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4:23" ht="16.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W157"/>
  <sheetViews>
    <sheetView zoomScale="75" zoomScaleNormal="75" workbookViewId="0" topLeftCell="A4">
      <selection activeCell="D43" sqref="D43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59" customFormat="1" ht="26.25">
      <c r="A1" s="109"/>
      <c r="U1" s="427"/>
    </row>
    <row r="2" spans="1:21" s="59" customFormat="1" ht="26.25">
      <c r="A2" s="109"/>
      <c r="B2" s="60" t="str">
        <f>'tot-0105'!B2</f>
        <v>ANEXO VI.2. al Memorandum  D.T.E.E. N°1046   /2009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="15" customFormat="1" ht="12.75">
      <c r="A3" s="35"/>
    </row>
    <row r="4" spans="1:2" s="66" customFormat="1" ht="11.25">
      <c r="A4" s="64" t="s">
        <v>14</v>
      </c>
      <c r="B4" s="132"/>
    </row>
    <row r="5" spans="1:2" s="66" customFormat="1" ht="11.25">
      <c r="A5" s="64" t="s">
        <v>15</v>
      </c>
      <c r="B5" s="132"/>
    </row>
    <row r="6" s="15" customFormat="1" ht="13.5" thickBot="1"/>
    <row r="7" spans="2:21" s="15" customFormat="1" ht="13.5" thickTop="1"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68"/>
    </row>
    <row r="8" spans="2:21" s="9" customFormat="1" ht="20.25">
      <c r="B8" s="119"/>
      <c r="C8" s="10"/>
      <c r="D8" s="38" t="s">
        <v>28</v>
      </c>
      <c r="L8" s="145"/>
      <c r="M8" s="145"/>
      <c r="N8" s="27"/>
      <c r="O8" s="10"/>
      <c r="P8" s="10"/>
      <c r="Q8" s="10"/>
      <c r="R8" s="10"/>
      <c r="S8" s="10"/>
      <c r="T8" s="10"/>
      <c r="U8" s="177"/>
    </row>
    <row r="9" spans="2:21" s="15" customFormat="1" ht="12.75">
      <c r="B9" s="91"/>
      <c r="C9" s="1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3"/>
      <c r="P9" s="13"/>
      <c r="Q9" s="13"/>
      <c r="R9" s="13"/>
      <c r="S9" s="13"/>
      <c r="T9" s="13"/>
      <c r="U9" s="95"/>
    </row>
    <row r="10" spans="2:21" s="9" customFormat="1" ht="20.25">
      <c r="B10" s="119"/>
      <c r="C10" s="10"/>
      <c r="D10" s="149" t="s">
        <v>65</v>
      </c>
      <c r="E10" s="28"/>
      <c r="F10" s="145"/>
      <c r="G10" s="178"/>
      <c r="I10" s="178"/>
      <c r="J10" s="178"/>
      <c r="K10" s="178"/>
      <c r="L10" s="178"/>
      <c r="M10" s="178"/>
      <c r="N10" s="178"/>
      <c r="O10" s="10"/>
      <c r="P10" s="10"/>
      <c r="Q10" s="10"/>
      <c r="R10" s="10"/>
      <c r="S10" s="10"/>
      <c r="T10" s="10"/>
      <c r="U10" s="177"/>
    </row>
    <row r="11" spans="2:21" s="15" customFormat="1" ht="13.5">
      <c r="B11" s="91"/>
      <c r="C11" s="13"/>
      <c r="D11" s="176"/>
      <c r="E11" s="176"/>
      <c r="F11" s="35"/>
      <c r="G11" s="169"/>
      <c r="H11" s="93"/>
      <c r="I11" s="169"/>
      <c r="J11" s="169"/>
      <c r="K11" s="169"/>
      <c r="L11" s="169"/>
      <c r="M11" s="169"/>
      <c r="N11" s="169"/>
      <c r="O11" s="13"/>
      <c r="P11" s="13"/>
      <c r="Q11" s="13"/>
      <c r="R11" s="13"/>
      <c r="S11" s="13"/>
      <c r="T11" s="13"/>
      <c r="U11" s="95"/>
    </row>
    <row r="12" spans="2:21" s="9" customFormat="1" ht="20.25">
      <c r="B12" s="119"/>
      <c r="C12" s="10"/>
      <c r="D12" s="149" t="s">
        <v>92</v>
      </c>
      <c r="E12" s="28"/>
      <c r="F12" s="145"/>
      <c r="G12" s="178"/>
      <c r="I12" s="178"/>
      <c r="J12" s="178"/>
      <c r="K12" s="178"/>
      <c r="L12" s="178"/>
      <c r="M12" s="178"/>
      <c r="N12" s="178"/>
      <c r="O12" s="10"/>
      <c r="P12" s="10"/>
      <c r="Q12" s="10"/>
      <c r="R12" s="10"/>
      <c r="S12" s="10"/>
      <c r="T12" s="10"/>
      <c r="U12" s="177"/>
    </row>
    <row r="13" spans="2:21" s="15" customFormat="1" ht="13.5">
      <c r="B13" s="91"/>
      <c r="C13" s="13"/>
      <c r="D13" s="176"/>
      <c r="E13" s="176"/>
      <c r="F13" s="35"/>
      <c r="G13" s="169"/>
      <c r="H13" s="93"/>
      <c r="I13" s="169"/>
      <c r="J13" s="169"/>
      <c r="K13" s="169"/>
      <c r="L13" s="169"/>
      <c r="M13" s="169"/>
      <c r="N13" s="169"/>
      <c r="O13" s="13"/>
      <c r="P13" s="13"/>
      <c r="Q13" s="13"/>
      <c r="R13" s="13"/>
      <c r="S13" s="13"/>
      <c r="T13" s="13"/>
      <c r="U13" s="95"/>
    </row>
    <row r="14" spans="2:21" s="15" customFormat="1" ht="19.5">
      <c r="B14" s="79" t="str">
        <f>'tot-0105'!B14</f>
        <v>Desde el 01 al 31 de mayo de 2007</v>
      </c>
      <c r="C14" s="82"/>
      <c r="D14" s="82"/>
      <c r="E14" s="82"/>
      <c r="F14" s="82"/>
      <c r="G14" s="179"/>
      <c r="H14" s="179"/>
      <c r="I14" s="179"/>
      <c r="J14" s="179"/>
      <c r="K14" s="179"/>
      <c r="L14" s="179"/>
      <c r="M14" s="179"/>
      <c r="N14" s="179"/>
      <c r="O14" s="82"/>
      <c r="P14" s="82"/>
      <c r="Q14" s="82"/>
      <c r="R14" s="82"/>
      <c r="S14" s="82"/>
      <c r="T14" s="82"/>
      <c r="U14" s="180"/>
    </row>
    <row r="15" spans="2:21" s="15" customFormat="1" ht="14.25" thickBot="1">
      <c r="B15" s="181"/>
      <c r="C15" s="182"/>
      <c r="D15" s="182"/>
      <c r="E15" s="182"/>
      <c r="F15" s="182"/>
      <c r="G15" s="183"/>
      <c r="H15" s="183"/>
      <c r="I15" s="183"/>
      <c r="J15" s="183"/>
      <c r="K15" s="183"/>
      <c r="L15" s="183"/>
      <c r="M15" s="183"/>
      <c r="N15" s="183"/>
      <c r="O15" s="182"/>
      <c r="P15" s="182"/>
      <c r="Q15" s="182"/>
      <c r="R15" s="182"/>
      <c r="S15" s="182"/>
      <c r="T15" s="182"/>
      <c r="U15" s="184"/>
    </row>
    <row r="16" spans="2:21" s="15" customFormat="1" ht="15" thickBot="1" thickTop="1">
      <c r="B16" s="91"/>
      <c r="C16" s="13"/>
      <c r="D16" s="185"/>
      <c r="E16" s="185"/>
      <c r="F16" s="186" t="s">
        <v>66</v>
      </c>
      <c r="G16" s="13"/>
      <c r="H16" s="9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95"/>
    </row>
    <row r="17" spans="2:21" s="15" customFormat="1" ht="16.5" customHeight="1" thickBot="1" thickTop="1">
      <c r="B17" s="91"/>
      <c r="C17" s="13"/>
      <c r="D17" s="431" t="s">
        <v>67</v>
      </c>
      <c r="E17" s="432">
        <v>30.733</v>
      </c>
      <c r="F17" s="433">
        <v>200</v>
      </c>
      <c r="T17" s="115"/>
      <c r="U17" s="95"/>
    </row>
    <row r="18" spans="2:21" s="15" customFormat="1" ht="16.5" customHeight="1" thickBot="1" thickTop="1">
      <c r="B18" s="91"/>
      <c r="C18" s="13"/>
      <c r="D18" s="434" t="s">
        <v>68</v>
      </c>
      <c r="E18" s="435">
        <v>27.658</v>
      </c>
      <c r="F18" s="433">
        <v>100</v>
      </c>
      <c r="M18" s="13"/>
      <c r="N18" s="13"/>
      <c r="O18" s="13"/>
      <c r="P18" s="13"/>
      <c r="Q18" s="13"/>
      <c r="R18" s="13"/>
      <c r="S18" s="13"/>
      <c r="T18" s="13"/>
      <c r="U18" s="95"/>
    </row>
    <row r="19" spans="2:21" s="15" customFormat="1" ht="16.5" customHeight="1" thickBot="1" thickTop="1">
      <c r="B19" s="91"/>
      <c r="C19" s="13"/>
      <c r="D19" s="436" t="s">
        <v>69</v>
      </c>
      <c r="E19" s="435">
        <v>24.587</v>
      </c>
      <c r="F19" s="433">
        <v>40</v>
      </c>
      <c r="I19" s="429"/>
      <c r="J19" s="430"/>
      <c r="K19" s="13"/>
      <c r="M19" s="13"/>
      <c r="O19" s="13"/>
      <c r="P19" s="13"/>
      <c r="Q19" s="13"/>
      <c r="R19" s="13"/>
      <c r="S19" s="13"/>
      <c r="T19" s="13"/>
      <c r="U19" s="95"/>
    </row>
    <row r="20" spans="2:21" s="15" customFormat="1" ht="16.5" customHeight="1" thickBot="1" thickTop="1">
      <c r="B20" s="91"/>
      <c r="C20" s="20"/>
      <c r="D20" s="50"/>
      <c r="E20" s="50"/>
      <c r="F20" s="170"/>
      <c r="G20" s="171"/>
      <c r="H20" s="171"/>
      <c r="I20" s="171"/>
      <c r="J20" s="171"/>
      <c r="K20" s="171"/>
      <c r="L20" s="171"/>
      <c r="M20" s="171"/>
      <c r="N20" s="43"/>
      <c r="O20" s="172"/>
      <c r="P20" s="173"/>
      <c r="Q20" s="173"/>
      <c r="R20" s="173"/>
      <c r="S20" s="174"/>
      <c r="T20" s="175"/>
      <c r="U20" s="95"/>
    </row>
    <row r="21" spans="2:21" s="15" customFormat="1" ht="33.75" customHeight="1" thickBot="1" thickTop="1">
      <c r="B21" s="91"/>
      <c r="C21" s="123" t="s">
        <v>29</v>
      </c>
      <c r="D21" s="130" t="s">
        <v>59</v>
      </c>
      <c r="E21" s="127" t="s">
        <v>10</v>
      </c>
      <c r="F21" s="188" t="s">
        <v>30</v>
      </c>
      <c r="G21" s="278" t="s">
        <v>33</v>
      </c>
      <c r="H21" s="125" t="s">
        <v>34</v>
      </c>
      <c r="I21" s="127" t="s">
        <v>35</v>
      </c>
      <c r="J21" s="189" t="s">
        <v>36</v>
      </c>
      <c r="K21" s="189" t="s">
        <v>37</v>
      </c>
      <c r="L21" s="129" t="s">
        <v>38</v>
      </c>
      <c r="M21" s="126" t="s">
        <v>40</v>
      </c>
      <c r="N21" s="325" t="s">
        <v>32</v>
      </c>
      <c r="O21" s="319" t="s">
        <v>51</v>
      </c>
      <c r="P21" s="330" t="s">
        <v>70</v>
      </c>
      <c r="Q21" s="331"/>
      <c r="R21" s="340" t="s">
        <v>43</v>
      </c>
      <c r="S21" s="131" t="s">
        <v>45</v>
      </c>
      <c r="T21" s="163" t="s">
        <v>46</v>
      </c>
      <c r="U21" s="95"/>
    </row>
    <row r="22" spans="2:21" s="15" customFormat="1" ht="16.5" customHeight="1" thickTop="1">
      <c r="B22" s="91"/>
      <c r="C22" s="19"/>
      <c r="D22" s="40"/>
      <c r="E22" s="40"/>
      <c r="F22" s="40"/>
      <c r="G22" s="286"/>
      <c r="H22" s="40"/>
      <c r="I22" s="40"/>
      <c r="J22" s="40"/>
      <c r="K22" s="40"/>
      <c r="L22" s="40"/>
      <c r="M22" s="40"/>
      <c r="N22" s="326"/>
      <c r="O22" s="328"/>
      <c r="P22" s="332"/>
      <c r="Q22" s="333"/>
      <c r="R22" s="341"/>
      <c r="S22" s="40"/>
      <c r="T22" s="426"/>
      <c r="U22" s="95"/>
    </row>
    <row r="23" spans="2:21" s="15" customFormat="1" ht="16.5" customHeight="1">
      <c r="B23" s="91"/>
      <c r="C23" s="19"/>
      <c r="D23" s="41"/>
      <c r="E23" s="41"/>
      <c r="F23" s="41"/>
      <c r="G23" s="287"/>
      <c r="H23" s="41"/>
      <c r="I23" s="41"/>
      <c r="J23" s="41"/>
      <c r="K23" s="41"/>
      <c r="L23" s="41"/>
      <c r="M23" s="41"/>
      <c r="N23" s="324"/>
      <c r="O23" s="327"/>
      <c r="P23" s="334"/>
      <c r="Q23" s="335"/>
      <c r="R23" s="338"/>
      <c r="S23" s="41"/>
      <c r="T23" s="190"/>
      <c r="U23" s="95"/>
    </row>
    <row r="24" spans="2:21" s="15" customFormat="1" ht="16.5" customHeight="1">
      <c r="B24" s="91"/>
      <c r="C24" s="450">
        <v>70</v>
      </c>
      <c r="D24" s="536" t="s">
        <v>91</v>
      </c>
      <c r="E24" s="536" t="s">
        <v>95</v>
      </c>
      <c r="F24" s="536">
        <v>500</v>
      </c>
      <c r="G24" s="279">
        <f aca="true" t="shared" si="0" ref="G24:G40">IF(F24=500,$E$17,IF(F24=220,$E$18,$E$19))</f>
        <v>30.733</v>
      </c>
      <c r="H24" s="504">
        <v>39205.32152777778</v>
      </c>
      <c r="I24" s="505">
        <v>39205.69652777778</v>
      </c>
      <c r="J24" s="42">
        <v>0.4583333333333333</v>
      </c>
      <c r="K24" s="23">
        <f aca="true" t="shared" si="1" ref="K24:K40">IF(D24="","",ROUND((I24-H24)*24*60,0))</f>
        <v>540</v>
      </c>
      <c r="L24" s="457" t="s">
        <v>88</v>
      </c>
      <c r="M24" s="459" t="str">
        <f aca="true" t="shared" si="2" ref="M24:M40">IF(D24="","",IF(L24="P","--","NO"))</f>
        <v>--</v>
      </c>
      <c r="N24" s="507">
        <f aca="true" t="shared" si="3" ref="N24:N40">IF(F24=500,$F$17,IF(F24=220,$F$18,$F$19))</f>
        <v>200</v>
      </c>
      <c r="O24" s="508">
        <f aca="true" t="shared" si="4" ref="O24:O40">IF(L24="P",G24*N24*ROUND(K24/60,2)*0.1,"--")</f>
        <v>5531.9400000000005</v>
      </c>
      <c r="P24" s="509" t="str">
        <f aca="true" t="shared" si="5" ref="P24:P40">IF(AND(L24="F",M24="NO"),G24*N24,"--")</f>
        <v>--</v>
      </c>
      <c r="Q24" s="510" t="str">
        <f aca="true" t="shared" si="6" ref="Q24:Q40">IF(L24="F",G24*N24*ROUND(K24/60,2),"--")</f>
        <v>--</v>
      </c>
      <c r="R24" s="511" t="str">
        <f aca="true" t="shared" si="7" ref="R24:R40">IF(L24="RF",G24*N24*ROUND(K24/60,2),"--")</f>
        <v>--</v>
      </c>
      <c r="S24" s="459" t="str">
        <f aca="true" t="shared" si="8" ref="S24:S40">IF(D24="","","SI")</f>
        <v>SI</v>
      </c>
      <c r="T24" s="44">
        <f aca="true" t="shared" si="9" ref="T24:T40">IF(D24="","",SUM(O24:R24)*IF(S24="SI",1,2))</f>
        <v>5531.9400000000005</v>
      </c>
      <c r="U24" s="95"/>
    </row>
    <row r="25" spans="2:21" s="15" customFormat="1" ht="16.5" customHeight="1">
      <c r="B25" s="91"/>
      <c r="C25" s="450"/>
      <c r="D25" s="501"/>
      <c r="E25" s="501"/>
      <c r="F25" s="502"/>
      <c r="G25" s="279">
        <f t="shared" si="0"/>
        <v>24.587</v>
      </c>
      <c r="H25" s="504"/>
      <c r="I25" s="505"/>
      <c r="J25" s="42">
        <f aca="true" t="shared" si="10" ref="J25:J40">IF(D25="","",(I25-H25)*24)</f>
      </c>
      <c r="K25" s="23">
        <f t="shared" si="1"/>
      </c>
      <c r="L25" s="457"/>
      <c r="M25" s="459">
        <f t="shared" si="2"/>
      </c>
      <c r="N25" s="507">
        <f t="shared" si="3"/>
        <v>40</v>
      </c>
      <c r="O25" s="508" t="str">
        <f t="shared" si="4"/>
        <v>--</v>
      </c>
      <c r="P25" s="509" t="str">
        <f t="shared" si="5"/>
        <v>--</v>
      </c>
      <c r="Q25" s="510" t="str">
        <f t="shared" si="6"/>
        <v>--</v>
      </c>
      <c r="R25" s="511" t="str">
        <f t="shared" si="7"/>
        <v>--</v>
      </c>
      <c r="S25" s="459">
        <f t="shared" si="8"/>
      </c>
      <c r="T25" s="44">
        <f t="shared" si="9"/>
      </c>
      <c r="U25" s="95"/>
    </row>
    <row r="26" spans="2:21" s="15" customFormat="1" ht="16.5" customHeight="1">
      <c r="B26" s="91"/>
      <c r="C26" s="450"/>
      <c r="D26" s="501"/>
      <c r="E26" s="501"/>
      <c r="F26" s="502"/>
      <c r="G26" s="279">
        <f t="shared" si="0"/>
        <v>24.587</v>
      </c>
      <c r="H26" s="504"/>
      <c r="I26" s="505"/>
      <c r="J26" s="42">
        <f t="shared" si="10"/>
      </c>
      <c r="K26" s="23">
        <f t="shared" si="1"/>
      </c>
      <c r="L26" s="457"/>
      <c r="M26" s="459">
        <f t="shared" si="2"/>
      </c>
      <c r="N26" s="507">
        <f t="shared" si="3"/>
        <v>40</v>
      </c>
      <c r="O26" s="508" t="str">
        <f t="shared" si="4"/>
        <v>--</v>
      </c>
      <c r="P26" s="509" t="str">
        <f t="shared" si="5"/>
        <v>--</v>
      </c>
      <c r="Q26" s="510" t="str">
        <f t="shared" si="6"/>
        <v>--</v>
      </c>
      <c r="R26" s="511" t="str">
        <f t="shared" si="7"/>
        <v>--</v>
      </c>
      <c r="S26" s="459">
        <f t="shared" si="8"/>
      </c>
      <c r="T26" s="44">
        <f t="shared" si="9"/>
      </c>
      <c r="U26" s="95"/>
    </row>
    <row r="27" spans="2:21" s="15" customFormat="1" ht="16.5" customHeight="1">
      <c r="B27" s="91"/>
      <c r="C27" s="450"/>
      <c r="D27" s="501"/>
      <c r="E27" s="501"/>
      <c r="F27" s="502"/>
      <c r="G27" s="279">
        <f t="shared" si="0"/>
        <v>24.587</v>
      </c>
      <c r="H27" s="504"/>
      <c r="I27" s="505"/>
      <c r="J27" s="42">
        <f t="shared" si="10"/>
      </c>
      <c r="K27" s="23">
        <f t="shared" si="1"/>
      </c>
      <c r="L27" s="457"/>
      <c r="M27" s="459">
        <f t="shared" si="2"/>
      </c>
      <c r="N27" s="507">
        <f t="shared" si="3"/>
        <v>40</v>
      </c>
      <c r="O27" s="508" t="str">
        <f t="shared" si="4"/>
        <v>--</v>
      </c>
      <c r="P27" s="509" t="str">
        <f t="shared" si="5"/>
        <v>--</v>
      </c>
      <c r="Q27" s="510" t="str">
        <f t="shared" si="6"/>
        <v>--</v>
      </c>
      <c r="R27" s="511" t="str">
        <f t="shared" si="7"/>
        <v>--</v>
      </c>
      <c r="S27" s="459">
        <f t="shared" si="8"/>
      </c>
      <c r="T27" s="44">
        <f t="shared" si="9"/>
      </c>
      <c r="U27" s="95"/>
    </row>
    <row r="28" spans="2:21" s="15" customFormat="1" ht="16.5" customHeight="1">
      <c r="B28" s="91"/>
      <c r="C28" s="450"/>
      <c r="D28" s="501"/>
      <c r="E28" s="501"/>
      <c r="F28" s="502"/>
      <c r="G28" s="279">
        <f t="shared" si="0"/>
        <v>24.587</v>
      </c>
      <c r="H28" s="504"/>
      <c r="I28" s="505"/>
      <c r="J28" s="42">
        <f t="shared" si="10"/>
      </c>
      <c r="K28" s="23">
        <f t="shared" si="1"/>
      </c>
      <c r="L28" s="457"/>
      <c r="M28" s="459">
        <f t="shared" si="2"/>
      </c>
      <c r="N28" s="507">
        <f t="shared" si="3"/>
        <v>40</v>
      </c>
      <c r="O28" s="508" t="str">
        <f t="shared" si="4"/>
        <v>--</v>
      </c>
      <c r="P28" s="509" t="str">
        <f t="shared" si="5"/>
        <v>--</v>
      </c>
      <c r="Q28" s="510" t="str">
        <f t="shared" si="6"/>
        <v>--</v>
      </c>
      <c r="R28" s="511" t="str">
        <f t="shared" si="7"/>
        <v>--</v>
      </c>
      <c r="S28" s="459">
        <f t="shared" si="8"/>
      </c>
      <c r="T28" s="44">
        <f t="shared" si="9"/>
      </c>
      <c r="U28" s="95"/>
    </row>
    <row r="29" spans="2:21" s="15" customFormat="1" ht="16.5" customHeight="1">
      <c r="B29" s="91"/>
      <c r="C29" s="450"/>
      <c r="D29" s="501"/>
      <c r="E29" s="501"/>
      <c r="F29" s="502"/>
      <c r="G29" s="279">
        <f t="shared" si="0"/>
        <v>24.587</v>
      </c>
      <c r="H29" s="504"/>
      <c r="I29" s="505"/>
      <c r="J29" s="42">
        <f t="shared" si="10"/>
      </c>
      <c r="K29" s="23">
        <f t="shared" si="1"/>
      </c>
      <c r="L29" s="457"/>
      <c r="M29" s="459">
        <f t="shared" si="2"/>
      </c>
      <c r="N29" s="507">
        <f t="shared" si="3"/>
        <v>40</v>
      </c>
      <c r="O29" s="508" t="str">
        <f t="shared" si="4"/>
        <v>--</v>
      </c>
      <c r="P29" s="509" t="str">
        <f t="shared" si="5"/>
        <v>--</v>
      </c>
      <c r="Q29" s="510" t="str">
        <f t="shared" si="6"/>
        <v>--</v>
      </c>
      <c r="R29" s="511" t="str">
        <f t="shared" si="7"/>
        <v>--</v>
      </c>
      <c r="S29" s="459">
        <f t="shared" si="8"/>
      </c>
      <c r="T29" s="44">
        <f t="shared" si="9"/>
      </c>
      <c r="U29" s="95"/>
    </row>
    <row r="30" spans="2:21" s="15" customFormat="1" ht="16.5" customHeight="1">
      <c r="B30" s="91"/>
      <c r="C30" s="450"/>
      <c r="D30" s="501"/>
      <c r="E30" s="501"/>
      <c r="F30" s="502"/>
      <c r="G30" s="279">
        <f t="shared" si="0"/>
        <v>24.587</v>
      </c>
      <c r="H30" s="504"/>
      <c r="I30" s="505"/>
      <c r="J30" s="42">
        <f t="shared" si="10"/>
      </c>
      <c r="K30" s="23">
        <f t="shared" si="1"/>
      </c>
      <c r="L30" s="457"/>
      <c r="M30" s="459">
        <f t="shared" si="2"/>
      </c>
      <c r="N30" s="507">
        <f t="shared" si="3"/>
        <v>40</v>
      </c>
      <c r="O30" s="508" t="str">
        <f t="shared" si="4"/>
        <v>--</v>
      </c>
      <c r="P30" s="509" t="str">
        <f t="shared" si="5"/>
        <v>--</v>
      </c>
      <c r="Q30" s="510" t="str">
        <f t="shared" si="6"/>
        <v>--</v>
      </c>
      <c r="R30" s="511" t="str">
        <f t="shared" si="7"/>
        <v>--</v>
      </c>
      <c r="S30" s="459">
        <f t="shared" si="8"/>
      </c>
      <c r="T30" s="44">
        <f t="shared" si="9"/>
      </c>
      <c r="U30" s="95"/>
    </row>
    <row r="31" spans="2:21" s="15" customFormat="1" ht="16.5" customHeight="1">
      <c r="B31" s="91"/>
      <c r="C31" s="450"/>
      <c r="D31" s="501"/>
      <c r="E31" s="501"/>
      <c r="F31" s="502"/>
      <c r="G31" s="279">
        <f t="shared" si="0"/>
        <v>24.587</v>
      </c>
      <c r="H31" s="504"/>
      <c r="I31" s="505"/>
      <c r="J31" s="42">
        <f t="shared" si="10"/>
      </c>
      <c r="K31" s="23">
        <f t="shared" si="1"/>
      </c>
      <c r="L31" s="457"/>
      <c r="M31" s="459">
        <f t="shared" si="2"/>
      </c>
      <c r="N31" s="507">
        <f t="shared" si="3"/>
        <v>40</v>
      </c>
      <c r="O31" s="508" t="str">
        <f t="shared" si="4"/>
        <v>--</v>
      </c>
      <c r="P31" s="509" t="str">
        <f t="shared" si="5"/>
        <v>--</v>
      </c>
      <c r="Q31" s="510" t="str">
        <f t="shared" si="6"/>
        <v>--</v>
      </c>
      <c r="R31" s="511" t="str">
        <f t="shared" si="7"/>
        <v>--</v>
      </c>
      <c r="S31" s="459">
        <f t="shared" si="8"/>
      </c>
      <c r="T31" s="44">
        <f t="shared" si="9"/>
      </c>
      <c r="U31" s="95"/>
    </row>
    <row r="32" spans="2:21" s="15" customFormat="1" ht="16.5" customHeight="1">
      <c r="B32" s="91"/>
      <c r="C32" s="450"/>
      <c r="D32" s="501"/>
      <c r="E32" s="501"/>
      <c r="F32" s="502"/>
      <c r="G32" s="279">
        <f t="shared" si="0"/>
        <v>24.587</v>
      </c>
      <c r="H32" s="504"/>
      <c r="I32" s="505"/>
      <c r="J32" s="42">
        <f t="shared" si="10"/>
      </c>
      <c r="K32" s="23">
        <f t="shared" si="1"/>
      </c>
      <c r="L32" s="457"/>
      <c r="M32" s="459">
        <f t="shared" si="2"/>
      </c>
      <c r="N32" s="507">
        <f t="shared" si="3"/>
        <v>40</v>
      </c>
      <c r="O32" s="508" t="str">
        <f t="shared" si="4"/>
        <v>--</v>
      </c>
      <c r="P32" s="509" t="str">
        <f t="shared" si="5"/>
        <v>--</v>
      </c>
      <c r="Q32" s="510" t="str">
        <f t="shared" si="6"/>
        <v>--</v>
      </c>
      <c r="R32" s="511" t="str">
        <f t="shared" si="7"/>
        <v>--</v>
      </c>
      <c r="S32" s="459">
        <f t="shared" si="8"/>
      </c>
      <c r="T32" s="44">
        <f t="shared" si="9"/>
      </c>
      <c r="U32" s="95"/>
    </row>
    <row r="33" spans="2:21" s="15" customFormat="1" ht="16.5" customHeight="1">
      <c r="B33" s="91"/>
      <c r="C33" s="450"/>
      <c r="D33" s="501"/>
      <c r="E33" s="501"/>
      <c r="F33" s="502"/>
      <c r="G33" s="279">
        <f t="shared" si="0"/>
        <v>24.587</v>
      </c>
      <c r="H33" s="504"/>
      <c r="I33" s="505"/>
      <c r="J33" s="42">
        <f t="shared" si="10"/>
      </c>
      <c r="K33" s="23">
        <f t="shared" si="1"/>
      </c>
      <c r="L33" s="457"/>
      <c r="M33" s="459">
        <f t="shared" si="2"/>
      </c>
      <c r="N33" s="507">
        <f t="shared" si="3"/>
        <v>40</v>
      </c>
      <c r="O33" s="508" t="str">
        <f t="shared" si="4"/>
        <v>--</v>
      </c>
      <c r="P33" s="509" t="str">
        <f t="shared" si="5"/>
        <v>--</v>
      </c>
      <c r="Q33" s="510" t="str">
        <f t="shared" si="6"/>
        <v>--</v>
      </c>
      <c r="R33" s="511" t="str">
        <f t="shared" si="7"/>
        <v>--</v>
      </c>
      <c r="S33" s="459">
        <f t="shared" si="8"/>
      </c>
      <c r="T33" s="44">
        <f t="shared" si="9"/>
      </c>
      <c r="U33" s="95"/>
    </row>
    <row r="34" spans="2:21" s="15" customFormat="1" ht="16.5" customHeight="1">
      <c r="B34" s="91"/>
      <c r="C34" s="450"/>
      <c r="D34" s="501"/>
      <c r="E34" s="501"/>
      <c r="F34" s="502"/>
      <c r="G34" s="279">
        <f t="shared" si="0"/>
        <v>24.587</v>
      </c>
      <c r="H34" s="504"/>
      <c r="I34" s="505"/>
      <c r="J34" s="42">
        <f t="shared" si="10"/>
      </c>
      <c r="K34" s="23">
        <f t="shared" si="1"/>
      </c>
      <c r="L34" s="457"/>
      <c r="M34" s="459">
        <f t="shared" si="2"/>
      </c>
      <c r="N34" s="507">
        <f t="shared" si="3"/>
        <v>40</v>
      </c>
      <c r="O34" s="508" t="str">
        <f t="shared" si="4"/>
        <v>--</v>
      </c>
      <c r="P34" s="509" t="str">
        <f t="shared" si="5"/>
        <v>--</v>
      </c>
      <c r="Q34" s="510" t="str">
        <f t="shared" si="6"/>
        <v>--</v>
      </c>
      <c r="R34" s="511" t="str">
        <f t="shared" si="7"/>
        <v>--</v>
      </c>
      <c r="S34" s="459">
        <f t="shared" si="8"/>
      </c>
      <c r="T34" s="44">
        <f t="shared" si="9"/>
      </c>
      <c r="U34" s="95"/>
    </row>
    <row r="35" spans="2:21" s="15" customFormat="1" ht="16.5" customHeight="1">
      <c r="B35" s="91"/>
      <c r="C35" s="450"/>
      <c r="D35" s="501"/>
      <c r="E35" s="501"/>
      <c r="F35" s="502"/>
      <c r="G35" s="279">
        <f t="shared" si="0"/>
        <v>24.587</v>
      </c>
      <c r="H35" s="504"/>
      <c r="I35" s="505"/>
      <c r="J35" s="42">
        <f t="shared" si="10"/>
      </c>
      <c r="K35" s="23">
        <f t="shared" si="1"/>
      </c>
      <c r="L35" s="457"/>
      <c r="M35" s="459">
        <f t="shared" si="2"/>
      </c>
      <c r="N35" s="507">
        <f t="shared" si="3"/>
        <v>40</v>
      </c>
      <c r="O35" s="508" t="str">
        <f t="shared" si="4"/>
        <v>--</v>
      </c>
      <c r="P35" s="509" t="str">
        <f t="shared" si="5"/>
        <v>--</v>
      </c>
      <c r="Q35" s="510" t="str">
        <f t="shared" si="6"/>
        <v>--</v>
      </c>
      <c r="R35" s="511" t="str">
        <f t="shared" si="7"/>
        <v>--</v>
      </c>
      <c r="S35" s="459">
        <f t="shared" si="8"/>
      </c>
      <c r="T35" s="44">
        <f t="shared" si="9"/>
      </c>
      <c r="U35" s="95"/>
    </row>
    <row r="36" spans="2:21" s="15" customFormat="1" ht="16.5" customHeight="1">
      <c r="B36" s="91"/>
      <c r="C36" s="450"/>
      <c r="D36" s="501"/>
      <c r="E36" s="501"/>
      <c r="F36" s="502"/>
      <c r="G36" s="279">
        <f t="shared" si="0"/>
        <v>24.587</v>
      </c>
      <c r="H36" s="504"/>
      <c r="I36" s="505"/>
      <c r="J36" s="42">
        <f t="shared" si="10"/>
      </c>
      <c r="K36" s="23">
        <f t="shared" si="1"/>
      </c>
      <c r="L36" s="457"/>
      <c r="M36" s="459">
        <f t="shared" si="2"/>
      </c>
      <c r="N36" s="507">
        <f t="shared" si="3"/>
        <v>40</v>
      </c>
      <c r="O36" s="508" t="str">
        <f t="shared" si="4"/>
        <v>--</v>
      </c>
      <c r="P36" s="509" t="str">
        <f t="shared" si="5"/>
        <v>--</v>
      </c>
      <c r="Q36" s="510" t="str">
        <f t="shared" si="6"/>
        <v>--</v>
      </c>
      <c r="R36" s="511" t="str">
        <f t="shared" si="7"/>
        <v>--</v>
      </c>
      <c r="S36" s="459">
        <f t="shared" si="8"/>
      </c>
      <c r="T36" s="44">
        <f t="shared" si="9"/>
      </c>
      <c r="U36" s="95"/>
    </row>
    <row r="37" spans="2:21" s="15" customFormat="1" ht="16.5" customHeight="1">
      <c r="B37" s="91"/>
      <c r="C37" s="450"/>
      <c r="D37" s="501"/>
      <c r="E37" s="501"/>
      <c r="F37" s="502"/>
      <c r="G37" s="279">
        <f t="shared" si="0"/>
        <v>24.587</v>
      </c>
      <c r="H37" s="504"/>
      <c r="I37" s="505"/>
      <c r="J37" s="42">
        <f t="shared" si="10"/>
      </c>
      <c r="K37" s="23">
        <f t="shared" si="1"/>
      </c>
      <c r="L37" s="457"/>
      <c r="M37" s="459">
        <f t="shared" si="2"/>
      </c>
      <c r="N37" s="507">
        <f t="shared" si="3"/>
        <v>40</v>
      </c>
      <c r="O37" s="508" t="str">
        <f t="shared" si="4"/>
        <v>--</v>
      </c>
      <c r="P37" s="509" t="str">
        <f t="shared" si="5"/>
        <v>--</v>
      </c>
      <c r="Q37" s="510" t="str">
        <f t="shared" si="6"/>
        <v>--</v>
      </c>
      <c r="R37" s="511" t="str">
        <f t="shared" si="7"/>
        <v>--</v>
      </c>
      <c r="S37" s="459">
        <f t="shared" si="8"/>
      </c>
      <c r="T37" s="44">
        <f t="shared" si="9"/>
      </c>
      <c r="U37" s="95"/>
    </row>
    <row r="38" spans="2:21" s="15" customFormat="1" ht="16.5" customHeight="1">
      <c r="B38" s="91"/>
      <c r="C38" s="450"/>
      <c r="D38" s="501"/>
      <c r="E38" s="501"/>
      <c r="F38" s="502"/>
      <c r="G38" s="279">
        <f t="shared" si="0"/>
        <v>24.587</v>
      </c>
      <c r="H38" s="504"/>
      <c r="I38" s="505"/>
      <c r="J38" s="42">
        <f t="shared" si="10"/>
      </c>
      <c r="K38" s="23">
        <f t="shared" si="1"/>
      </c>
      <c r="L38" s="457"/>
      <c r="M38" s="459">
        <f t="shared" si="2"/>
      </c>
      <c r="N38" s="507">
        <f t="shared" si="3"/>
        <v>40</v>
      </c>
      <c r="O38" s="508" t="str">
        <f t="shared" si="4"/>
        <v>--</v>
      </c>
      <c r="P38" s="509" t="str">
        <f t="shared" si="5"/>
        <v>--</v>
      </c>
      <c r="Q38" s="510" t="str">
        <f t="shared" si="6"/>
        <v>--</v>
      </c>
      <c r="R38" s="511" t="str">
        <f t="shared" si="7"/>
        <v>--</v>
      </c>
      <c r="S38" s="459">
        <f t="shared" si="8"/>
      </c>
      <c r="T38" s="44">
        <f t="shared" si="9"/>
      </c>
      <c r="U38" s="95"/>
    </row>
    <row r="39" spans="2:21" s="15" customFormat="1" ht="16.5" customHeight="1">
      <c r="B39" s="91"/>
      <c r="C39" s="450"/>
      <c r="D39" s="501"/>
      <c r="E39" s="501"/>
      <c r="F39" s="502"/>
      <c r="G39" s="279">
        <f t="shared" si="0"/>
        <v>24.587</v>
      </c>
      <c r="H39" s="504"/>
      <c r="I39" s="505"/>
      <c r="J39" s="42">
        <f t="shared" si="10"/>
      </c>
      <c r="K39" s="23">
        <f t="shared" si="1"/>
      </c>
      <c r="L39" s="457"/>
      <c r="M39" s="459">
        <f t="shared" si="2"/>
      </c>
      <c r="N39" s="507">
        <f t="shared" si="3"/>
        <v>40</v>
      </c>
      <c r="O39" s="508" t="str">
        <f t="shared" si="4"/>
        <v>--</v>
      </c>
      <c r="P39" s="509" t="str">
        <f t="shared" si="5"/>
        <v>--</v>
      </c>
      <c r="Q39" s="510" t="str">
        <f t="shared" si="6"/>
        <v>--</v>
      </c>
      <c r="R39" s="511" t="str">
        <f t="shared" si="7"/>
        <v>--</v>
      </c>
      <c r="S39" s="459">
        <f t="shared" si="8"/>
      </c>
      <c r="T39" s="44">
        <f t="shared" si="9"/>
      </c>
      <c r="U39" s="95"/>
    </row>
    <row r="40" spans="2:21" s="15" customFormat="1" ht="16.5" customHeight="1">
      <c r="B40" s="91"/>
      <c r="C40" s="450"/>
      <c r="D40" s="501"/>
      <c r="E40" s="501"/>
      <c r="F40" s="502"/>
      <c r="G40" s="279">
        <f t="shared" si="0"/>
        <v>24.587</v>
      </c>
      <c r="H40" s="504"/>
      <c r="I40" s="505"/>
      <c r="J40" s="42">
        <f t="shared" si="10"/>
      </c>
      <c r="K40" s="23">
        <f t="shared" si="1"/>
      </c>
      <c r="L40" s="457"/>
      <c r="M40" s="459">
        <f t="shared" si="2"/>
      </c>
      <c r="N40" s="507">
        <f t="shared" si="3"/>
        <v>40</v>
      </c>
      <c r="O40" s="508" t="str">
        <f t="shared" si="4"/>
        <v>--</v>
      </c>
      <c r="P40" s="509" t="str">
        <f t="shared" si="5"/>
        <v>--</v>
      </c>
      <c r="Q40" s="510" t="str">
        <f t="shared" si="6"/>
        <v>--</v>
      </c>
      <c r="R40" s="511" t="str">
        <f t="shared" si="7"/>
        <v>--</v>
      </c>
      <c r="S40" s="459">
        <f t="shared" si="8"/>
      </c>
      <c r="T40" s="44">
        <f t="shared" si="9"/>
      </c>
      <c r="U40" s="95"/>
    </row>
    <row r="41" spans="2:21" s="15" customFormat="1" ht="16.5" customHeight="1" thickBot="1">
      <c r="B41" s="91"/>
      <c r="C41" s="452"/>
      <c r="D41" s="503"/>
      <c r="E41" s="503"/>
      <c r="F41" s="453"/>
      <c r="G41" s="280"/>
      <c r="H41" s="506"/>
      <c r="I41" s="506"/>
      <c r="J41" s="45"/>
      <c r="K41" s="45"/>
      <c r="L41" s="506"/>
      <c r="M41" s="456"/>
      <c r="N41" s="512"/>
      <c r="O41" s="513"/>
      <c r="P41" s="514"/>
      <c r="Q41" s="515"/>
      <c r="R41" s="516"/>
      <c r="S41" s="456"/>
      <c r="T41" s="191"/>
      <c r="U41" s="95"/>
    </row>
    <row r="42" spans="2:21" s="15" customFormat="1" ht="16.5" customHeight="1" thickBot="1" thickTop="1">
      <c r="B42" s="91"/>
      <c r="C42" s="222" t="s">
        <v>47</v>
      </c>
      <c r="D42" s="223" t="s">
        <v>96</v>
      </c>
      <c r="E42"/>
      <c r="F42" s="13"/>
      <c r="G42" s="13"/>
      <c r="H42" s="13"/>
      <c r="I42" s="13"/>
      <c r="J42" s="13"/>
      <c r="K42" s="13"/>
      <c r="L42" s="13"/>
      <c r="M42" s="13"/>
      <c r="N42" s="13"/>
      <c r="O42" s="329">
        <f>SUM(O22:O41)</f>
        <v>5531.9400000000005</v>
      </c>
      <c r="P42" s="336">
        <f>SUM(P22:P41)</f>
        <v>0</v>
      </c>
      <c r="Q42" s="337">
        <f>SUM(Q22:Q41)</f>
        <v>0</v>
      </c>
      <c r="R42" s="339">
        <f>SUM(R22:R41)</f>
        <v>0</v>
      </c>
      <c r="S42" s="46"/>
      <c r="T42" s="58">
        <f>ROUND(SUM(T22:T41),2)</f>
        <v>5531.94</v>
      </c>
      <c r="U42" s="95"/>
    </row>
    <row r="43" spans="2:21" s="227" customFormat="1" ht="13.5" thickTop="1">
      <c r="B43" s="228"/>
      <c r="C43" s="224"/>
      <c r="D43" s="226"/>
      <c r="E43"/>
      <c r="F43" s="238"/>
      <c r="G43" s="238"/>
      <c r="H43" s="238"/>
      <c r="I43" s="238"/>
      <c r="J43" s="238"/>
      <c r="K43" s="238"/>
      <c r="L43" s="238"/>
      <c r="M43" s="238"/>
      <c r="N43" s="238"/>
      <c r="O43" s="236"/>
      <c r="P43" s="236"/>
      <c r="Q43" s="236"/>
      <c r="R43" s="236"/>
      <c r="S43" s="236"/>
      <c r="T43" s="239"/>
      <c r="U43" s="240"/>
    </row>
    <row r="44" spans="2:21" s="15" customFormat="1" ht="16.5" customHeight="1" thickBot="1"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8"/>
    </row>
    <row r="45" spans="21:23" ht="16.5" customHeight="1" thickTop="1">
      <c r="U45" s="4"/>
      <c r="V45" s="4"/>
      <c r="W45" s="4"/>
    </row>
    <row r="46" spans="21:23" ht="16.5" customHeight="1">
      <c r="U46" s="4"/>
      <c r="V46" s="4"/>
      <c r="W46" s="4"/>
    </row>
    <row r="47" spans="21:23" ht="16.5" customHeight="1">
      <c r="U47" s="4"/>
      <c r="V47" s="4"/>
      <c r="W47" s="4"/>
    </row>
    <row r="48" spans="21:23" ht="16.5" customHeight="1">
      <c r="U48" s="4"/>
      <c r="V48" s="4"/>
      <c r="W48" s="4"/>
    </row>
    <row r="49" spans="21:23" ht="16.5" customHeight="1">
      <c r="U49" s="4"/>
      <c r="V49" s="4"/>
      <c r="W49" s="4"/>
    </row>
    <row r="50" spans="4:23" ht="16.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4:23" ht="16.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4:23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4:23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4:23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4:23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4:23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4:23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4:23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4:23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4:23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4:23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4:23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4:23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4:23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4:23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4:23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4:23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4:23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4:23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4:23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4:23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4:23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4:23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4:23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4:23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4:23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4:23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4:23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4:23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4:23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4:23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4:23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4:23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4:23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4:23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4:23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4:23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4:23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4:23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4:23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4:23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4:23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4:23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4:23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4:23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4:23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4:23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4:23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4:23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4:23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4:23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4:23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4:23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4:23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4:23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4:23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4:23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4:23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4:23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4:23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4:23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4:23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4:23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4:23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4:23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4:23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4:23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4:23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4:23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4:23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4:23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4:23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4:23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4:23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4:23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4:23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4:23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4:23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4:23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4:23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4:23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4:23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4:23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4:23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4:23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4:23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4:23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4:23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4:23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4:23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4:23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4:23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4:23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4:23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4:23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4:23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4:23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4:23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4:23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4:23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4:23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4:23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4:23" ht="16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4:23" ht="16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4:23" ht="16.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4:23" ht="16.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4:23" ht="16.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60"/>
  <sheetViews>
    <sheetView zoomScale="75" zoomScaleNormal="75" workbookViewId="0" topLeftCell="A16">
      <selection activeCell="D46" sqref="D46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00390625" style="0" customWidth="1"/>
    <col min="15" max="15" width="12.7109375" style="0" hidden="1" customWidth="1"/>
    <col min="16" max="16" width="15.57421875" style="0" hidden="1" customWidth="1"/>
    <col min="17" max="17" width="16.421875" style="0" hidden="1" customWidth="1"/>
    <col min="18" max="19" width="15.42187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pans="1:23" s="59" customFormat="1" ht="26.25">
      <c r="A1" s="109"/>
      <c r="W1" s="427"/>
    </row>
    <row r="2" spans="1:23" s="59" customFormat="1" ht="26.25">
      <c r="A2" s="109"/>
      <c r="B2" s="210" t="str">
        <f>+'tot-0105'!B2</f>
        <v>ANEXO VI.2. al Memorandum  D.T.E.E. N°1046   /2009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="15" customFormat="1" ht="12.75">
      <c r="A3" s="35"/>
    </row>
    <row r="4" spans="1:2" s="66" customFormat="1" ht="11.25">
      <c r="A4" s="64" t="s">
        <v>14</v>
      </c>
      <c r="B4" s="132"/>
    </row>
    <row r="5" spans="1:2" s="66" customFormat="1" ht="11.25">
      <c r="A5" s="64" t="s">
        <v>15</v>
      </c>
      <c r="B5" s="132"/>
    </row>
    <row r="6" s="15" customFormat="1" ht="13.5" thickBot="1"/>
    <row r="7" spans="2:23" s="15" customFormat="1" ht="13.5" thickTop="1"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68"/>
    </row>
    <row r="8" spans="2:23" s="9" customFormat="1" ht="20.25">
      <c r="B8" s="119"/>
      <c r="D8" s="6" t="s">
        <v>72</v>
      </c>
      <c r="E8" s="48"/>
      <c r="F8" s="8"/>
      <c r="G8" s="7"/>
      <c r="H8" s="7"/>
      <c r="I8" s="7"/>
      <c r="J8" s="7"/>
      <c r="K8" s="7"/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205"/>
    </row>
    <row r="9" spans="2:23" s="15" customFormat="1" ht="12.75">
      <c r="B9" s="9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95"/>
    </row>
    <row r="10" spans="2:23" s="9" customFormat="1" ht="20.25">
      <c r="B10" s="119"/>
      <c r="D10" s="120" t="s">
        <v>73</v>
      </c>
      <c r="F10" s="206"/>
      <c r="G10" s="207"/>
      <c r="H10" s="207"/>
      <c r="I10" s="207"/>
      <c r="J10" s="207"/>
      <c r="K10" s="207"/>
      <c r="L10" s="207"/>
      <c r="M10" s="207"/>
      <c r="N10" s="207"/>
      <c r="O10" s="207"/>
      <c r="P10" s="10"/>
      <c r="Q10" s="10"/>
      <c r="R10" s="10"/>
      <c r="S10" s="10"/>
      <c r="T10" s="10"/>
      <c r="U10" s="10"/>
      <c r="V10"/>
      <c r="W10" s="177"/>
    </row>
    <row r="11" spans="2:23" s="15" customFormat="1" ht="16.5" customHeight="1">
      <c r="B11" s="91"/>
      <c r="C11" s="13"/>
      <c r="D11" s="194"/>
      <c r="F11" s="72"/>
      <c r="G11" s="114"/>
      <c r="H11" s="114"/>
      <c r="I11" s="114"/>
      <c r="J11" s="114"/>
      <c r="K11" s="114"/>
      <c r="L11" s="114"/>
      <c r="M11" s="114"/>
      <c r="N11" s="114"/>
      <c r="O11" s="114"/>
      <c r="P11" s="13"/>
      <c r="Q11" s="13"/>
      <c r="R11" s="13"/>
      <c r="S11" s="13"/>
      <c r="T11" s="13"/>
      <c r="U11" s="13"/>
      <c r="V11"/>
      <c r="W11" s="95"/>
    </row>
    <row r="12" spans="2:23" s="9" customFormat="1" ht="20.25">
      <c r="B12" s="119"/>
      <c r="D12" s="120" t="s">
        <v>75</v>
      </c>
      <c r="F12" s="206"/>
      <c r="G12" s="207"/>
      <c r="H12" s="207"/>
      <c r="I12" s="207"/>
      <c r="J12" s="207"/>
      <c r="K12" s="207"/>
      <c r="L12" s="207"/>
      <c r="M12" s="207"/>
      <c r="N12" s="207"/>
      <c r="O12" s="207"/>
      <c r="P12" s="10"/>
      <c r="Q12" s="10"/>
      <c r="R12" s="10"/>
      <c r="S12" s="10"/>
      <c r="T12" s="10"/>
      <c r="U12" s="10"/>
      <c r="V12" s="10"/>
      <c r="W12" s="177"/>
    </row>
    <row r="13" spans="2:23" s="15" customFormat="1" ht="16.5" customHeight="1">
      <c r="B13" s="91"/>
      <c r="C13" s="13"/>
      <c r="D13" s="194"/>
      <c r="F13" s="72"/>
      <c r="G13" s="114"/>
      <c r="H13" s="114"/>
      <c r="I13" s="114"/>
      <c r="J13" s="114"/>
      <c r="K13" s="114"/>
      <c r="L13" s="114"/>
      <c r="M13" s="114"/>
      <c r="N13" s="114"/>
      <c r="O13" s="114"/>
      <c r="P13" s="13"/>
      <c r="Q13" s="13"/>
      <c r="R13" s="13"/>
      <c r="S13" s="13"/>
      <c r="T13" s="13"/>
      <c r="U13" s="13"/>
      <c r="V13" s="13"/>
      <c r="W13" s="95"/>
    </row>
    <row r="14" spans="2:23" s="14" customFormat="1" ht="16.5" customHeight="1">
      <c r="B14" s="133" t="str">
        <f>+'tot-0105'!B14</f>
        <v>Desde el 01 al 31 de mayo de 2007</v>
      </c>
      <c r="C14" s="122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122"/>
      <c r="Q14" s="122"/>
      <c r="R14" s="122"/>
      <c r="S14" s="122"/>
      <c r="T14" s="122"/>
      <c r="U14" s="122"/>
      <c r="V14" s="122"/>
      <c r="W14" s="209"/>
    </row>
    <row r="15" spans="2:23" s="15" customFormat="1" ht="16.5" customHeight="1" thickBot="1">
      <c r="B15" s="91"/>
      <c r="C15" s="13"/>
      <c r="D15" s="13"/>
      <c r="E15" s="13"/>
      <c r="F15" s="13"/>
      <c r="G15" s="13"/>
      <c r="H15" s="13"/>
      <c r="I15" s="13"/>
      <c r="J15" s="13"/>
      <c r="K15" s="13"/>
      <c r="P15" s="13"/>
      <c r="Q15" s="13"/>
      <c r="R15" s="13"/>
      <c r="S15" s="13"/>
      <c r="T15" s="13"/>
      <c r="U15" s="13"/>
      <c r="V15" s="13"/>
      <c r="W15" s="95"/>
    </row>
    <row r="16" spans="2:23" s="15" customFormat="1" ht="16.5" customHeight="1" thickBot="1" thickTop="1">
      <c r="B16" s="91"/>
      <c r="C16" s="13"/>
      <c r="D16" s="13"/>
      <c r="E16" s="13"/>
      <c r="F16" s="13"/>
      <c r="G16" s="13"/>
      <c r="H16" s="13"/>
      <c r="I16" s="13"/>
      <c r="J16" s="540" t="s">
        <v>82</v>
      </c>
      <c r="K16" s="541"/>
      <c r="L16" s="541"/>
      <c r="M16" s="541"/>
      <c r="N16" s="542"/>
      <c r="O16" s="437" t="b">
        <f>AND(N17&lt;=0.82,N18&lt;=1.17)</f>
        <v>1</v>
      </c>
      <c r="P16" s="437" t="b">
        <f>AND(N17&gt;=1.17,N18&gt;=1.7)</f>
        <v>0</v>
      </c>
      <c r="Q16" s="438">
        <f>((N18/1.17)+(N17/0.82))*0.852446393-1.454892785</f>
        <v>-1.454892785</v>
      </c>
      <c r="R16" s="13"/>
      <c r="S16" s="13"/>
      <c r="T16" s="13"/>
      <c r="U16" s="13"/>
      <c r="V16" s="13"/>
      <c r="W16" s="95"/>
    </row>
    <row r="17" spans="2:23" s="15" customFormat="1" ht="16.5" customHeight="1" thickBot="1" thickTop="1">
      <c r="B17" s="91"/>
      <c r="C17" s="13"/>
      <c r="D17" s="187" t="s">
        <v>57</v>
      </c>
      <c r="E17" s="211"/>
      <c r="F17" s="219">
        <v>0.245</v>
      </c>
      <c r="G17" s="185"/>
      <c r="H17"/>
      <c r="I17" s="13"/>
      <c r="J17" s="439" t="s">
        <v>83</v>
      </c>
      <c r="K17" s="440"/>
      <c r="L17" s="440"/>
      <c r="M17" s="440"/>
      <c r="N17" s="441"/>
      <c r="O17" s="442"/>
      <c r="P17" s="437"/>
      <c r="Q17" s="438"/>
      <c r="R17" s="13"/>
      <c r="S17" s="13"/>
      <c r="T17" s="13"/>
      <c r="U17" s="13"/>
      <c r="V17" s="13"/>
      <c r="W17" s="95"/>
    </row>
    <row r="18" spans="2:23" s="15" customFormat="1" ht="16.5" customHeight="1" thickBot="1" thickTop="1">
      <c r="B18" s="91"/>
      <c r="C18" s="13"/>
      <c r="D18" s="212" t="s">
        <v>58</v>
      </c>
      <c r="E18" s="213"/>
      <c r="F18" s="214">
        <v>20</v>
      </c>
      <c r="G18" s="185"/>
      <c r="H18" s="241" t="s">
        <v>55</v>
      </c>
      <c r="I18" s="290">
        <f>4*N19</f>
        <v>1</v>
      </c>
      <c r="J18" s="439" t="s">
        <v>84</v>
      </c>
      <c r="K18" s="440"/>
      <c r="L18" s="440"/>
      <c r="M18" s="440"/>
      <c r="N18" s="441"/>
      <c r="O18" s="442"/>
      <c r="P18" s="437"/>
      <c r="Q18" s="438"/>
      <c r="R18" s="115"/>
      <c r="S18" s="115"/>
      <c r="T18" s="115"/>
      <c r="U18" s="115"/>
      <c r="V18" s="115"/>
      <c r="W18" s="95"/>
    </row>
    <row r="19" spans="2:23" s="15" customFormat="1" ht="16.5" customHeight="1" thickBot="1" thickTop="1">
      <c r="B19" s="91"/>
      <c r="C19" s="13"/>
      <c r="D19" s="444"/>
      <c r="E19" s="429"/>
      <c r="F19" s="445"/>
      <c r="G19" s="185"/>
      <c r="H19" s="241"/>
      <c r="I19" s="290"/>
      <c r="J19" s="439" t="s">
        <v>85</v>
      </c>
      <c r="K19" s="440"/>
      <c r="L19" s="440"/>
      <c r="M19" s="440"/>
      <c r="N19" s="441">
        <f>IF(O16=TRUE,0.25,IF(P16=TRUE,1,Q16))</f>
        <v>0.25</v>
      </c>
      <c r="O19" s="443"/>
      <c r="P19" s="443"/>
      <c r="Q19" s="443"/>
      <c r="R19" s="115"/>
      <c r="S19" s="115"/>
      <c r="T19" s="115"/>
      <c r="U19" s="115"/>
      <c r="V19" s="115"/>
      <c r="W19" s="95"/>
    </row>
    <row r="20" spans="2:23" s="15" customFormat="1" ht="16.5" customHeight="1" thickBot="1" thickTop="1">
      <c r="B20" s="91"/>
      <c r="C20" s="1"/>
      <c r="D20" s="195"/>
      <c r="E20" s="196"/>
      <c r="F20" s="196"/>
      <c r="G20" s="26"/>
      <c r="H20" s="26"/>
      <c r="I20" s="26"/>
      <c r="J20" s="26"/>
      <c r="K20" s="26"/>
      <c r="L20" s="26"/>
      <c r="M20" s="26"/>
      <c r="N20" s="26"/>
      <c r="O20" s="197"/>
      <c r="P20" s="198"/>
      <c r="Q20" s="199"/>
      <c r="R20" s="199"/>
      <c r="S20" s="199"/>
      <c r="T20" s="200"/>
      <c r="U20" s="200"/>
      <c r="V20" s="201"/>
      <c r="W20" s="95"/>
    </row>
    <row r="21" spans="2:23" s="15" customFormat="1" ht="33.75" customHeight="1" thickBot="1" thickTop="1">
      <c r="B21" s="91"/>
      <c r="C21" s="123" t="s">
        <v>29</v>
      </c>
      <c r="D21" s="130" t="s">
        <v>59</v>
      </c>
      <c r="E21" s="125" t="s">
        <v>10</v>
      </c>
      <c r="F21" s="215" t="s">
        <v>60</v>
      </c>
      <c r="G21" s="278" t="s">
        <v>33</v>
      </c>
      <c r="H21" s="125" t="s">
        <v>34</v>
      </c>
      <c r="I21" s="125" t="s">
        <v>35</v>
      </c>
      <c r="J21" s="130" t="s">
        <v>36</v>
      </c>
      <c r="K21" s="130" t="s">
        <v>37</v>
      </c>
      <c r="L21" s="129" t="s">
        <v>38</v>
      </c>
      <c r="M21" s="129" t="s">
        <v>39</v>
      </c>
      <c r="N21" s="125" t="s">
        <v>40</v>
      </c>
      <c r="O21" s="278" t="s">
        <v>76</v>
      </c>
      <c r="P21" s="345" t="s">
        <v>51</v>
      </c>
      <c r="Q21" s="349" t="s">
        <v>74</v>
      </c>
      <c r="R21" s="350"/>
      <c r="S21" s="357" t="s">
        <v>43</v>
      </c>
      <c r="T21" s="131" t="s">
        <v>45</v>
      </c>
      <c r="U21" s="291" t="s">
        <v>46</v>
      </c>
      <c r="V21" s="216" t="s">
        <v>46</v>
      </c>
      <c r="W21" s="95"/>
    </row>
    <row r="22" spans="2:23" s="15" customFormat="1" ht="16.5" customHeight="1" thickTop="1">
      <c r="B22" s="91"/>
      <c r="C22" s="202"/>
      <c r="D22" s="202"/>
      <c r="E22" s="202"/>
      <c r="F22" s="202"/>
      <c r="G22" s="284"/>
      <c r="H22" s="204"/>
      <c r="I22" s="204"/>
      <c r="J22" s="202"/>
      <c r="K22" s="202"/>
      <c r="L22" s="203"/>
      <c r="M22" s="16"/>
      <c r="N22" s="202"/>
      <c r="O22" s="297"/>
      <c r="P22" s="346"/>
      <c r="Q22" s="351"/>
      <c r="R22" s="352"/>
      <c r="S22" s="358"/>
      <c r="T22" s="342"/>
      <c r="U22" s="413"/>
      <c r="V22" s="414"/>
      <c r="W22" s="95"/>
    </row>
    <row r="23" spans="2:23" s="15" customFormat="1" ht="16.5" customHeight="1">
      <c r="B23" s="91"/>
      <c r="C23" s="24"/>
      <c r="D23" s="51"/>
      <c r="E23" s="51"/>
      <c r="F23" s="51"/>
      <c r="G23" s="288"/>
      <c r="H23" s="53"/>
      <c r="I23" s="54"/>
      <c r="J23" s="55"/>
      <c r="K23" s="56"/>
      <c r="L23" s="57"/>
      <c r="M23" s="17"/>
      <c r="N23" s="52"/>
      <c r="O23" s="344"/>
      <c r="P23" s="347"/>
      <c r="Q23" s="353"/>
      <c r="R23" s="354"/>
      <c r="S23" s="359"/>
      <c r="T23" s="289"/>
      <c r="U23" s="361"/>
      <c r="V23" s="217"/>
      <c r="W23" s="95"/>
    </row>
    <row r="24" spans="2:23" s="15" customFormat="1" ht="16.5" customHeight="1">
      <c r="B24" s="91"/>
      <c r="C24" s="450">
        <v>71</v>
      </c>
      <c r="D24" s="533" t="s">
        <v>11</v>
      </c>
      <c r="E24" s="533" t="s">
        <v>12</v>
      </c>
      <c r="F24" s="533">
        <v>80</v>
      </c>
      <c r="G24" s="424">
        <f>F24*$F$17</f>
        <v>19.6</v>
      </c>
      <c r="H24" s="504">
        <v>39204.342361111114</v>
      </c>
      <c r="I24" s="455">
        <v>39204.75347222222</v>
      </c>
      <c r="J24" s="42">
        <f>IF(D24="","",(I24-H24)*24)</f>
        <v>9.866666666523088</v>
      </c>
      <c r="K24" s="23">
        <f>IF(D24="","",ROUND((I24-H24)*24*60,0))</f>
        <v>592</v>
      </c>
      <c r="L24" s="457" t="s">
        <v>88</v>
      </c>
      <c r="M24" s="465" t="str">
        <f>IF(D24="","","--")</f>
        <v>--</v>
      </c>
      <c r="N24" s="459" t="str">
        <f>IF(D24="","",IF(OR(L24="P",L24="RP"),"--","NO"))</f>
        <v>--</v>
      </c>
      <c r="O24" s="520">
        <f>IF(L24="P",$F$18*0.1,$F$18)</f>
        <v>2</v>
      </c>
      <c r="P24" s="521">
        <f>IF(L24="P",G24*O24*ROUND(K24/60,2),"--")</f>
        <v>386.904</v>
      </c>
      <c r="Q24" s="522" t="str">
        <f>IF(AND(L24="F",N24="NO"),G24*O24,"--")</f>
        <v>--</v>
      </c>
      <c r="R24" s="523" t="str">
        <f>IF(L24="F",G24*O24*ROUND(K24/60,2),"--")</f>
        <v>--</v>
      </c>
      <c r="S24" s="524" t="str">
        <f>IF(L24="RF",G24*O24*ROUND(K24/60,2),"--")</f>
        <v>--</v>
      </c>
      <c r="T24" s="525" t="str">
        <f>IF(D24="","","SI")</f>
        <v>SI</v>
      </c>
      <c r="U24" s="362">
        <f>SUM(P24:S24)*IF(T24="SI",1,2)</f>
        <v>386.904</v>
      </c>
      <c r="V24" s="44">
        <f>IF(D24="","",U24*$I$18)</f>
        <v>386.904</v>
      </c>
      <c r="W24" s="95"/>
    </row>
    <row r="25" spans="2:23" s="15" customFormat="1" ht="16.5" customHeight="1">
      <c r="B25" s="91"/>
      <c r="C25" s="450">
        <v>72</v>
      </c>
      <c r="D25" s="533" t="s">
        <v>11</v>
      </c>
      <c r="E25" s="533" t="s">
        <v>13</v>
      </c>
      <c r="F25" s="533">
        <v>80</v>
      </c>
      <c r="G25" s="424">
        <f aca="true" t="shared" si="0" ref="G25:G40">F25*$F$17</f>
        <v>19.6</v>
      </c>
      <c r="H25" s="504">
        <v>39210.40138888889</v>
      </c>
      <c r="I25" s="455">
        <v>39210.66180555556</v>
      </c>
      <c r="J25" s="42">
        <f aca="true" t="shared" si="1" ref="J25:J40">IF(D25="","",(I25-H25)*24)</f>
        <v>6.250000000116415</v>
      </c>
      <c r="K25" s="23">
        <f aca="true" t="shared" si="2" ref="K25:K40">IF(D25="","",ROUND((I25-H25)*24*60,0))</f>
        <v>375</v>
      </c>
      <c r="L25" s="457" t="s">
        <v>88</v>
      </c>
      <c r="M25" s="465" t="str">
        <f aca="true" t="shared" si="3" ref="M25:M40">IF(D25="","","--")</f>
        <v>--</v>
      </c>
      <c r="N25" s="459" t="str">
        <f aca="true" t="shared" si="4" ref="N25:N40">IF(D25="","",IF(L25="P","--","NO"))</f>
        <v>--</v>
      </c>
      <c r="O25" s="520">
        <f aca="true" t="shared" si="5" ref="O25:O40">IF(L25="P",$F$18*0.1,$F$18)</f>
        <v>2</v>
      </c>
      <c r="P25" s="521">
        <f aca="true" t="shared" si="6" ref="P25:P40">IF(L25="P",G25*O25*ROUND(K25/60,2),"--")</f>
        <v>245.00000000000003</v>
      </c>
      <c r="Q25" s="522" t="str">
        <f aca="true" t="shared" si="7" ref="Q25:Q40">IF(AND(L25="F",N25="NO"),G25*O25,"--")</f>
        <v>--</v>
      </c>
      <c r="R25" s="523" t="str">
        <f aca="true" t="shared" si="8" ref="R25:R40">IF(L25="F",G25*O25*ROUND(K25/60,2),"--")</f>
        <v>--</v>
      </c>
      <c r="S25" s="524" t="str">
        <f aca="true" t="shared" si="9" ref="S25:S40">IF(L25="RF",G25*O25*ROUND(K25/60,2),"--")</f>
        <v>--</v>
      </c>
      <c r="T25" s="525" t="str">
        <f aca="true" t="shared" si="10" ref="T25:T40">IF(D25="","","SI")</f>
        <v>SI</v>
      </c>
      <c r="U25" s="362">
        <f aca="true" t="shared" si="11" ref="U25:U40">SUM(P25:S25)*IF(T25="SI",1,2)</f>
        <v>245.00000000000003</v>
      </c>
      <c r="V25" s="44">
        <f aca="true" t="shared" si="12" ref="V25:V40">IF(D25="","",U25*$I$18)</f>
        <v>245.00000000000003</v>
      </c>
      <c r="W25" s="95"/>
    </row>
    <row r="26" spans="2:23" s="15" customFormat="1" ht="16.5" customHeight="1">
      <c r="B26" s="91"/>
      <c r="C26" s="450"/>
      <c r="D26" s="518"/>
      <c r="E26" s="518"/>
      <c r="F26" s="518"/>
      <c r="G26" s="424">
        <f t="shared" si="0"/>
        <v>0</v>
      </c>
      <c r="H26" s="504"/>
      <c r="I26" s="455"/>
      <c r="J26" s="42">
        <f t="shared" si="1"/>
      </c>
      <c r="K26" s="23">
        <f t="shared" si="2"/>
      </c>
      <c r="L26" s="457"/>
      <c r="M26" s="465">
        <f t="shared" si="3"/>
      </c>
      <c r="N26" s="459">
        <f t="shared" si="4"/>
      </c>
      <c r="O26" s="520">
        <f t="shared" si="5"/>
        <v>20</v>
      </c>
      <c r="P26" s="521" t="str">
        <f t="shared" si="6"/>
        <v>--</v>
      </c>
      <c r="Q26" s="522" t="str">
        <f t="shared" si="7"/>
        <v>--</v>
      </c>
      <c r="R26" s="523" t="str">
        <f t="shared" si="8"/>
        <v>--</v>
      </c>
      <c r="S26" s="524" t="str">
        <f t="shared" si="9"/>
        <v>--</v>
      </c>
      <c r="T26" s="525">
        <f t="shared" si="10"/>
      </c>
      <c r="U26" s="362">
        <f t="shared" si="11"/>
        <v>0</v>
      </c>
      <c r="V26" s="44">
        <f t="shared" si="12"/>
      </c>
      <c r="W26" s="95"/>
    </row>
    <row r="27" spans="2:23" s="15" customFormat="1" ht="16.5" customHeight="1">
      <c r="B27" s="91"/>
      <c r="C27" s="450"/>
      <c r="D27" s="518"/>
      <c r="E27" s="518"/>
      <c r="F27" s="518"/>
      <c r="G27" s="424">
        <f t="shared" si="0"/>
        <v>0</v>
      </c>
      <c r="H27" s="504"/>
      <c r="I27" s="455"/>
      <c r="J27" s="42">
        <f t="shared" si="1"/>
      </c>
      <c r="K27" s="23">
        <f t="shared" si="2"/>
      </c>
      <c r="L27" s="457"/>
      <c r="M27" s="465">
        <f t="shared" si="3"/>
      </c>
      <c r="N27" s="459">
        <f t="shared" si="4"/>
      </c>
      <c r="O27" s="520">
        <f t="shared" si="5"/>
        <v>20</v>
      </c>
      <c r="P27" s="521" t="str">
        <f t="shared" si="6"/>
        <v>--</v>
      </c>
      <c r="Q27" s="522" t="str">
        <f t="shared" si="7"/>
        <v>--</v>
      </c>
      <c r="R27" s="523" t="str">
        <f t="shared" si="8"/>
        <v>--</v>
      </c>
      <c r="S27" s="524" t="str">
        <f t="shared" si="9"/>
        <v>--</v>
      </c>
      <c r="T27" s="525">
        <f t="shared" si="10"/>
      </c>
      <c r="U27" s="362">
        <f t="shared" si="11"/>
        <v>0</v>
      </c>
      <c r="V27" s="44">
        <f t="shared" si="12"/>
      </c>
      <c r="W27" s="192"/>
    </row>
    <row r="28" spans="2:23" s="15" customFormat="1" ht="16.5" customHeight="1">
      <c r="B28" s="91"/>
      <c r="C28" s="450"/>
      <c r="D28" s="518"/>
      <c r="E28" s="518"/>
      <c r="F28" s="518"/>
      <c r="G28" s="424">
        <f t="shared" si="0"/>
        <v>0</v>
      </c>
      <c r="H28" s="504"/>
      <c r="I28" s="455"/>
      <c r="J28" s="42">
        <f t="shared" si="1"/>
      </c>
      <c r="K28" s="23">
        <f t="shared" si="2"/>
      </c>
      <c r="L28" s="457"/>
      <c r="M28" s="465">
        <f t="shared" si="3"/>
      </c>
      <c r="N28" s="459">
        <f t="shared" si="4"/>
      </c>
      <c r="O28" s="520">
        <f t="shared" si="5"/>
        <v>20</v>
      </c>
      <c r="P28" s="521" t="str">
        <f t="shared" si="6"/>
        <v>--</v>
      </c>
      <c r="Q28" s="522" t="str">
        <f t="shared" si="7"/>
        <v>--</v>
      </c>
      <c r="R28" s="523" t="str">
        <f t="shared" si="8"/>
        <v>--</v>
      </c>
      <c r="S28" s="524" t="str">
        <f t="shared" si="9"/>
        <v>--</v>
      </c>
      <c r="T28" s="525">
        <f t="shared" si="10"/>
      </c>
      <c r="U28" s="362">
        <f t="shared" si="11"/>
        <v>0</v>
      </c>
      <c r="V28" s="44">
        <f t="shared" si="12"/>
      </c>
      <c r="W28" s="192"/>
    </row>
    <row r="29" spans="2:23" s="15" customFormat="1" ht="16.5" customHeight="1">
      <c r="B29" s="91"/>
      <c r="C29" s="450"/>
      <c r="D29" s="518"/>
      <c r="E29" s="518"/>
      <c r="F29" s="518"/>
      <c r="G29" s="424">
        <f t="shared" si="0"/>
        <v>0</v>
      </c>
      <c r="H29" s="504"/>
      <c r="I29" s="455"/>
      <c r="J29" s="42">
        <f t="shared" si="1"/>
      </c>
      <c r="K29" s="23">
        <f t="shared" si="2"/>
      </c>
      <c r="L29" s="457"/>
      <c r="M29" s="465">
        <f t="shared" si="3"/>
      </c>
      <c r="N29" s="459">
        <f t="shared" si="4"/>
      </c>
      <c r="O29" s="520">
        <f t="shared" si="5"/>
        <v>20</v>
      </c>
      <c r="P29" s="521" t="str">
        <f t="shared" si="6"/>
        <v>--</v>
      </c>
      <c r="Q29" s="522" t="str">
        <f t="shared" si="7"/>
        <v>--</v>
      </c>
      <c r="R29" s="523" t="str">
        <f t="shared" si="8"/>
        <v>--</v>
      </c>
      <c r="S29" s="524" t="str">
        <f t="shared" si="9"/>
        <v>--</v>
      </c>
      <c r="T29" s="525">
        <f t="shared" si="10"/>
      </c>
      <c r="U29" s="362">
        <f t="shared" si="11"/>
        <v>0</v>
      </c>
      <c r="V29" s="44">
        <f t="shared" si="12"/>
      </c>
      <c r="W29" s="192"/>
    </row>
    <row r="30" spans="2:23" s="15" customFormat="1" ht="16.5" customHeight="1">
      <c r="B30" s="91"/>
      <c r="C30" s="450"/>
      <c r="D30" s="518"/>
      <c r="E30" s="518"/>
      <c r="F30" s="518"/>
      <c r="G30" s="424">
        <f t="shared" si="0"/>
        <v>0</v>
      </c>
      <c r="H30" s="504"/>
      <c r="I30" s="455"/>
      <c r="J30" s="42">
        <f t="shared" si="1"/>
      </c>
      <c r="K30" s="23">
        <f t="shared" si="2"/>
      </c>
      <c r="L30" s="457"/>
      <c r="M30" s="465">
        <f t="shared" si="3"/>
      </c>
      <c r="N30" s="459">
        <f t="shared" si="4"/>
      </c>
      <c r="O30" s="520">
        <f t="shared" si="5"/>
        <v>20</v>
      </c>
      <c r="P30" s="521" t="str">
        <f t="shared" si="6"/>
        <v>--</v>
      </c>
      <c r="Q30" s="522" t="str">
        <f t="shared" si="7"/>
        <v>--</v>
      </c>
      <c r="R30" s="523" t="str">
        <f t="shared" si="8"/>
        <v>--</v>
      </c>
      <c r="S30" s="524" t="str">
        <f t="shared" si="9"/>
        <v>--</v>
      </c>
      <c r="T30" s="525">
        <f t="shared" si="10"/>
      </c>
      <c r="U30" s="362">
        <f t="shared" si="11"/>
        <v>0</v>
      </c>
      <c r="V30" s="44">
        <f t="shared" si="12"/>
      </c>
      <c r="W30" s="192"/>
    </row>
    <row r="31" spans="2:23" s="15" customFormat="1" ht="16.5" customHeight="1">
      <c r="B31" s="91"/>
      <c r="C31" s="450"/>
      <c r="D31" s="518"/>
      <c r="E31" s="518"/>
      <c r="F31" s="518"/>
      <c r="G31" s="424">
        <f t="shared" si="0"/>
        <v>0</v>
      </c>
      <c r="H31" s="504"/>
      <c r="I31" s="455"/>
      <c r="J31" s="42">
        <f t="shared" si="1"/>
      </c>
      <c r="K31" s="23">
        <f t="shared" si="2"/>
      </c>
      <c r="L31" s="457"/>
      <c r="M31" s="465">
        <f t="shared" si="3"/>
      </c>
      <c r="N31" s="459">
        <f t="shared" si="4"/>
      </c>
      <c r="O31" s="520">
        <f t="shared" si="5"/>
        <v>20</v>
      </c>
      <c r="P31" s="521" t="str">
        <f t="shared" si="6"/>
        <v>--</v>
      </c>
      <c r="Q31" s="522" t="str">
        <f t="shared" si="7"/>
        <v>--</v>
      </c>
      <c r="R31" s="523" t="str">
        <f t="shared" si="8"/>
        <v>--</v>
      </c>
      <c r="S31" s="524" t="str">
        <f t="shared" si="9"/>
        <v>--</v>
      </c>
      <c r="T31" s="525">
        <f t="shared" si="10"/>
      </c>
      <c r="U31" s="362">
        <f t="shared" si="11"/>
        <v>0</v>
      </c>
      <c r="V31" s="44">
        <f t="shared" si="12"/>
      </c>
      <c r="W31" s="192"/>
    </row>
    <row r="32" spans="2:23" s="15" customFormat="1" ht="16.5" customHeight="1">
      <c r="B32" s="91"/>
      <c r="C32" s="450"/>
      <c r="D32" s="518"/>
      <c r="E32" s="518"/>
      <c r="F32" s="518"/>
      <c r="G32" s="424">
        <f t="shared" si="0"/>
        <v>0</v>
      </c>
      <c r="H32" s="504"/>
      <c r="I32" s="455"/>
      <c r="J32" s="42">
        <f t="shared" si="1"/>
      </c>
      <c r="K32" s="23">
        <f t="shared" si="2"/>
      </c>
      <c r="L32" s="457"/>
      <c r="M32" s="465">
        <f t="shared" si="3"/>
      </c>
      <c r="N32" s="459">
        <f t="shared" si="4"/>
      </c>
      <c r="O32" s="520">
        <f t="shared" si="5"/>
        <v>20</v>
      </c>
      <c r="P32" s="521" t="str">
        <f t="shared" si="6"/>
        <v>--</v>
      </c>
      <c r="Q32" s="522" t="str">
        <f t="shared" si="7"/>
        <v>--</v>
      </c>
      <c r="R32" s="523" t="str">
        <f t="shared" si="8"/>
        <v>--</v>
      </c>
      <c r="S32" s="524" t="str">
        <f t="shared" si="9"/>
        <v>--</v>
      </c>
      <c r="T32" s="525">
        <f t="shared" si="10"/>
      </c>
      <c r="U32" s="362">
        <f t="shared" si="11"/>
        <v>0</v>
      </c>
      <c r="V32" s="44">
        <f t="shared" si="12"/>
      </c>
      <c r="W32" s="192"/>
    </row>
    <row r="33" spans="2:23" s="15" customFormat="1" ht="16.5" customHeight="1">
      <c r="B33" s="91"/>
      <c r="C33" s="450"/>
      <c r="D33" s="518"/>
      <c r="E33" s="518"/>
      <c r="F33" s="518"/>
      <c r="G33" s="424">
        <f t="shared" si="0"/>
        <v>0</v>
      </c>
      <c r="H33" s="504"/>
      <c r="I33" s="455"/>
      <c r="J33" s="42">
        <f t="shared" si="1"/>
      </c>
      <c r="K33" s="23">
        <f t="shared" si="2"/>
      </c>
      <c r="L33" s="457"/>
      <c r="M33" s="465">
        <f t="shared" si="3"/>
      </c>
      <c r="N33" s="459">
        <f t="shared" si="4"/>
      </c>
      <c r="O33" s="520">
        <f t="shared" si="5"/>
        <v>20</v>
      </c>
      <c r="P33" s="521" t="str">
        <f t="shared" si="6"/>
        <v>--</v>
      </c>
      <c r="Q33" s="522" t="str">
        <f t="shared" si="7"/>
        <v>--</v>
      </c>
      <c r="R33" s="523" t="str">
        <f t="shared" si="8"/>
        <v>--</v>
      </c>
      <c r="S33" s="524" t="str">
        <f t="shared" si="9"/>
        <v>--</v>
      </c>
      <c r="T33" s="525">
        <f t="shared" si="10"/>
      </c>
      <c r="U33" s="362">
        <f t="shared" si="11"/>
        <v>0</v>
      </c>
      <c r="V33" s="44">
        <f t="shared" si="12"/>
      </c>
      <c r="W33" s="95"/>
    </row>
    <row r="34" spans="2:23" s="15" customFormat="1" ht="16.5" customHeight="1">
      <c r="B34" s="91"/>
      <c r="C34" s="450"/>
      <c r="D34" s="518"/>
      <c r="E34" s="518"/>
      <c r="F34" s="518"/>
      <c r="G34" s="424">
        <f t="shared" si="0"/>
        <v>0</v>
      </c>
      <c r="H34" s="504"/>
      <c r="I34" s="455"/>
      <c r="J34" s="42">
        <f t="shared" si="1"/>
      </c>
      <c r="K34" s="23">
        <f t="shared" si="2"/>
      </c>
      <c r="L34" s="457"/>
      <c r="M34" s="465">
        <f t="shared" si="3"/>
      </c>
      <c r="N34" s="459">
        <f t="shared" si="4"/>
      </c>
      <c r="O34" s="520">
        <f t="shared" si="5"/>
        <v>20</v>
      </c>
      <c r="P34" s="521" t="str">
        <f t="shared" si="6"/>
        <v>--</v>
      </c>
      <c r="Q34" s="522" t="str">
        <f t="shared" si="7"/>
        <v>--</v>
      </c>
      <c r="R34" s="523" t="str">
        <f t="shared" si="8"/>
        <v>--</v>
      </c>
      <c r="S34" s="524" t="str">
        <f t="shared" si="9"/>
        <v>--</v>
      </c>
      <c r="T34" s="525">
        <f t="shared" si="10"/>
      </c>
      <c r="U34" s="362">
        <f t="shared" si="11"/>
        <v>0</v>
      </c>
      <c r="V34" s="44">
        <f t="shared" si="12"/>
      </c>
      <c r="W34" s="95"/>
    </row>
    <row r="35" spans="2:23" s="15" customFormat="1" ht="16.5" customHeight="1">
      <c r="B35" s="91"/>
      <c r="C35" s="450"/>
      <c r="D35" s="518"/>
      <c r="E35" s="518"/>
      <c r="F35" s="518"/>
      <c r="G35" s="424">
        <f t="shared" si="0"/>
        <v>0</v>
      </c>
      <c r="H35" s="504"/>
      <c r="I35" s="455"/>
      <c r="J35" s="42">
        <f t="shared" si="1"/>
      </c>
      <c r="K35" s="23">
        <f t="shared" si="2"/>
      </c>
      <c r="L35" s="457"/>
      <c r="M35" s="465">
        <f t="shared" si="3"/>
      </c>
      <c r="N35" s="459">
        <f t="shared" si="4"/>
      </c>
      <c r="O35" s="520">
        <f t="shared" si="5"/>
        <v>20</v>
      </c>
      <c r="P35" s="521" t="str">
        <f t="shared" si="6"/>
        <v>--</v>
      </c>
      <c r="Q35" s="522" t="str">
        <f t="shared" si="7"/>
        <v>--</v>
      </c>
      <c r="R35" s="523" t="str">
        <f t="shared" si="8"/>
        <v>--</v>
      </c>
      <c r="S35" s="524" t="str">
        <f t="shared" si="9"/>
        <v>--</v>
      </c>
      <c r="T35" s="525">
        <f t="shared" si="10"/>
      </c>
      <c r="U35" s="362">
        <f t="shared" si="11"/>
        <v>0</v>
      </c>
      <c r="V35" s="44">
        <f t="shared" si="12"/>
      </c>
      <c r="W35" s="95"/>
    </row>
    <row r="36" spans="2:23" s="15" customFormat="1" ht="16.5" customHeight="1">
      <c r="B36" s="91"/>
      <c r="C36" s="450"/>
      <c r="D36" s="518"/>
      <c r="E36" s="518"/>
      <c r="F36" s="518"/>
      <c r="G36" s="424">
        <f t="shared" si="0"/>
        <v>0</v>
      </c>
      <c r="H36" s="504"/>
      <c r="I36" s="455"/>
      <c r="J36" s="42">
        <f t="shared" si="1"/>
      </c>
      <c r="K36" s="23">
        <f t="shared" si="2"/>
      </c>
      <c r="L36" s="457"/>
      <c r="M36" s="465">
        <f t="shared" si="3"/>
      </c>
      <c r="N36" s="459">
        <f t="shared" si="4"/>
      </c>
      <c r="O36" s="520">
        <f t="shared" si="5"/>
        <v>20</v>
      </c>
      <c r="P36" s="521" t="str">
        <f t="shared" si="6"/>
        <v>--</v>
      </c>
      <c r="Q36" s="522" t="str">
        <f t="shared" si="7"/>
        <v>--</v>
      </c>
      <c r="R36" s="523" t="str">
        <f t="shared" si="8"/>
        <v>--</v>
      </c>
      <c r="S36" s="524" t="str">
        <f t="shared" si="9"/>
        <v>--</v>
      </c>
      <c r="T36" s="525">
        <f t="shared" si="10"/>
      </c>
      <c r="U36" s="362">
        <f t="shared" si="11"/>
        <v>0</v>
      </c>
      <c r="V36" s="44">
        <f t="shared" si="12"/>
      </c>
      <c r="W36" s="95"/>
    </row>
    <row r="37" spans="2:23" s="15" customFormat="1" ht="16.5" customHeight="1">
      <c r="B37" s="91"/>
      <c r="C37" s="450"/>
      <c r="D37" s="518"/>
      <c r="E37" s="518"/>
      <c r="F37" s="518"/>
      <c r="G37" s="424">
        <f t="shared" si="0"/>
        <v>0</v>
      </c>
      <c r="H37" s="504"/>
      <c r="I37" s="455"/>
      <c r="J37" s="42">
        <f t="shared" si="1"/>
      </c>
      <c r="K37" s="23">
        <f t="shared" si="2"/>
      </c>
      <c r="L37" s="457"/>
      <c r="M37" s="465">
        <f t="shared" si="3"/>
      </c>
      <c r="N37" s="459">
        <f t="shared" si="4"/>
      </c>
      <c r="O37" s="520">
        <f t="shared" si="5"/>
        <v>20</v>
      </c>
      <c r="P37" s="521" t="str">
        <f t="shared" si="6"/>
        <v>--</v>
      </c>
      <c r="Q37" s="522" t="str">
        <f t="shared" si="7"/>
        <v>--</v>
      </c>
      <c r="R37" s="523" t="str">
        <f t="shared" si="8"/>
        <v>--</v>
      </c>
      <c r="S37" s="524" t="str">
        <f t="shared" si="9"/>
        <v>--</v>
      </c>
      <c r="T37" s="525">
        <f t="shared" si="10"/>
      </c>
      <c r="U37" s="362">
        <f t="shared" si="11"/>
        <v>0</v>
      </c>
      <c r="V37" s="44">
        <f t="shared" si="12"/>
      </c>
      <c r="W37" s="95"/>
    </row>
    <row r="38" spans="2:23" s="15" customFormat="1" ht="16.5" customHeight="1">
      <c r="B38" s="91"/>
      <c r="C38" s="450"/>
      <c r="D38" s="518"/>
      <c r="E38" s="518"/>
      <c r="F38" s="518"/>
      <c r="G38" s="424">
        <f t="shared" si="0"/>
        <v>0</v>
      </c>
      <c r="H38" s="504"/>
      <c r="I38" s="455"/>
      <c r="J38" s="42">
        <f t="shared" si="1"/>
      </c>
      <c r="K38" s="23">
        <f t="shared" si="2"/>
      </c>
      <c r="L38" s="457"/>
      <c r="M38" s="465">
        <f t="shared" si="3"/>
      </c>
      <c r="N38" s="459">
        <f t="shared" si="4"/>
      </c>
      <c r="O38" s="520">
        <f t="shared" si="5"/>
        <v>20</v>
      </c>
      <c r="P38" s="521" t="str">
        <f t="shared" si="6"/>
        <v>--</v>
      </c>
      <c r="Q38" s="522" t="str">
        <f t="shared" si="7"/>
        <v>--</v>
      </c>
      <c r="R38" s="523" t="str">
        <f t="shared" si="8"/>
        <v>--</v>
      </c>
      <c r="S38" s="524" t="str">
        <f t="shared" si="9"/>
        <v>--</v>
      </c>
      <c r="T38" s="525">
        <f t="shared" si="10"/>
      </c>
      <c r="U38" s="362">
        <f t="shared" si="11"/>
        <v>0</v>
      </c>
      <c r="V38" s="44">
        <f t="shared" si="12"/>
      </c>
      <c r="W38" s="95"/>
    </row>
    <row r="39" spans="2:23" s="15" customFormat="1" ht="16.5" customHeight="1">
      <c r="B39" s="91"/>
      <c r="C39" s="450"/>
      <c r="D39" s="518"/>
      <c r="E39" s="518"/>
      <c r="F39" s="518"/>
      <c r="G39" s="424">
        <f t="shared" si="0"/>
        <v>0</v>
      </c>
      <c r="H39" s="504"/>
      <c r="I39" s="455"/>
      <c r="J39" s="42">
        <f t="shared" si="1"/>
      </c>
      <c r="K39" s="23">
        <f t="shared" si="2"/>
      </c>
      <c r="L39" s="457"/>
      <c r="M39" s="465">
        <f t="shared" si="3"/>
      </c>
      <c r="N39" s="459">
        <f t="shared" si="4"/>
      </c>
      <c r="O39" s="520">
        <f t="shared" si="5"/>
        <v>20</v>
      </c>
      <c r="P39" s="521" t="str">
        <f t="shared" si="6"/>
        <v>--</v>
      </c>
      <c r="Q39" s="522" t="str">
        <f t="shared" si="7"/>
        <v>--</v>
      </c>
      <c r="R39" s="523" t="str">
        <f t="shared" si="8"/>
        <v>--</v>
      </c>
      <c r="S39" s="524" t="str">
        <f t="shared" si="9"/>
        <v>--</v>
      </c>
      <c r="T39" s="525">
        <f t="shared" si="10"/>
      </c>
      <c r="U39" s="362">
        <f t="shared" si="11"/>
        <v>0</v>
      </c>
      <c r="V39" s="44">
        <f t="shared" si="12"/>
      </c>
      <c r="W39" s="95"/>
    </row>
    <row r="40" spans="2:23" s="15" customFormat="1" ht="16.5" customHeight="1">
      <c r="B40" s="91"/>
      <c r="C40" s="450"/>
      <c r="D40" s="518"/>
      <c r="E40" s="518"/>
      <c r="F40" s="518"/>
      <c r="G40" s="424">
        <f t="shared" si="0"/>
        <v>0</v>
      </c>
      <c r="H40" s="504"/>
      <c r="I40" s="455"/>
      <c r="J40" s="42">
        <f t="shared" si="1"/>
      </c>
      <c r="K40" s="23">
        <f t="shared" si="2"/>
      </c>
      <c r="L40" s="457"/>
      <c r="M40" s="465">
        <f t="shared" si="3"/>
      </c>
      <c r="N40" s="459">
        <f t="shared" si="4"/>
      </c>
      <c r="O40" s="520">
        <f t="shared" si="5"/>
        <v>20</v>
      </c>
      <c r="P40" s="521" t="str">
        <f t="shared" si="6"/>
        <v>--</v>
      </c>
      <c r="Q40" s="522" t="str">
        <f t="shared" si="7"/>
        <v>--</v>
      </c>
      <c r="R40" s="523" t="str">
        <f t="shared" si="8"/>
        <v>--</v>
      </c>
      <c r="S40" s="524" t="str">
        <f t="shared" si="9"/>
        <v>--</v>
      </c>
      <c r="T40" s="525">
        <f t="shared" si="10"/>
      </c>
      <c r="U40" s="362">
        <f t="shared" si="11"/>
        <v>0</v>
      </c>
      <c r="V40" s="44">
        <f t="shared" si="12"/>
      </c>
      <c r="W40" s="95"/>
    </row>
    <row r="41" spans="2:23" s="15" customFormat="1" ht="16.5" customHeight="1">
      <c r="B41" s="91"/>
      <c r="C41" s="450"/>
      <c r="D41" s="518"/>
      <c r="E41" s="518"/>
      <c r="F41" s="518"/>
      <c r="G41" s="424">
        <f>F41*$F$17</f>
        <v>0</v>
      </c>
      <c r="H41" s="504"/>
      <c r="I41" s="455"/>
      <c r="J41" s="42">
        <f>IF(D41="","",(I41-H41)*24)</f>
      </c>
      <c r="K41" s="23">
        <f>IF(D41="","",ROUND((I41-H41)*24*60,0))</f>
      </c>
      <c r="L41" s="457"/>
      <c r="M41" s="465">
        <f>IF(D41="","","--")</f>
      </c>
      <c r="N41" s="459">
        <f>IF(D41="","",IF(L41="P","--","NO"))</f>
      </c>
      <c r="O41" s="520">
        <f>IF(L41="P",$F$18*0.1,$F$18)</f>
        <v>20</v>
      </c>
      <c r="P41" s="521" t="str">
        <f>IF(L41="P",G41*O41*ROUND(K41/60,2),"--")</f>
        <v>--</v>
      </c>
      <c r="Q41" s="522" t="str">
        <f>IF(AND(L41="F",N41="NO"),G41*O41,"--")</f>
        <v>--</v>
      </c>
      <c r="R41" s="523" t="str">
        <f>IF(L41="F",G41*O41*ROUND(K41/60,2),"--")</f>
        <v>--</v>
      </c>
      <c r="S41" s="524" t="str">
        <f>IF(L41="RF",G41*O41*ROUND(K41/60,2),"--")</f>
        <v>--</v>
      </c>
      <c r="T41" s="525">
        <f>IF(D41="","","SI")</f>
      </c>
      <c r="U41" s="362">
        <f>SUM(P41:S41)*IF(T41="SI",1,2)</f>
        <v>0</v>
      </c>
      <c r="V41" s="44">
        <f>IF(D41="","",U41*$I$18)</f>
      </c>
      <c r="W41" s="95"/>
    </row>
    <row r="42" spans="2:23" s="15" customFormat="1" ht="16.5" customHeight="1">
      <c r="B42" s="91"/>
      <c r="C42" s="450"/>
      <c r="D42" s="518"/>
      <c r="E42" s="518"/>
      <c r="F42" s="518"/>
      <c r="G42" s="424">
        <f>F42*$F$17</f>
        <v>0</v>
      </c>
      <c r="H42" s="504"/>
      <c r="I42" s="455"/>
      <c r="J42" s="42">
        <f>IF(D42="","",(I42-H42)*24)</f>
      </c>
      <c r="K42" s="23">
        <f>IF(D42="","",ROUND((I42-H42)*24*60,0))</f>
      </c>
      <c r="L42" s="457"/>
      <c r="M42" s="465">
        <f>IF(D42="","","--")</f>
      </c>
      <c r="N42" s="459">
        <f>IF(D42="","",IF(L42="P","--","NO"))</f>
      </c>
      <c r="O42" s="520">
        <f>IF(L42="P",$F$18*0.1,$F$18)</f>
        <v>20</v>
      </c>
      <c r="P42" s="521" t="str">
        <f>IF(L42="P",G42*O42*ROUND(K42/60,2),"--")</f>
        <v>--</v>
      </c>
      <c r="Q42" s="522" t="str">
        <f>IF(AND(L42="F",N42="NO"),G42*O42,"--")</f>
        <v>--</v>
      </c>
      <c r="R42" s="523" t="str">
        <f>IF(L42="F",G42*O42*ROUND(K42/60,2),"--")</f>
        <v>--</v>
      </c>
      <c r="S42" s="524" t="str">
        <f>IF(L42="RF",G42*O42*ROUND(K42/60,2),"--")</f>
        <v>--</v>
      </c>
      <c r="T42" s="525">
        <f>IF(D42="","","SI")</f>
      </c>
      <c r="U42" s="362">
        <f>SUM(P42:S42)*IF(T42="SI",1,2)</f>
        <v>0</v>
      </c>
      <c r="V42" s="44">
        <f>IF(D42="","",U42*$I$18)</f>
      </c>
      <c r="W42" s="95"/>
    </row>
    <row r="43" spans="2:23" s="15" customFormat="1" ht="16.5" customHeight="1">
      <c r="B43" s="91"/>
      <c r="C43" s="450"/>
      <c r="D43" s="518"/>
      <c r="E43" s="518"/>
      <c r="F43" s="518"/>
      <c r="G43" s="424">
        <f>F43*$F$17</f>
        <v>0</v>
      </c>
      <c r="H43" s="504"/>
      <c r="I43" s="455"/>
      <c r="J43" s="42">
        <f>IF(D43="","",(I43-H43)*24)</f>
      </c>
      <c r="K43" s="23">
        <f>IF(D43="","",ROUND((I43-H43)*24*60,0))</f>
      </c>
      <c r="L43" s="457"/>
      <c r="M43" s="465">
        <f>IF(D43="","","--")</f>
      </c>
      <c r="N43" s="459">
        <f>IF(D43="","",IF(L43="P","--","NO"))</f>
      </c>
      <c r="O43" s="520">
        <f>IF(L43="P",$F$18*0.1,$F$18)</f>
        <v>20</v>
      </c>
      <c r="P43" s="521" t="str">
        <f>IF(L43="P",G43*O43*ROUND(K43/60,2),"--")</f>
        <v>--</v>
      </c>
      <c r="Q43" s="522" t="str">
        <f>IF(AND(L43="F",N43="NO"),G43*O43,"--")</f>
        <v>--</v>
      </c>
      <c r="R43" s="523" t="str">
        <f>IF(L43="F",G43*O43*ROUND(K43/60,2),"--")</f>
        <v>--</v>
      </c>
      <c r="S43" s="524" t="str">
        <f>IF(L43="RF",G43*O43*ROUND(K43/60,2),"--")</f>
        <v>--</v>
      </c>
      <c r="T43" s="525">
        <f>IF(D43="","","SI")</f>
      </c>
      <c r="U43" s="362">
        <f>SUM(P43:S43)*IF(T43="SI",1,2)</f>
        <v>0</v>
      </c>
      <c r="V43" s="44">
        <f>IF(D43="","",U43*$I$18)</f>
      </c>
      <c r="W43" s="95"/>
    </row>
    <row r="44" spans="2:23" s="15" customFormat="1" ht="16.5" customHeight="1" thickBot="1">
      <c r="B44" s="91"/>
      <c r="C44" s="452"/>
      <c r="D44" s="519"/>
      <c r="E44" s="519"/>
      <c r="F44" s="519"/>
      <c r="G44" s="280"/>
      <c r="H44" s="506"/>
      <c r="I44" s="506"/>
      <c r="J44" s="45"/>
      <c r="K44" s="45"/>
      <c r="L44" s="506"/>
      <c r="M44" s="460"/>
      <c r="N44" s="456"/>
      <c r="O44" s="526"/>
      <c r="P44" s="527"/>
      <c r="Q44" s="528"/>
      <c r="R44" s="529"/>
      <c r="S44" s="530"/>
      <c r="T44" s="531"/>
      <c r="U44" s="343"/>
      <c r="V44" s="218"/>
      <c r="W44" s="95"/>
    </row>
    <row r="45" spans="2:23" s="15" customFormat="1" ht="16.5" customHeight="1" thickBot="1" thickTop="1">
      <c r="B45" s="91"/>
      <c r="C45" s="222" t="s">
        <v>47</v>
      </c>
      <c r="D45" s="223" t="s">
        <v>100</v>
      </c>
      <c r="G45" s="13"/>
      <c r="H45" s="13"/>
      <c r="I45" s="13"/>
      <c r="J45" s="13"/>
      <c r="K45" s="13"/>
      <c r="L45" s="13"/>
      <c r="M45" s="13"/>
      <c r="N45" s="13"/>
      <c r="O45" s="13"/>
      <c r="P45" s="348">
        <f>SUM(P22:P44)</f>
        <v>631.904</v>
      </c>
      <c r="Q45" s="355">
        <f>SUM(Q22:Q44)</f>
        <v>0</v>
      </c>
      <c r="R45" s="356">
        <f>SUM(R22:R44)</f>
        <v>0</v>
      </c>
      <c r="S45" s="360">
        <f>SUM(S22:S44)</f>
        <v>0</v>
      </c>
      <c r="U45" s="363">
        <f>ROUND(SUM(U22:U44),2)</f>
        <v>631.9</v>
      </c>
      <c r="V45" s="58">
        <f>ROUND(SUM(V22:V44),2)</f>
        <v>631.9</v>
      </c>
      <c r="W45" s="193"/>
    </row>
    <row r="46" spans="2:23" s="227" customFormat="1" ht="9.75" thickTop="1">
      <c r="B46" s="228"/>
      <c r="C46" s="224"/>
      <c r="D46" s="226"/>
      <c r="G46" s="238"/>
      <c r="H46" s="238"/>
      <c r="I46" s="238"/>
      <c r="J46" s="238"/>
      <c r="K46" s="238"/>
      <c r="L46" s="238"/>
      <c r="M46" s="238"/>
      <c r="N46" s="238"/>
      <c r="O46" s="238"/>
      <c r="P46" s="236"/>
      <c r="Q46" s="236"/>
      <c r="R46" s="236"/>
      <c r="S46" s="236"/>
      <c r="V46" s="239"/>
      <c r="W46" s="240"/>
    </row>
    <row r="47" spans="2:23" s="15" customFormat="1" ht="16.5" customHeight="1" thickBot="1"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8"/>
    </row>
    <row r="48" spans="4:25" ht="16.5" customHeight="1" thickTop="1">
      <c r="D48" s="5"/>
      <c r="E48" s="5"/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4:25" ht="16.5" customHeight="1">
      <c r="D49" s="5"/>
      <c r="E49" s="5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4:25" ht="16.5" customHeight="1">
      <c r="D50" s="5"/>
      <c r="E50" s="5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4:25" ht="16.5" customHeight="1">
      <c r="D51" s="5"/>
      <c r="E51" s="5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4:25" ht="16.5" customHeight="1">
      <c r="D52" s="5"/>
      <c r="E52" s="5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4:25" ht="16.5" customHeight="1">
      <c r="D53" s="5"/>
      <c r="E53" s="5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4:25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4:25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4:25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4:25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4:25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4:25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4:25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4:25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4:25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4:25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4:25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4:25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4:25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4:25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4:25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4:25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4:25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4:25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4:25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4:25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4:25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4:25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4:25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4:25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4:25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4:25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4:25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4:25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4:25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4:25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4:25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4:25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4:25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4:25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4:25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4:25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4:25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4:25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4:25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4:25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4:25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4:25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4:25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4:25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4:25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4:25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4:25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4:25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4:25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4:25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4:25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4:25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4:25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4:25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4:25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4:25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4:25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4:25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4:25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4:25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4:25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4:25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4:25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4:25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4:25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4:25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4:25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4:25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4:25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4:25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4:25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4:25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4:25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4:25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4:25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4:25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4:25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4:25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4:25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4:25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4:25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4:25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4:25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4:25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4:25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4:25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4:25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4:25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4:25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4:25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4:25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4:25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4:25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4:25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4:25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4:25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4:25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4:25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4:25" ht="16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4:25" ht="16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4:25" ht="16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4:25" ht="16.5" customHeight="1">
      <c r="D155" s="4"/>
      <c r="E155" s="4"/>
      <c r="F155" s="4"/>
      <c r="X155" s="4"/>
      <c r="Y155" s="4"/>
    </row>
    <row r="156" spans="4:6" ht="16.5" customHeight="1">
      <c r="D156" s="4"/>
      <c r="E156" s="4"/>
      <c r="F156" s="4"/>
    </row>
    <row r="157" spans="4:6" ht="16.5" customHeight="1">
      <c r="D157" s="4"/>
      <c r="E157" s="4"/>
      <c r="F157" s="4"/>
    </row>
    <row r="158" spans="4:6" ht="16.5" customHeight="1">
      <c r="D158" s="4"/>
      <c r="E158" s="4"/>
      <c r="F158" s="4"/>
    </row>
    <row r="159" spans="4:6" ht="16.5" customHeight="1">
      <c r="D159" s="4"/>
      <c r="E159" s="4"/>
      <c r="F159" s="4"/>
    </row>
    <row r="160" spans="4:6" ht="16.5" customHeight="1">
      <c r="D160" s="4"/>
      <c r="E160" s="4"/>
      <c r="F160" s="4"/>
    </row>
    <row r="161" ht="16.5" customHeight="1"/>
    <row r="162" ht="16.5" customHeight="1"/>
    <row r="163" ht="16.5" customHeight="1"/>
    <row r="164" ht="16.5" customHeight="1"/>
  </sheetData>
  <mergeCells count="1">
    <mergeCell ref="J16:N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AC155"/>
  <sheetViews>
    <sheetView tabSelected="1" zoomScale="75" zoomScaleNormal="75" workbookViewId="0" topLeftCell="A9">
      <selection activeCell="F14" sqref="F1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59" customFormat="1" ht="26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428"/>
    </row>
    <row r="2" spans="1:28" s="59" customFormat="1" ht="26.25">
      <c r="A2" s="109"/>
      <c r="B2" s="143" t="str">
        <f>+'tot-0105'!B2</f>
        <v>ANEXO VI.2. al Memorandum  D.T.E.E. N°1046   /2009</v>
      </c>
      <c r="C2" s="143"/>
      <c r="D2" s="143"/>
      <c r="E2" s="60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1:28" s="15" customFormat="1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s="66" customFormat="1" ht="11.25">
      <c r="A4" s="166" t="s">
        <v>56</v>
      </c>
      <c r="B4" s="167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</row>
    <row r="5" spans="1:28" s="66" customFormat="1" ht="11.25">
      <c r="A5" s="166" t="s">
        <v>15</v>
      </c>
      <c r="B5" s="167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</row>
    <row r="6" spans="1:28" s="15" customFormat="1" ht="13.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15" customFormat="1" ht="13.5" thickTop="1">
      <c r="A7" s="35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12"/>
    </row>
    <row r="8" spans="1:28" s="9" customFormat="1" ht="20.25">
      <c r="A8" s="145"/>
      <c r="B8" s="146"/>
      <c r="C8" s="145"/>
      <c r="D8" s="148" t="s">
        <v>28</v>
      </c>
      <c r="E8" s="145"/>
      <c r="F8" s="145"/>
      <c r="G8" s="147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27"/>
      <c r="S8" s="27"/>
      <c r="T8" s="27"/>
      <c r="U8" s="27"/>
      <c r="V8" s="27"/>
      <c r="W8" s="27"/>
      <c r="X8" s="27"/>
      <c r="Y8" s="27"/>
      <c r="Z8" s="27"/>
      <c r="AA8" s="27"/>
      <c r="AB8" s="121"/>
    </row>
    <row r="9" spans="1:28" s="15" customFormat="1" ht="12.75">
      <c r="A9" s="35"/>
      <c r="B9" s="136"/>
      <c r="C9" s="35"/>
      <c r="D9" s="36"/>
      <c r="E9" s="142"/>
      <c r="F9" s="35"/>
      <c r="G9" s="36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113"/>
    </row>
    <row r="10" spans="1:28" s="9" customFormat="1" ht="20.25">
      <c r="A10" s="145"/>
      <c r="B10" s="146"/>
      <c r="C10" s="145"/>
      <c r="D10" s="6" t="s">
        <v>79</v>
      </c>
      <c r="E10" s="145"/>
      <c r="F10" s="38"/>
      <c r="G10" s="27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121"/>
    </row>
    <row r="11" spans="1:28" s="15" customFormat="1" ht="12.75">
      <c r="A11" s="35"/>
      <c r="B11" s="136"/>
      <c r="C11" s="35"/>
      <c r="D11" s="36"/>
      <c r="E11" s="36"/>
      <c r="F11" s="36"/>
      <c r="G11" s="137"/>
      <c r="H11" s="36"/>
      <c r="I11" s="36"/>
      <c r="J11" s="36"/>
      <c r="K11" s="36"/>
      <c r="L11" s="36"/>
      <c r="M11" s="35"/>
      <c r="N11" s="35"/>
      <c r="O11" s="35"/>
      <c r="P11" s="35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113"/>
    </row>
    <row r="12" spans="1:28" s="14" customFormat="1" ht="19.5">
      <c r="A12" s="150"/>
      <c r="B12" s="151" t="str">
        <f>+'tot-0105'!B14</f>
        <v>Desde el 01 al 31 de mayo de 2007</v>
      </c>
      <c r="C12" s="152"/>
      <c r="D12" s="153"/>
      <c r="E12" s="153"/>
      <c r="F12" s="153"/>
      <c r="G12" s="153"/>
      <c r="H12" s="153"/>
      <c r="I12" s="153"/>
      <c r="J12" s="153"/>
      <c r="K12" s="153"/>
      <c r="L12" s="153"/>
      <c r="M12" s="152"/>
      <c r="N12" s="152"/>
      <c r="O12" s="152"/>
      <c r="P12" s="152"/>
      <c r="Q12" s="152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4"/>
    </row>
    <row r="13" spans="1:28" s="15" customFormat="1" ht="13.5" thickBot="1">
      <c r="A13" s="35"/>
      <c r="B13" s="136"/>
      <c r="C13" s="35"/>
      <c r="D13" s="36"/>
      <c r="E13" s="36"/>
      <c r="F13" s="36"/>
      <c r="G13" s="137"/>
      <c r="H13" s="36"/>
      <c r="I13" s="36"/>
      <c r="J13" s="36"/>
      <c r="K13" s="36"/>
      <c r="L13" s="36"/>
      <c r="M13" s="35"/>
      <c r="N13" s="35"/>
      <c r="O13" s="35"/>
      <c r="P13" s="35"/>
      <c r="Q13" s="3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113"/>
    </row>
    <row r="14" spans="1:28" s="15" customFormat="1" ht="16.5" customHeight="1" thickBot="1" thickTop="1">
      <c r="A14" s="35"/>
      <c r="B14" s="136"/>
      <c r="C14" s="35"/>
      <c r="D14" s="281" t="s">
        <v>57</v>
      </c>
      <c r="E14" s="282"/>
      <c r="F14" s="283">
        <v>0.059</v>
      </c>
      <c r="H14" s="35"/>
      <c r="I14" s="35"/>
      <c r="J14" s="35"/>
      <c r="K14" s="35"/>
      <c r="L14" s="35"/>
      <c r="M14" s="35"/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13"/>
    </row>
    <row r="15" spans="1:28" s="15" customFormat="1" ht="16.5" customHeight="1" thickBot="1" thickTop="1">
      <c r="A15" s="35"/>
      <c r="B15" s="136"/>
      <c r="C15" s="35"/>
      <c r="D15" s="155" t="s">
        <v>58</v>
      </c>
      <c r="E15" s="156"/>
      <c r="F15" s="157">
        <v>200</v>
      </c>
      <c r="G1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7"/>
      <c r="W15" s="37"/>
      <c r="X15" s="37"/>
      <c r="Y15" s="37"/>
      <c r="Z15" s="37"/>
      <c r="AA15" s="35"/>
      <c r="AB15" s="113"/>
    </row>
    <row r="16" spans="1:28" s="15" customFormat="1" ht="16.5" customHeight="1" thickBot="1" thickTop="1">
      <c r="A16" s="35"/>
      <c r="B16" s="136"/>
      <c r="C16" s="35"/>
      <c r="D16" s="36"/>
      <c r="E16" s="36"/>
      <c r="F16" s="36"/>
      <c r="G16" s="138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113"/>
    </row>
    <row r="17" spans="1:28" s="15" customFormat="1" ht="33.75" customHeight="1" thickBot="1" thickTop="1">
      <c r="A17" s="35"/>
      <c r="B17" s="136"/>
      <c r="C17" s="158" t="s">
        <v>29</v>
      </c>
      <c r="D17" s="161" t="s">
        <v>59</v>
      </c>
      <c r="E17" s="159" t="s">
        <v>10</v>
      </c>
      <c r="F17" s="162" t="s">
        <v>60</v>
      </c>
      <c r="G17" s="163" t="s">
        <v>30</v>
      </c>
      <c r="H17" s="278" t="s">
        <v>33</v>
      </c>
      <c r="I17" s="159" t="s">
        <v>34</v>
      </c>
      <c r="J17" s="159" t="s">
        <v>35</v>
      </c>
      <c r="K17" s="161" t="s">
        <v>61</v>
      </c>
      <c r="L17" s="161" t="s">
        <v>37</v>
      </c>
      <c r="M17" s="129" t="s">
        <v>38</v>
      </c>
      <c r="N17" s="129" t="s">
        <v>39</v>
      </c>
      <c r="O17" s="160" t="s">
        <v>40</v>
      </c>
      <c r="P17" s="159" t="s">
        <v>62</v>
      </c>
      <c r="Q17" s="301" t="s">
        <v>32</v>
      </c>
      <c r="R17" s="303" t="s">
        <v>41</v>
      </c>
      <c r="S17" s="306" t="s">
        <v>42</v>
      </c>
      <c r="T17" s="276" t="s">
        <v>63</v>
      </c>
      <c r="U17" s="277"/>
      <c r="V17" s="313" t="s">
        <v>64</v>
      </c>
      <c r="W17" s="314"/>
      <c r="X17" s="320" t="s">
        <v>43</v>
      </c>
      <c r="Y17" s="322" t="s">
        <v>44</v>
      </c>
      <c r="Z17" s="131" t="s">
        <v>45</v>
      </c>
      <c r="AA17" s="163" t="s">
        <v>46</v>
      </c>
      <c r="AB17" s="113"/>
    </row>
    <row r="18" spans="1:28" s="15" customFormat="1" ht="16.5" customHeight="1" thickTop="1">
      <c r="A18" s="35"/>
      <c r="B18" s="136"/>
      <c r="C18" s="298"/>
      <c r="D18" s="298"/>
      <c r="E18" s="298"/>
      <c r="F18" s="298"/>
      <c r="G18" s="299"/>
      <c r="H18" s="297"/>
      <c r="I18" s="298"/>
      <c r="J18" s="298"/>
      <c r="K18" s="298"/>
      <c r="L18" s="298"/>
      <c r="M18" s="298"/>
      <c r="N18" s="292"/>
      <c r="O18" s="300"/>
      <c r="P18" s="298"/>
      <c r="Q18" s="302"/>
      <c r="R18" s="304"/>
      <c r="S18" s="307"/>
      <c r="T18" s="309"/>
      <c r="U18" s="310"/>
      <c r="V18" s="315"/>
      <c r="W18" s="316"/>
      <c r="X18" s="321"/>
      <c r="Y18" s="323"/>
      <c r="Z18" s="300"/>
      <c r="AA18" s="425"/>
      <c r="AB18" s="113"/>
    </row>
    <row r="19" spans="1:28" s="15" customFormat="1" ht="16.5" customHeight="1">
      <c r="A19" s="35"/>
      <c r="B19" s="136"/>
      <c r="C19" s="29">
        <v>73</v>
      </c>
      <c r="D19" s="29" t="s">
        <v>89</v>
      </c>
      <c r="E19" s="29" t="s">
        <v>90</v>
      </c>
      <c r="F19" s="29">
        <v>300</v>
      </c>
      <c r="G19" s="30" t="s">
        <v>2</v>
      </c>
      <c r="H19" s="424">
        <f aca="true" t="shared" si="0" ref="H19:H39">F19*$F$14</f>
        <v>17.7</v>
      </c>
      <c r="I19" s="539">
        <v>39221</v>
      </c>
      <c r="J19" s="539">
        <v>39221.458333333336</v>
      </c>
      <c r="K19" s="31">
        <f>IF(D19="","",(J19-I19)*24)</f>
        <v>11.000000000058208</v>
      </c>
      <c r="L19" s="32">
        <f>IF(D19="","",ROUND((J19-I19)*24*60,0))</f>
        <v>660</v>
      </c>
      <c r="M19" s="477" t="s">
        <v>88</v>
      </c>
      <c r="N19" s="465" t="str">
        <f>IF(D19="","","--")</f>
        <v>--</v>
      </c>
      <c r="O19" s="478" t="str">
        <f>IF(D19="","",IF(OR(M19="P",M19="RP"),"--","NO"))</f>
        <v>--</v>
      </c>
      <c r="P19" s="459" t="str">
        <f>IF(D19="","","NO")</f>
        <v>NO</v>
      </c>
      <c r="Q19" s="498">
        <f>$F$15*IF(OR(M19="P",M19="RP"),0.1,1)*IF(P19="SI",1,0.1)</f>
        <v>2</v>
      </c>
      <c r="R19" s="481">
        <f>IF(M19="P",H19*Q19*ROUND(L19/60,2),"--")</f>
        <v>389.4</v>
      </c>
      <c r="S19" s="482" t="str">
        <f>IF(M19="RP",H19*Q19*N19/100*ROUND(L19/60,2),"--")</f>
        <v>--</v>
      </c>
      <c r="T19" s="483" t="str">
        <f>IF(AND(M19="F",O19="NO"),H19*Q19,"--")</f>
        <v>--</v>
      </c>
      <c r="U19" s="484" t="str">
        <f>IF(M19="F",H19*Q19*ROUND(L19/60,2),"--")</f>
        <v>--</v>
      </c>
      <c r="V19" s="485" t="str">
        <f>IF(AND(M19="R",O19="NO"),H19*Q19*N19/100,"--")</f>
        <v>--</v>
      </c>
      <c r="W19" s="486" t="str">
        <f>IF(M19="R",H19*Q19*N19/100*ROUND(L19/60,2),"--")</f>
        <v>--</v>
      </c>
      <c r="X19" s="487" t="str">
        <f>IF(M19="RF",H19*Q19*ROUND(L19/60,2),"--")</f>
        <v>--</v>
      </c>
      <c r="Y19" s="488" t="str">
        <f>IF(M19="RR",H19*Q19*N19/100*ROUND(L19/60,2),"--")</f>
        <v>--</v>
      </c>
      <c r="Z19" s="499" t="str">
        <f>IF(D19="","","SI")</f>
        <v>SI</v>
      </c>
      <c r="AA19" s="164">
        <f>IF(D19="","",SUM(R19:Y19)*IF(Z19="SI",1,2))</f>
        <v>389.4</v>
      </c>
      <c r="AB19" s="113"/>
    </row>
    <row r="20" spans="1:28" s="15" customFormat="1" ht="16.5" customHeight="1">
      <c r="A20" s="35"/>
      <c r="B20" s="136"/>
      <c r="C20" s="451"/>
      <c r="D20" s="466"/>
      <c r="E20" s="467"/>
      <c r="F20" s="468"/>
      <c r="G20" s="469"/>
      <c r="H20" s="424">
        <f t="shared" si="0"/>
        <v>0</v>
      </c>
      <c r="I20" s="475"/>
      <c r="J20" s="475"/>
      <c r="K20" s="31">
        <f aca="true" t="shared" si="1" ref="K20:K39">IF(D20="","",(J20-I20)*24)</f>
      </c>
      <c r="L20" s="32">
        <f aca="true" t="shared" si="2" ref="L20:L39">IF(D20="","",ROUND((J20-I20)*24*60,0))</f>
      </c>
      <c r="M20" s="477"/>
      <c r="N20" s="465">
        <f aca="true" t="shared" si="3" ref="N20:N39">IF(D20="","","--")</f>
      </c>
      <c r="O20" s="478">
        <f>IF(D20="","",IF(OR(M20="P",M20="RP"),"--","NO"))</f>
      </c>
      <c r="P20" s="459">
        <f aca="true" t="shared" si="4" ref="P20:P39">IF(D20="","","NO")</f>
      </c>
      <c r="Q20" s="498">
        <f aca="true" t="shared" si="5" ref="Q20:Q39">$F$15*IF(OR(M20="P",M20="RP"),0.1,1)*IF(P20="SI",1,0.1)</f>
        <v>20</v>
      </c>
      <c r="R20" s="481" t="str">
        <f aca="true" t="shared" si="6" ref="R20:R39">IF(M20="P",H20*Q20*ROUND(L20/60,2),"--")</f>
        <v>--</v>
      </c>
      <c r="S20" s="482" t="str">
        <f aca="true" t="shared" si="7" ref="S20:S39">IF(M20="RP",H20*Q20*N20/100*ROUND(L20/60,2),"--")</f>
        <v>--</v>
      </c>
      <c r="T20" s="483" t="str">
        <f aca="true" t="shared" si="8" ref="T20:T39">IF(AND(M20="F",O20="NO"),H20*Q20,"--")</f>
        <v>--</v>
      </c>
      <c r="U20" s="484" t="str">
        <f aca="true" t="shared" si="9" ref="U20:U39">IF(M20="F",H20*Q20*ROUND(L20/60,2),"--")</f>
        <v>--</v>
      </c>
      <c r="V20" s="485" t="str">
        <f aca="true" t="shared" si="10" ref="V20:V39">IF(AND(M20="R",O20="NO"),H20*Q20*N20/100,"--")</f>
        <v>--</v>
      </c>
      <c r="W20" s="486" t="str">
        <f aca="true" t="shared" si="11" ref="W20:W39">IF(M20="R",H20*Q20*N20/100*ROUND(L20/60,2),"--")</f>
        <v>--</v>
      </c>
      <c r="X20" s="487" t="str">
        <f aca="true" t="shared" si="12" ref="X20:X39">IF(M20="RF",H20*Q20*ROUND(L20/60,2),"--")</f>
        <v>--</v>
      </c>
      <c r="Y20" s="488" t="str">
        <f aca="true" t="shared" si="13" ref="Y20:Y39">IF(M20="RR",H20*Q20*N20/100*ROUND(L20/60,2),"--")</f>
        <v>--</v>
      </c>
      <c r="Z20" s="499">
        <f aca="true" t="shared" si="14" ref="Z20:Z39">IF(D20="","","SI")</f>
      </c>
      <c r="AA20" s="164">
        <f aca="true" t="shared" si="15" ref="AA20:AA39">IF(D20="","",SUM(R20:Y20)*IF(Z20="SI",1,2))</f>
      </c>
      <c r="AB20" s="113"/>
    </row>
    <row r="21" spans="1:28" s="15" customFormat="1" ht="16.5" customHeight="1">
      <c r="A21" s="35"/>
      <c r="B21" s="136"/>
      <c r="C21" s="451"/>
      <c r="D21" s="466"/>
      <c r="E21" s="467"/>
      <c r="F21" s="468"/>
      <c r="G21" s="469"/>
      <c r="H21" s="424">
        <f t="shared" si="0"/>
        <v>0</v>
      </c>
      <c r="I21" s="475"/>
      <c r="J21" s="475"/>
      <c r="K21" s="31">
        <f t="shared" si="1"/>
      </c>
      <c r="L21" s="32">
        <f t="shared" si="2"/>
      </c>
      <c r="M21" s="477"/>
      <c r="N21" s="465">
        <f t="shared" si="3"/>
      </c>
      <c r="O21" s="478">
        <f aca="true" t="shared" si="16" ref="O21:O39">IF(D21="","",IF(M21="P","--","NO"))</f>
      </c>
      <c r="P21" s="459">
        <f t="shared" si="4"/>
      </c>
      <c r="Q21" s="498">
        <f t="shared" si="5"/>
        <v>20</v>
      </c>
      <c r="R21" s="481" t="str">
        <f t="shared" si="6"/>
        <v>--</v>
      </c>
      <c r="S21" s="482" t="str">
        <f t="shared" si="7"/>
        <v>--</v>
      </c>
      <c r="T21" s="483" t="str">
        <f t="shared" si="8"/>
        <v>--</v>
      </c>
      <c r="U21" s="484" t="str">
        <f t="shared" si="9"/>
        <v>--</v>
      </c>
      <c r="V21" s="485" t="str">
        <f t="shared" si="10"/>
        <v>--</v>
      </c>
      <c r="W21" s="486" t="str">
        <f t="shared" si="11"/>
        <v>--</v>
      </c>
      <c r="X21" s="487" t="str">
        <f t="shared" si="12"/>
        <v>--</v>
      </c>
      <c r="Y21" s="488" t="str">
        <f t="shared" si="13"/>
        <v>--</v>
      </c>
      <c r="Z21" s="499">
        <f t="shared" si="14"/>
      </c>
      <c r="AA21" s="164">
        <f t="shared" si="15"/>
      </c>
      <c r="AB21" s="113"/>
    </row>
    <row r="22" spans="1:28" s="15" customFormat="1" ht="16.5" customHeight="1">
      <c r="A22" s="35"/>
      <c r="B22" s="136"/>
      <c r="C22" s="451"/>
      <c r="D22" s="466"/>
      <c r="E22" s="467"/>
      <c r="F22" s="468"/>
      <c r="G22" s="469"/>
      <c r="H22" s="424">
        <f t="shared" si="0"/>
        <v>0</v>
      </c>
      <c r="I22" s="475"/>
      <c r="J22" s="475"/>
      <c r="K22" s="31">
        <f t="shared" si="1"/>
      </c>
      <c r="L22" s="32">
        <f t="shared" si="2"/>
      </c>
      <c r="M22" s="477"/>
      <c r="N22" s="465">
        <f t="shared" si="3"/>
      </c>
      <c r="O22" s="478">
        <f t="shared" si="16"/>
      </c>
      <c r="P22" s="459">
        <f t="shared" si="4"/>
      </c>
      <c r="Q22" s="498">
        <f t="shared" si="5"/>
        <v>20</v>
      </c>
      <c r="R22" s="481" t="str">
        <f t="shared" si="6"/>
        <v>--</v>
      </c>
      <c r="S22" s="482" t="str">
        <f t="shared" si="7"/>
        <v>--</v>
      </c>
      <c r="T22" s="483" t="str">
        <f t="shared" si="8"/>
        <v>--</v>
      </c>
      <c r="U22" s="484" t="str">
        <f t="shared" si="9"/>
        <v>--</v>
      </c>
      <c r="V22" s="485" t="str">
        <f t="shared" si="10"/>
        <v>--</v>
      </c>
      <c r="W22" s="486" t="str">
        <f t="shared" si="11"/>
        <v>--</v>
      </c>
      <c r="X22" s="487" t="str">
        <f t="shared" si="12"/>
        <v>--</v>
      </c>
      <c r="Y22" s="488" t="str">
        <f t="shared" si="13"/>
        <v>--</v>
      </c>
      <c r="Z22" s="499">
        <f t="shared" si="14"/>
      </c>
      <c r="AA22" s="164">
        <f t="shared" si="15"/>
      </c>
      <c r="AB22" s="113"/>
    </row>
    <row r="23" spans="1:28" s="15" customFormat="1" ht="16.5" customHeight="1">
      <c r="A23" s="35"/>
      <c r="B23" s="136"/>
      <c r="C23" s="451"/>
      <c r="D23" s="466"/>
      <c r="E23" s="467"/>
      <c r="F23" s="468"/>
      <c r="G23" s="469"/>
      <c r="H23" s="424">
        <f t="shared" si="0"/>
        <v>0</v>
      </c>
      <c r="I23" s="475"/>
      <c r="J23" s="475"/>
      <c r="K23" s="31">
        <f t="shared" si="1"/>
      </c>
      <c r="L23" s="32">
        <f t="shared" si="2"/>
      </c>
      <c r="M23" s="477"/>
      <c r="N23" s="465">
        <f t="shared" si="3"/>
      </c>
      <c r="O23" s="478">
        <f t="shared" si="16"/>
      </c>
      <c r="P23" s="459">
        <f t="shared" si="4"/>
      </c>
      <c r="Q23" s="498">
        <f t="shared" si="5"/>
        <v>20</v>
      </c>
      <c r="R23" s="481" t="str">
        <f t="shared" si="6"/>
        <v>--</v>
      </c>
      <c r="S23" s="482" t="str">
        <f t="shared" si="7"/>
        <v>--</v>
      </c>
      <c r="T23" s="483" t="str">
        <f t="shared" si="8"/>
        <v>--</v>
      </c>
      <c r="U23" s="484" t="str">
        <f t="shared" si="9"/>
        <v>--</v>
      </c>
      <c r="V23" s="485" t="str">
        <f t="shared" si="10"/>
        <v>--</v>
      </c>
      <c r="W23" s="486" t="str">
        <f t="shared" si="11"/>
        <v>--</v>
      </c>
      <c r="X23" s="487" t="str">
        <f t="shared" si="12"/>
        <v>--</v>
      </c>
      <c r="Y23" s="488" t="str">
        <f t="shared" si="13"/>
        <v>--</v>
      </c>
      <c r="Z23" s="499">
        <f t="shared" si="14"/>
      </c>
      <c r="AA23" s="164">
        <f t="shared" si="15"/>
      </c>
      <c r="AB23" s="113"/>
    </row>
    <row r="24" spans="1:28" s="15" customFormat="1" ht="16.5" customHeight="1">
      <c r="A24" s="35"/>
      <c r="B24" s="136"/>
      <c r="C24" s="451"/>
      <c r="D24" s="466"/>
      <c r="E24" s="467"/>
      <c r="F24" s="468"/>
      <c r="G24" s="469"/>
      <c r="H24" s="424">
        <f t="shared" si="0"/>
        <v>0</v>
      </c>
      <c r="I24" s="475"/>
      <c r="J24" s="475"/>
      <c r="K24" s="31">
        <f t="shared" si="1"/>
      </c>
      <c r="L24" s="32">
        <f t="shared" si="2"/>
      </c>
      <c r="M24" s="477"/>
      <c r="N24" s="465">
        <f t="shared" si="3"/>
      </c>
      <c r="O24" s="478">
        <f t="shared" si="16"/>
      </c>
      <c r="P24" s="459">
        <f t="shared" si="4"/>
      </c>
      <c r="Q24" s="498">
        <f t="shared" si="5"/>
        <v>20</v>
      </c>
      <c r="R24" s="481" t="str">
        <f t="shared" si="6"/>
        <v>--</v>
      </c>
      <c r="S24" s="482" t="str">
        <f t="shared" si="7"/>
        <v>--</v>
      </c>
      <c r="T24" s="483" t="str">
        <f t="shared" si="8"/>
        <v>--</v>
      </c>
      <c r="U24" s="484" t="str">
        <f t="shared" si="9"/>
        <v>--</v>
      </c>
      <c r="V24" s="485" t="str">
        <f t="shared" si="10"/>
        <v>--</v>
      </c>
      <c r="W24" s="486" t="str">
        <f t="shared" si="11"/>
        <v>--</v>
      </c>
      <c r="X24" s="487" t="str">
        <f t="shared" si="12"/>
        <v>--</v>
      </c>
      <c r="Y24" s="488" t="str">
        <f t="shared" si="13"/>
        <v>--</v>
      </c>
      <c r="Z24" s="499">
        <f t="shared" si="14"/>
      </c>
      <c r="AA24" s="164">
        <f t="shared" si="15"/>
      </c>
      <c r="AB24" s="113"/>
    </row>
    <row r="25" spans="1:28" s="15" customFormat="1" ht="16.5" customHeight="1">
      <c r="A25" s="35"/>
      <c r="B25" s="136"/>
      <c r="C25" s="451"/>
      <c r="D25" s="466"/>
      <c r="E25" s="467"/>
      <c r="F25" s="468"/>
      <c r="G25" s="469"/>
      <c r="H25" s="424">
        <f t="shared" si="0"/>
        <v>0</v>
      </c>
      <c r="I25" s="475"/>
      <c r="J25" s="475"/>
      <c r="K25" s="31">
        <f t="shared" si="1"/>
      </c>
      <c r="L25" s="32">
        <f t="shared" si="2"/>
      </c>
      <c r="M25" s="477"/>
      <c r="N25" s="465">
        <f t="shared" si="3"/>
      </c>
      <c r="O25" s="478">
        <f t="shared" si="16"/>
      </c>
      <c r="P25" s="459">
        <f t="shared" si="4"/>
      </c>
      <c r="Q25" s="498">
        <f t="shared" si="5"/>
        <v>20</v>
      </c>
      <c r="R25" s="481" t="str">
        <f t="shared" si="6"/>
        <v>--</v>
      </c>
      <c r="S25" s="482" t="str">
        <f t="shared" si="7"/>
        <v>--</v>
      </c>
      <c r="T25" s="483" t="str">
        <f t="shared" si="8"/>
        <v>--</v>
      </c>
      <c r="U25" s="484" t="str">
        <f t="shared" si="9"/>
        <v>--</v>
      </c>
      <c r="V25" s="485" t="str">
        <f t="shared" si="10"/>
        <v>--</v>
      </c>
      <c r="W25" s="486" t="str">
        <f t="shared" si="11"/>
        <v>--</v>
      </c>
      <c r="X25" s="487" t="str">
        <f t="shared" si="12"/>
        <v>--</v>
      </c>
      <c r="Y25" s="488" t="str">
        <f t="shared" si="13"/>
        <v>--</v>
      </c>
      <c r="Z25" s="499">
        <f t="shared" si="14"/>
      </c>
      <c r="AA25" s="164">
        <f t="shared" si="15"/>
      </c>
      <c r="AB25" s="113"/>
    </row>
    <row r="26" spans="1:29" s="15" customFormat="1" ht="16.5" customHeight="1">
      <c r="A26" s="35"/>
      <c r="B26" s="136"/>
      <c r="C26" s="451"/>
      <c r="D26" s="466"/>
      <c r="E26" s="467"/>
      <c r="F26" s="468"/>
      <c r="G26" s="469"/>
      <c r="H26" s="424">
        <f t="shared" si="0"/>
        <v>0</v>
      </c>
      <c r="I26" s="475"/>
      <c r="J26" s="475"/>
      <c r="K26" s="31">
        <f t="shared" si="1"/>
      </c>
      <c r="L26" s="32">
        <f t="shared" si="2"/>
      </c>
      <c r="M26" s="477"/>
      <c r="N26" s="465">
        <f t="shared" si="3"/>
      </c>
      <c r="O26" s="478">
        <f t="shared" si="16"/>
      </c>
      <c r="P26" s="459">
        <f t="shared" si="4"/>
      </c>
      <c r="Q26" s="498">
        <f t="shared" si="5"/>
        <v>20</v>
      </c>
      <c r="R26" s="481" t="str">
        <f t="shared" si="6"/>
        <v>--</v>
      </c>
      <c r="S26" s="482" t="str">
        <f t="shared" si="7"/>
        <v>--</v>
      </c>
      <c r="T26" s="483" t="str">
        <f t="shared" si="8"/>
        <v>--</v>
      </c>
      <c r="U26" s="484" t="str">
        <f t="shared" si="9"/>
        <v>--</v>
      </c>
      <c r="V26" s="485" t="str">
        <f t="shared" si="10"/>
        <v>--</v>
      </c>
      <c r="W26" s="486" t="str">
        <f t="shared" si="11"/>
        <v>--</v>
      </c>
      <c r="X26" s="487" t="str">
        <f t="shared" si="12"/>
        <v>--</v>
      </c>
      <c r="Y26" s="488" t="str">
        <f t="shared" si="13"/>
        <v>--</v>
      </c>
      <c r="Z26" s="499">
        <f t="shared" si="14"/>
      </c>
      <c r="AA26" s="164">
        <f t="shared" si="15"/>
      </c>
      <c r="AB26" s="113"/>
      <c r="AC26" s="36"/>
    </row>
    <row r="27" spans="1:28" s="15" customFormat="1" ht="16.5" customHeight="1">
      <c r="A27" s="35"/>
      <c r="B27" s="136"/>
      <c r="C27" s="451"/>
      <c r="D27" s="466"/>
      <c r="E27" s="467"/>
      <c r="F27" s="468"/>
      <c r="G27" s="469"/>
      <c r="H27" s="424">
        <f t="shared" si="0"/>
        <v>0</v>
      </c>
      <c r="I27" s="475"/>
      <c r="J27" s="475"/>
      <c r="K27" s="31">
        <f t="shared" si="1"/>
      </c>
      <c r="L27" s="32">
        <f t="shared" si="2"/>
      </c>
      <c r="M27" s="477"/>
      <c r="N27" s="465">
        <f t="shared" si="3"/>
      </c>
      <c r="O27" s="478">
        <f t="shared" si="16"/>
      </c>
      <c r="P27" s="459">
        <f t="shared" si="4"/>
      </c>
      <c r="Q27" s="498">
        <f t="shared" si="5"/>
        <v>20</v>
      </c>
      <c r="R27" s="481" t="str">
        <f t="shared" si="6"/>
        <v>--</v>
      </c>
      <c r="S27" s="482" t="str">
        <f t="shared" si="7"/>
        <v>--</v>
      </c>
      <c r="T27" s="483" t="str">
        <f t="shared" si="8"/>
        <v>--</v>
      </c>
      <c r="U27" s="484" t="str">
        <f t="shared" si="9"/>
        <v>--</v>
      </c>
      <c r="V27" s="485" t="str">
        <f t="shared" si="10"/>
        <v>--</v>
      </c>
      <c r="W27" s="486" t="str">
        <f t="shared" si="11"/>
        <v>--</v>
      </c>
      <c r="X27" s="487" t="str">
        <f t="shared" si="12"/>
        <v>--</v>
      </c>
      <c r="Y27" s="488" t="str">
        <f t="shared" si="13"/>
        <v>--</v>
      </c>
      <c r="Z27" s="499">
        <f t="shared" si="14"/>
      </c>
      <c r="AA27" s="164">
        <f t="shared" si="15"/>
      </c>
      <c r="AB27" s="113"/>
    </row>
    <row r="28" spans="1:28" s="15" customFormat="1" ht="16.5" customHeight="1">
      <c r="A28" s="35"/>
      <c r="B28" s="136"/>
      <c r="C28" s="451"/>
      <c r="D28" s="466"/>
      <c r="E28" s="467"/>
      <c r="F28" s="468"/>
      <c r="G28" s="469"/>
      <c r="H28" s="424">
        <f t="shared" si="0"/>
        <v>0</v>
      </c>
      <c r="I28" s="475"/>
      <c r="J28" s="475"/>
      <c r="K28" s="31">
        <f t="shared" si="1"/>
      </c>
      <c r="L28" s="32">
        <f t="shared" si="2"/>
      </c>
      <c r="M28" s="477"/>
      <c r="N28" s="465">
        <f t="shared" si="3"/>
      </c>
      <c r="O28" s="478">
        <f t="shared" si="16"/>
      </c>
      <c r="P28" s="459">
        <f t="shared" si="4"/>
      </c>
      <c r="Q28" s="498">
        <f t="shared" si="5"/>
        <v>20</v>
      </c>
      <c r="R28" s="481" t="str">
        <f t="shared" si="6"/>
        <v>--</v>
      </c>
      <c r="S28" s="482" t="str">
        <f t="shared" si="7"/>
        <v>--</v>
      </c>
      <c r="T28" s="483" t="str">
        <f t="shared" si="8"/>
        <v>--</v>
      </c>
      <c r="U28" s="484" t="str">
        <f t="shared" si="9"/>
        <v>--</v>
      </c>
      <c r="V28" s="485" t="str">
        <f t="shared" si="10"/>
        <v>--</v>
      </c>
      <c r="W28" s="486" t="str">
        <f t="shared" si="11"/>
        <v>--</v>
      </c>
      <c r="X28" s="487" t="str">
        <f t="shared" si="12"/>
        <v>--</v>
      </c>
      <c r="Y28" s="488" t="str">
        <f t="shared" si="13"/>
        <v>--</v>
      </c>
      <c r="Z28" s="499">
        <f t="shared" si="14"/>
      </c>
      <c r="AA28" s="164">
        <f t="shared" si="15"/>
      </c>
      <c r="AB28" s="113"/>
    </row>
    <row r="29" spans="1:28" s="15" customFormat="1" ht="16.5" customHeight="1">
      <c r="A29" s="35"/>
      <c r="B29" s="136"/>
      <c r="C29" s="451"/>
      <c r="D29" s="466"/>
      <c r="E29" s="467"/>
      <c r="F29" s="468"/>
      <c r="G29" s="469"/>
      <c r="H29" s="424">
        <f t="shared" si="0"/>
        <v>0</v>
      </c>
      <c r="I29" s="475"/>
      <c r="J29" s="475"/>
      <c r="K29" s="31">
        <f t="shared" si="1"/>
      </c>
      <c r="L29" s="32">
        <f t="shared" si="2"/>
      </c>
      <c r="M29" s="477"/>
      <c r="N29" s="465">
        <f t="shared" si="3"/>
      </c>
      <c r="O29" s="478">
        <f t="shared" si="16"/>
      </c>
      <c r="P29" s="459">
        <f t="shared" si="4"/>
      </c>
      <c r="Q29" s="498">
        <f t="shared" si="5"/>
        <v>20</v>
      </c>
      <c r="R29" s="481" t="str">
        <f t="shared" si="6"/>
        <v>--</v>
      </c>
      <c r="S29" s="482" t="str">
        <f t="shared" si="7"/>
        <v>--</v>
      </c>
      <c r="T29" s="483" t="str">
        <f t="shared" si="8"/>
        <v>--</v>
      </c>
      <c r="U29" s="484" t="str">
        <f t="shared" si="9"/>
        <v>--</v>
      </c>
      <c r="V29" s="485" t="str">
        <f t="shared" si="10"/>
        <v>--</v>
      </c>
      <c r="W29" s="486" t="str">
        <f t="shared" si="11"/>
        <v>--</v>
      </c>
      <c r="X29" s="487" t="str">
        <f t="shared" si="12"/>
        <v>--</v>
      </c>
      <c r="Y29" s="488" t="str">
        <f t="shared" si="13"/>
        <v>--</v>
      </c>
      <c r="Z29" s="499">
        <f t="shared" si="14"/>
      </c>
      <c r="AA29" s="164">
        <f t="shared" si="15"/>
      </c>
      <c r="AB29" s="113"/>
    </row>
    <row r="30" spans="1:28" s="15" customFormat="1" ht="16.5" customHeight="1">
      <c r="A30" s="35"/>
      <c r="B30" s="136"/>
      <c r="C30" s="451"/>
      <c r="D30" s="466"/>
      <c r="E30" s="470"/>
      <c r="F30" s="468"/>
      <c r="G30" s="469"/>
      <c r="H30" s="424">
        <f t="shared" si="0"/>
        <v>0</v>
      </c>
      <c r="I30" s="475"/>
      <c r="J30" s="475"/>
      <c r="K30" s="31">
        <f t="shared" si="1"/>
      </c>
      <c r="L30" s="32">
        <f t="shared" si="2"/>
      </c>
      <c r="M30" s="477"/>
      <c r="N30" s="465">
        <f t="shared" si="3"/>
      </c>
      <c r="O30" s="478">
        <f t="shared" si="16"/>
      </c>
      <c r="P30" s="459">
        <f t="shared" si="4"/>
      </c>
      <c r="Q30" s="498">
        <f t="shared" si="5"/>
        <v>20</v>
      </c>
      <c r="R30" s="481" t="str">
        <f t="shared" si="6"/>
        <v>--</v>
      </c>
      <c r="S30" s="482" t="str">
        <f t="shared" si="7"/>
        <v>--</v>
      </c>
      <c r="T30" s="483" t="str">
        <f t="shared" si="8"/>
        <v>--</v>
      </c>
      <c r="U30" s="484" t="str">
        <f t="shared" si="9"/>
        <v>--</v>
      </c>
      <c r="V30" s="485" t="str">
        <f t="shared" si="10"/>
        <v>--</v>
      </c>
      <c r="W30" s="486" t="str">
        <f t="shared" si="11"/>
        <v>--</v>
      </c>
      <c r="X30" s="487" t="str">
        <f t="shared" si="12"/>
        <v>--</v>
      </c>
      <c r="Y30" s="488" t="str">
        <f t="shared" si="13"/>
        <v>--</v>
      </c>
      <c r="Z30" s="499">
        <f t="shared" si="14"/>
      </c>
      <c r="AA30" s="164">
        <f t="shared" si="15"/>
      </c>
      <c r="AB30" s="113"/>
    </row>
    <row r="31" spans="1:28" s="15" customFormat="1" ht="16.5" customHeight="1">
      <c r="A31" s="35"/>
      <c r="B31" s="136"/>
      <c r="C31" s="451"/>
      <c r="D31" s="466"/>
      <c r="E31" s="470"/>
      <c r="F31" s="468"/>
      <c r="G31" s="469"/>
      <c r="H31" s="424">
        <f t="shared" si="0"/>
        <v>0</v>
      </c>
      <c r="I31" s="475"/>
      <c r="J31" s="475"/>
      <c r="K31" s="31">
        <f t="shared" si="1"/>
      </c>
      <c r="L31" s="32">
        <f t="shared" si="2"/>
      </c>
      <c r="M31" s="477"/>
      <c r="N31" s="465">
        <f t="shared" si="3"/>
      </c>
      <c r="O31" s="478">
        <f t="shared" si="16"/>
      </c>
      <c r="P31" s="459">
        <f t="shared" si="4"/>
      </c>
      <c r="Q31" s="498">
        <f t="shared" si="5"/>
        <v>20</v>
      </c>
      <c r="R31" s="481" t="str">
        <f t="shared" si="6"/>
        <v>--</v>
      </c>
      <c r="S31" s="482" t="str">
        <f t="shared" si="7"/>
        <v>--</v>
      </c>
      <c r="T31" s="483" t="str">
        <f t="shared" si="8"/>
        <v>--</v>
      </c>
      <c r="U31" s="484" t="str">
        <f t="shared" si="9"/>
        <v>--</v>
      </c>
      <c r="V31" s="485" t="str">
        <f t="shared" si="10"/>
        <v>--</v>
      </c>
      <c r="W31" s="486" t="str">
        <f t="shared" si="11"/>
        <v>--</v>
      </c>
      <c r="X31" s="487" t="str">
        <f t="shared" si="12"/>
        <v>--</v>
      </c>
      <c r="Y31" s="488" t="str">
        <f t="shared" si="13"/>
        <v>--</v>
      </c>
      <c r="Z31" s="499">
        <f t="shared" si="14"/>
      </c>
      <c r="AA31" s="164">
        <f t="shared" si="15"/>
      </c>
      <c r="AB31" s="113"/>
    </row>
    <row r="32" spans="1:28" s="15" customFormat="1" ht="16.5" customHeight="1">
      <c r="A32" s="35"/>
      <c r="B32" s="136"/>
      <c r="C32" s="451"/>
      <c r="D32" s="466"/>
      <c r="E32" s="470"/>
      <c r="F32" s="468"/>
      <c r="G32" s="469"/>
      <c r="H32" s="424">
        <f t="shared" si="0"/>
        <v>0</v>
      </c>
      <c r="I32" s="475"/>
      <c r="J32" s="475"/>
      <c r="K32" s="31">
        <f t="shared" si="1"/>
      </c>
      <c r="L32" s="32">
        <f t="shared" si="2"/>
      </c>
      <c r="M32" s="477"/>
      <c r="N32" s="465">
        <f t="shared" si="3"/>
      </c>
      <c r="O32" s="478">
        <f t="shared" si="16"/>
      </c>
      <c r="P32" s="459">
        <f t="shared" si="4"/>
      </c>
      <c r="Q32" s="498">
        <f t="shared" si="5"/>
        <v>20</v>
      </c>
      <c r="R32" s="481" t="str">
        <f t="shared" si="6"/>
        <v>--</v>
      </c>
      <c r="S32" s="482" t="str">
        <f t="shared" si="7"/>
        <v>--</v>
      </c>
      <c r="T32" s="483" t="str">
        <f t="shared" si="8"/>
        <v>--</v>
      </c>
      <c r="U32" s="484" t="str">
        <f t="shared" si="9"/>
        <v>--</v>
      </c>
      <c r="V32" s="485" t="str">
        <f t="shared" si="10"/>
        <v>--</v>
      </c>
      <c r="W32" s="486" t="str">
        <f t="shared" si="11"/>
        <v>--</v>
      </c>
      <c r="X32" s="487" t="str">
        <f t="shared" si="12"/>
        <v>--</v>
      </c>
      <c r="Y32" s="488" t="str">
        <f t="shared" si="13"/>
        <v>--</v>
      </c>
      <c r="Z32" s="499">
        <f t="shared" si="14"/>
      </c>
      <c r="AA32" s="164">
        <f t="shared" si="15"/>
      </c>
      <c r="AB32" s="113"/>
    </row>
    <row r="33" spans="1:28" s="15" customFormat="1" ht="16.5" customHeight="1">
      <c r="A33" s="35"/>
      <c r="B33" s="136"/>
      <c r="C33" s="451"/>
      <c r="D33" s="466"/>
      <c r="E33" s="470"/>
      <c r="F33" s="468"/>
      <c r="G33" s="469"/>
      <c r="H33" s="424">
        <f t="shared" si="0"/>
        <v>0</v>
      </c>
      <c r="I33" s="475"/>
      <c r="J33" s="475"/>
      <c r="K33" s="31">
        <f t="shared" si="1"/>
      </c>
      <c r="L33" s="32">
        <f t="shared" si="2"/>
      </c>
      <c r="M33" s="477"/>
      <c r="N33" s="465">
        <f t="shared" si="3"/>
      </c>
      <c r="O33" s="478">
        <f t="shared" si="16"/>
      </c>
      <c r="P33" s="459">
        <f t="shared" si="4"/>
      </c>
      <c r="Q33" s="498">
        <f t="shared" si="5"/>
        <v>20</v>
      </c>
      <c r="R33" s="481" t="str">
        <f t="shared" si="6"/>
        <v>--</v>
      </c>
      <c r="S33" s="482" t="str">
        <f t="shared" si="7"/>
        <v>--</v>
      </c>
      <c r="T33" s="483" t="str">
        <f t="shared" si="8"/>
        <v>--</v>
      </c>
      <c r="U33" s="484" t="str">
        <f t="shared" si="9"/>
        <v>--</v>
      </c>
      <c r="V33" s="485" t="str">
        <f t="shared" si="10"/>
        <v>--</v>
      </c>
      <c r="W33" s="486" t="str">
        <f t="shared" si="11"/>
        <v>--</v>
      </c>
      <c r="X33" s="487" t="str">
        <f t="shared" si="12"/>
        <v>--</v>
      </c>
      <c r="Y33" s="488" t="str">
        <f t="shared" si="13"/>
        <v>--</v>
      </c>
      <c r="Z33" s="499">
        <f t="shared" si="14"/>
      </c>
      <c r="AA33" s="164">
        <f t="shared" si="15"/>
      </c>
      <c r="AB33" s="113"/>
    </row>
    <row r="34" spans="1:28" s="15" customFormat="1" ht="16.5" customHeight="1">
      <c r="A34" s="35"/>
      <c r="B34" s="136"/>
      <c r="C34" s="451"/>
      <c r="D34" s="466"/>
      <c r="E34" s="470"/>
      <c r="F34" s="468"/>
      <c r="G34" s="469"/>
      <c r="H34" s="424">
        <f t="shared" si="0"/>
        <v>0</v>
      </c>
      <c r="I34" s="475"/>
      <c r="J34" s="475"/>
      <c r="K34" s="31">
        <f t="shared" si="1"/>
      </c>
      <c r="L34" s="32">
        <f t="shared" si="2"/>
      </c>
      <c r="M34" s="477"/>
      <c r="N34" s="465">
        <f t="shared" si="3"/>
      </c>
      <c r="O34" s="478">
        <f t="shared" si="16"/>
      </c>
      <c r="P34" s="459">
        <f t="shared" si="4"/>
      </c>
      <c r="Q34" s="498">
        <f t="shared" si="5"/>
        <v>20</v>
      </c>
      <c r="R34" s="481" t="str">
        <f t="shared" si="6"/>
        <v>--</v>
      </c>
      <c r="S34" s="482" t="str">
        <f t="shared" si="7"/>
        <v>--</v>
      </c>
      <c r="T34" s="483" t="str">
        <f t="shared" si="8"/>
        <v>--</v>
      </c>
      <c r="U34" s="484" t="str">
        <f t="shared" si="9"/>
        <v>--</v>
      </c>
      <c r="V34" s="485" t="str">
        <f t="shared" si="10"/>
        <v>--</v>
      </c>
      <c r="W34" s="486" t="str">
        <f t="shared" si="11"/>
        <v>--</v>
      </c>
      <c r="X34" s="487" t="str">
        <f t="shared" si="12"/>
        <v>--</v>
      </c>
      <c r="Y34" s="488" t="str">
        <f t="shared" si="13"/>
        <v>--</v>
      </c>
      <c r="Z34" s="499">
        <f t="shared" si="14"/>
      </c>
      <c r="AA34" s="164">
        <f t="shared" si="15"/>
      </c>
      <c r="AB34" s="113"/>
    </row>
    <row r="35" spans="1:28" s="15" customFormat="1" ht="16.5" customHeight="1">
      <c r="A35" s="35"/>
      <c r="B35" s="136"/>
      <c r="C35" s="451"/>
      <c r="D35" s="466"/>
      <c r="E35" s="470"/>
      <c r="F35" s="468"/>
      <c r="G35" s="469"/>
      <c r="H35" s="424">
        <f t="shared" si="0"/>
        <v>0</v>
      </c>
      <c r="I35" s="475"/>
      <c r="J35" s="475"/>
      <c r="K35" s="31">
        <f t="shared" si="1"/>
      </c>
      <c r="L35" s="32">
        <f t="shared" si="2"/>
      </c>
      <c r="M35" s="477"/>
      <c r="N35" s="465">
        <f t="shared" si="3"/>
      </c>
      <c r="O35" s="478">
        <f t="shared" si="16"/>
      </c>
      <c r="P35" s="459">
        <f t="shared" si="4"/>
      </c>
      <c r="Q35" s="498">
        <f t="shared" si="5"/>
        <v>20</v>
      </c>
      <c r="R35" s="481" t="str">
        <f t="shared" si="6"/>
        <v>--</v>
      </c>
      <c r="S35" s="482" t="str">
        <f t="shared" si="7"/>
        <v>--</v>
      </c>
      <c r="T35" s="483" t="str">
        <f t="shared" si="8"/>
        <v>--</v>
      </c>
      <c r="U35" s="484" t="str">
        <f t="shared" si="9"/>
        <v>--</v>
      </c>
      <c r="V35" s="485" t="str">
        <f t="shared" si="10"/>
        <v>--</v>
      </c>
      <c r="W35" s="486" t="str">
        <f t="shared" si="11"/>
        <v>--</v>
      </c>
      <c r="X35" s="487" t="str">
        <f t="shared" si="12"/>
        <v>--</v>
      </c>
      <c r="Y35" s="488" t="str">
        <f t="shared" si="13"/>
        <v>--</v>
      </c>
      <c r="Z35" s="499">
        <f t="shared" si="14"/>
      </c>
      <c r="AA35" s="164">
        <f t="shared" si="15"/>
      </c>
      <c r="AB35" s="113"/>
    </row>
    <row r="36" spans="1:28" s="15" customFormat="1" ht="16.5" customHeight="1">
      <c r="A36" s="35"/>
      <c r="B36" s="136"/>
      <c r="C36" s="451"/>
      <c r="D36" s="466"/>
      <c r="E36" s="470"/>
      <c r="F36" s="468"/>
      <c r="G36" s="469"/>
      <c r="H36" s="424">
        <f t="shared" si="0"/>
        <v>0</v>
      </c>
      <c r="I36" s="475"/>
      <c r="J36" s="475"/>
      <c r="K36" s="31">
        <f t="shared" si="1"/>
      </c>
      <c r="L36" s="32">
        <f t="shared" si="2"/>
      </c>
      <c r="M36" s="477"/>
      <c r="N36" s="465">
        <f t="shared" si="3"/>
      </c>
      <c r="O36" s="478">
        <f t="shared" si="16"/>
      </c>
      <c r="P36" s="459">
        <f t="shared" si="4"/>
      </c>
      <c r="Q36" s="498">
        <f t="shared" si="5"/>
        <v>20</v>
      </c>
      <c r="R36" s="481" t="str">
        <f t="shared" si="6"/>
        <v>--</v>
      </c>
      <c r="S36" s="482" t="str">
        <f t="shared" si="7"/>
        <v>--</v>
      </c>
      <c r="T36" s="483" t="str">
        <f t="shared" si="8"/>
        <v>--</v>
      </c>
      <c r="U36" s="484" t="str">
        <f t="shared" si="9"/>
        <v>--</v>
      </c>
      <c r="V36" s="485" t="str">
        <f t="shared" si="10"/>
        <v>--</v>
      </c>
      <c r="W36" s="486" t="str">
        <f t="shared" si="11"/>
        <v>--</v>
      </c>
      <c r="X36" s="487" t="str">
        <f t="shared" si="12"/>
        <v>--</v>
      </c>
      <c r="Y36" s="488" t="str">
        <f t="shared" si="13"/>
        <v>--</v>
      </c>
      <c r="Z36" s="499">
        <f t="shared" si="14"/>
      </c>
      <c r="AA36" s="164">
        <f t="shared" si="15"/>
      </c>
      <c r="AB36" s="113"/>
    </row>
    <row r="37" spans="1:28" s="15" customFormat="1" ht="16.5" customHeight="1">
      <c r="A37" s="35"/>
      <c r="B37" s="136"/>
      <c r="C37" s="451"/>
      <c r="D37" s="466"/>
      <c r="E37" s="470"/>
      <c r="F37" s="468"/>
      <c r="G37" s="469"/>
      <c r="H37" s="424">
        <f t="shared" si="0"/>
        <v>0</v>
      </c>
      <c r="I37" s="475"/>
      <c r="J37" s="475"/>
      <c r="K37" s="31">
        <f t="shared" si="1"/>
      </c>
      <c r="L37" s="32">
        <f t="shared" si="2"/>
      </c>
      <c r="M37" s="477"/>
      <c r="N37" s="465">
        <f t="shared" si="3"/>
      </c>
      <c r="O37" s="478">
        <f t="shared" si="16"/>
      </c>
      <c r="P37" s="459">
        <f t="shared" si="4"/>
      </c>
      <c r="Q37" s="498">
        <f t="shared" si="5"/>
        <v>20</v>
      </c>
      <c r="R37" s="481" t="str">
        <f t="shared" si="6"/>
        <v>--</v>
      </c>
      <c r="S37" s="482" t="str">
        <f t="shared" si="7"/>
        <v>--</v>
      </c>
      <c r="T37" s="483" t="str">
        <f t="shared" si="8"/>
        <v>--</v>
      </c>
      <c r="U37" s="484" t="str">
        <f t="shared" si="9"/>
        <v>--</v>
      </c>
      <c r="V37" s="485" t="str">
        <f t="shared" si="10"/>
        <v>--</v>
      </c>
      <c r="W37" s="486" t="str">
        <f t="shared" si="11"/>
        <v>--</v>
      </c>
      <c r="X37" s="487" t="str">
        <f t="shared" si="12"/>
        <v>--</v>
      </c>
      <c r="Y37" s="488" t="str">
        <f t="shared" si="13"/>
        <v>--</v>
      </c>
      <c r="Z37" s="499">
        <f t="shared" si="14"/>
      </c>
      <c r="AA37" s="164">
        <f t="shared" si="15"/>
      </c>
      <c r="AB37" s="113"/>
    </row>
    <row r="38" spans="1:28" s="15" customFormat="1" ht="16.5" customHeight="1">
      <c r="A38" s="35"/>
      <c r="B38" s="136"/>
      <c r="C38" s="451"/>
      <c r="D38" s="466"/>
      <c r="E38" s="470"/>
      <c r="F38" s="468"/>
      <c r="G38" s="469"/>
      <c r="H38" s="424">
        <f t="shared" si="0"/>
        <v>0</v>
      </c>
      <c r="I38" s="475"/>
      <c r="J38" s="475"/>
      <c r="K38" s="31">
        <f t="shared" si="1"/>
      </c>
      <c r="L38" s="32">
        <f t="shared" si="2"/>
      </c>
      <c r="M38" s="477"/>
      <c r="N38" s="465">
        <f t="shared" si="3"/>
      </c>
      <c r="O38" s="478">
        <f t="shared" si="16"/>
      </c>
      <c r="P38" s="459">
        <f t="shared" si="4"/>
      </c>
      <c r="Q38" s="498">
        <f t="shared" si="5"/>
        <v>20</v>
      </c>
      <c r="R38" s="481" t="str">
        <f t="shared" si="6"/>
        <v>--</v>
      </c>
      <c r="S38" s="482" t="str">
        <f t="shared" si="7"/>
        <v>--</v>
      </c>
      <c r="T38" s="483" t="str">
        <f t="shared" si="8"/>
        <v>--</v>
      </c>
      <c r="U38" s="484" t="str">
        <f t="shared" si="9"/>
        <v>--</v>
      </c>
      <c r="V38" s="485" t="str">
        <f t="shared" si="10"/>
        <v>--</v>
      </c>
      <c r="W38" s="486" t="str">
        <f t="shared" si="11"/>
        <v>--</v>
      </c>
      <c r="X38" s="487" t="str">
        <f t="shared" si="12"/>
        <v>--</v>
      </c>
      <c r="Y38" s="488" t="str">
        <f t="shared" si="13"/>
        <v>--</v>
      </c>
      <c r="Z38" s="499">
        <f t="shared" si="14"/>
      </c>
      <c r="AA38" s="164">
        <f t="shared" si="15"/>
      </c>
      <c r="AB38" s="113"/>
    </row>
    <row r="39" spans="1:28" s="15" customFormat="1" ht="16.5" customHeight="1">
      <c r="A39" s="35"/>
      <c r="B39" s="136"/>
      <c r="C39" s="451"/>
      <c r="D39" s="466"/>
      <c r="E39" s="470"/>
      <c r="F39" s="468"/>
      <c r="G39" s="469"/>
      <c r="H39" s="424">
        <f t="shared" si="0"/>
        <v>0</v>
      </c>
      <c r="I39" s="475"/>
      <c r="J39" s="475"/>
      <c r="K39" s="31">
        <f t="shared" si="1"/>
      </c>
      <c r="L39" s="32">
        <f t="shared" si="2"/>
      </c>
      <c r="M39" s="477"/>
      <c r="N39" s="465">
        <f t="shared" si="3"/>
      </c>
      <c r="O39" s="478">
        <f t="shared" si="16"/>
      </c>
      <c r="P39" s="459">
        <f t="shared" si="4"/>
      </c>
      <c r="Q39" s="498">
        <f t="shared" si="5"/>
        <v>20</v>
      </c>
      <c r="R39" s="481" t="str">
        <f t="shared" si="6"/>
        <v>--</v>
      </c>
      <c r="S39" s="482" t="str">
        <f t="shared" si="7"/>
        <v>--</v>
      </c>
      <c r="T39" s="483" t="str">
        <f t="shared" si="8"/>
        <v>--</v>
      </c>
      <c r="U39" s="484" t="str">
        <f t="shared" si="9"/>
        <v>--</v>
      </c>
      <c r="V39" s="485" t="str">
        <f t="shared" si="10"/>
        <v>--</v>
      </c>
      <c r="W39" s="486" t="str">
        <f t="shared" si="11"/>
        <v>--</v>
      </c>
      <c r="X39" s="487" t="str">
        <f t="shared" si="12"/>
        <v>--</v>
      </c>
      <c r="Y39" s="488" t="str">
        <f t="shared" si="13"/>
        <v>--</v>
      </c>
      <c r="Z39" s="499">
        <f t="shared" si="14"/>
      </c>
      <c r="AA39" s="164">
        <f t="shared" si="15"/>
      </c>
      <c r="AB39" s="113"/>
    </row>
    <row r="40" spans="1:28" s="15" customFormat="1" ht="16.5" customHeight="1" thickBot="1">
      <c r="A40" s="35"/>
      <c r="B40" s="136"/>
      <c r="C40" s="471"/>
      <c r="D40" s="472"/>
      <c r="E40" s="473"/>
      <c r="F40" s="472"/>
      <c r="G40" s="474"/>
      <c r="H40" s="280"/>
      <c r="I40" s="471"/>
      <c r="J40" s="476"/>
      <c r="K40" s="33"/>
      <c r="L40" s="34"/>
      <c r="M40" s="479"/>
      <c r="N40" s="460"/>
      <c r="O40" s="480"/>
      <c r="P40" s="479"/>
      <c r="Q40" s="500"/>
      <c r="R40" s="489"/>
      <c r="S40" s="490"/>
      <c r="T40" s="491"/>
      <c r="U40" s="492"/>
      <c r="V40" s="493"/>
      <c r="W40" s="494"/>
      <c r="X40" s="495"/>
      <c r="Y40" s="496"/>
      <c r="Z40" s="497"/>
      <c r="AA40" s="165"/>
      <c r="AB40" s="113"/>
    </row>
    <row r="41" spans="1:28" s="15" customFormat="1" ht="16.5" customHeight="1" thickBot="1" thickTop="1">
      <c r="A41" s="35"/>
      <c r="B41" s="136"/>
      <c r="C41" s="222" t="s">
        <v>47</v>
      </c>
      <c r="D41" s="223" t="s">
        <v>97</v>
      </c>
      <c r="E41" s="36"/>
      <c r="F41" s="36"/>
      <c r="G41" s="36"/>
      <c r="H41" s="36"/>
      <c r="I41" s="36"/>
      <c r="J41" s="37"/>
      <c r="K41" s="36"/>
      <c r="L41" s="36"/>
      <c r="M41" s="36"/>
      <c r="N41" s="36"/>
      <c r="O41" s="36"/>
      <c r="P41" s="36"/>
      <c r="Q41" s="36"/>
      <c r="R41" s="305">
        <f aca="true" t="shared" si="17" ref="R41:Y41">SUM(R18:R40)</f>
        <v>389.4</v>
      </c>
      <c r="S41" s="308">
        <f t="shared" si="17"/>
        <v>0</v>
      </c>
      <c r="T41" s="311">
        <f t="shared" si="17"/>
        <v>0</v>
      </c>
      <c r="U41" s="312">
        <f t="shared" si="17"/>
        <v>0</v>
      </c>
      <c r="V41" s="317">
        <f t="shared" si="17"/>
        <v>0</v>
      </c>
      <c r="W41" s="318">
        <f t="shared" si="17"/>
        <v>0</v>
      </c>
      <c r="X41" s="367">
        <f t="shared" si="17"/>
        <v>0</v>
      </c>
      <c r="Y41" s="368">
        <f t="shared" si="17"/>
        <v>0</v>
      </c>
      <c r="Z41" s="35"/>
      <c r="AA41" s="285">
        <f>ROUND(SUM(AA18:AA40),2)</f>
        <v>389.4</v>
      </c>
      <c r="AB41" s="113"/>
    </row>
    <row r="42" spans="1:28" s="227" customFormat="1" ht="9.75" thickTop="1">
      <c r="A42" s="231"/>
      <c r="B42" s="232"/>
      <c r="C42" s="224"/>
      <c r="D42" s="226"/>
      <c r="E42" s="233"/>
      <c r="F42" s="233"/>
      <c r="G42" s="233"/>
      <c r="H42" s="233"/>
      <c r="I42" s="233"/>
      <c r="J42" s="234"/>
      <c r="K42" s="233"/>
      <c r="L42" s="233"/>
      <c r="M42" s="233"/>
      <c r="N42" s="233"/>
      <c r="O42" s="233"/>
      <c r="P42" s="233"/>
      <c r="Q42" s="233"/>
      <c r="R42" s="236"/>
      <c r="S42" s="236"/>
      <c r="T42" s="236"/>
      <c r="U42" s="236"/>
      <c r="V42" s="236"/>
      <c r="W42" s="236"/>
      <c r="X42" s="236"/>
      <c r="Y42" s="236"/>
      <c r="Z42" s="231"/>
      <c r="AA42" s="235"/>
      <c r="AB42" s="237"/>
    </row>
    <row r="43" spans="1:28" s="15" customFormat="1" ht="16.5" customHeight="1" thickBot="1">
      <c r="A43" s="35"/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1"/>
    </row>
    <row r="44" spans="1:29" ht="16.5" customHeight="1" thickTop="1">
      <c r="A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6.5" customHeight="1">
      <c r="A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6.5" customHeight="1">
      <c r="A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6.5" customHeight="1">
      <c r="A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4:29" ht="16.5" customHeight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4:29" ht="16.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4:29" ht="16.5" customHeight="1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4:29" ht="16.5" customHeight="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4:29" ht="16.5" customHeight="1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4:29" ht="16.5" customHeight="1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4:29" ht="16.5" customHeight="1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4:29" ht="16.5" customHeight="1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4:29" ht="16.5" customHeight="1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4:29" ht="16.5" customHeight="1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4:29" ht="16.5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4:29" ht="16.5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4:29" ht="16.5" customHeight="1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4:29" ht="16.5" customHeight="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4:29" ht="16.5" customHeight="1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4:29" ht="16.5" customHeight="1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4:29" ht="16.5" customHeight="1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4:29" ht="16.5" customHeight="1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4:29" ht="16.5" customHeight="1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4:29" ht="16.5" customHeight="1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4:29" ht="16.5" customHeight="1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4:29" ht="16.5" customHeight="1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4:29" ht="16.5" customHeight="1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4:29" ht="16.5" customHeight="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4:29" ht="16.5" customHeight="1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4:29" ht="16.5" customHeight="1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4:29" ht="16.5" customHeight="1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4:29" ht="16.5" customHeight="1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4:29" ht="16.5" customHeight="1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4:29" ht="16.5" customHeight="1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4:29" ht="16.5" customHeight="1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4:29" ht="16.5" customHeight="1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4:29" ht="16.5" customHeight="1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4:29" ht="16.5" customHeight="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4:29" ht="16.5" customHeight="1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4:29" ht="16.5" customHeight="1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4:29" ht="16.5" customHeight="1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4:29" ht="16.5" customHeight="1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4:29" ht="16.5" customHeight="1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4:29" ht="16.5" customHeight="1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4:29" ht="16.5" customHeight="1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4:29" ht="16.5" customHeight="1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4:29" ht="16.5" customHeight="1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4:29" ht="16.5" customHeight="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4:29" ht="16.5" customHeight="1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4:29" ht="16.5" customHeight="1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4:29" ht="16.5" customHeight="1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4:29" ht="16.5" customHeight="1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4:29" ht="16.5" customHeight="1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4:29" ht="16.5" customHeight="1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4:29" ht="16.5" customHeight="1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4:29" ht="16.5" customHeight="1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4:29" ht="16.5" customHeight="1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4:29" ht="16.5" customHeight="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4:29" ht="16.5" customHeight="1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4:29" ht="16.5" customHeight="1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4:29" ht="16.5" customHeight="1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4:29" ht="16.5" customHeight="1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4:29" ht="16.5" customHeight="1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4:29" ht="16.5" customHeight="1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4:29" ht="16.5" customHeight="1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4:29" ht="16.5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4:29" ht="16.5" customHeight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4:29" ht="16.5" customHeight="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4:29" ht="16.5" customHeight="1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4:29" ht="16.5" customHeight="1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4:29" ht="16.5" customHeight="1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4:29" ht="16.5" customHeight="1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4:29" ht="16.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4:29" ht="16.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4:29" ht="16.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4:29" ht="16.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4:29" ht="16.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4:29" ht="16.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4:29" ht="16.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4:29" ht="16.5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4:29" ht="16.5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4:29" ht="16.5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4:29" ht="16.5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4:29" ht="16.5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4:29" ht="16.5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4:29" ht="16.5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4:29" ht="16.5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4:29" ht="16.5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4:29" ht="16.5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4:29" ht="16.5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4:29" ht="16.5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4:29" ht="16.5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4:29" ht="16.5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4:29" ht="16.5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4:29" ht="16.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4:29" ht="16.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4:29" ht="16.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4:29" ht="16.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4:29" ht="16.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4:29" ht="16.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4:29" ht="16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4:29" ht="16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4:29" ht="16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4:29" ht="16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4:29" ht="16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4:29" ht="16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4:29" ht="16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4:29" ht="16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6.5" customHeight="1">
      <c r="AC152" s="4"/>
    </row>
    <row r="153" ht="16.5" customHeight="1">
      <c r="AC153" s="4"/>
    </row>
    <row r="154" ht="16.5" customHeight="1">
      <c r="AC154" s="4"/>
    </row>
    <row r="155" ht="16.5" customHeight="1">
      <c r="AC155" s="4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2009-07-29T14:53:06Z</cp:lastPrinted>
  <dcterms:created xsi:type="dcterms:W3CDTF">1998-04-21T14:28:46Z</dcterms:created>
  <dcterms:modified xsi:type="dcterms:W3CDTF">2009-07-29T14:53:09Z</dcterms:modified>
  <cp:category/>
  <cp:version/>
  <cp:contentType/>
  <cp:contentStatus/>
</cp:coreProperties>
</file>