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07" activeTab="0"/>
  </bookViews>
  <sheets>
    <sheet name="TOT-0909" sheetId="1" r:id="rId1"/>
    <sheet name="LI-09 (1)" sheetId="2" r:id="rId2"/>
    <sheet name="TR-09 (1)" sheetId="3" r:id="rId3"/>
    <sheet name="T4CH - Nota SE N° 2492" sheetId="4" r:id="rId4"/>
    <sheet name="SA-09 (1)" sheetId="5" r:id="rId5"/>
    <sheet name="SA-09 (2)" sheetId="6" r:id="rId6"/>
    <sheet name="RE-09 (1)" sheetId="7" r:id="rId7"/>
    <sheet name="LI-LITSA-09 (1)" sheetId="8" r:id="rId8"/>
    <sheet name="TR-TIBA-09 (1)" sheetId="9" r:id="rId9"/>
    <sheet name="SA-TIBA-09 (1)" sheetId="10" r:id="rId10"/>
    <sheet name="SUP-LITSA" sheetId="11" r:id="rId11"/>
    <sheet name="SUP-TIBA" sheetId="12" r:id="rId12"/>
    <sheet name="TASA FALLA" sheetId="13" r:id="rId13"/>
    <sheet name="DATO" sheetId="14" r:id="rId14"/>
  </sheets>
  <externalReferences>
    <externalReference r:id="rId17"/>
    <externalReference r:id="rId18"/>
  </externalReferences>
  <definedNames>
    <definedName name="_xlnm.Print_Area" localSheetId="7">'LI-LITSA-09 (1)'!$A$1:$AG$44</definedName>
    <definedName name="_xlnm.Print_Area" localSheetId="11">'SUP-TIBA'!$A$1:$W$73</definedName>
    <definedName name="_xlnm.Print_Area" localSheetId="12">'TASA FALLA'!$A$1:$V$99</definedName>
    <definedName name="DD" localSheetId="3">'T4CH - Nota SE N° 2492'!DD</definedName>
    <definedName name="DD" localSheetId="12">'TASA FALLA'!DD</definedName>
    <definedName name="DD">[0]!DD</definedName>
    <definedName name="DDD" localSheetId="3">'T4CH - Nota SE N° 2492'!DDD</definedName>
    <definedName name="DDD" localSheetId="12">'TASA FALLA'!DDD</definedName>
    <definedName name="DDD">[0]!DDD</definedName>
    <definedName name="DISTROCUYO" localSheetId="3">'T4CH - Nota SE N° 2492'!DISTROCUYO</definedName>
    <definedName name="DISTROCUYO" localSheetId="12">'TASA FALLA'!DISTROCUYO</definedName>
    <definedName name="DISTROCUYO">[0]!DISTROCUYO</definedName>
    <definedName name="INICIO" localSheetId="3">'T4CH - Nota SE N° 2492'!INICIO</definedName>
    <definedName name="INICIO" localSheetId="12">'TASA FALLA'!INICIO</definedName>
    <definedName name="INICIO">[0]!INICIO</definedName>
    <definedName name="INICIOTI" localSheetId="3">'T4CH - Nota SE N° 2492'!INICIOTI</definedName>
    <definedName name="INICIOTI" localSheetId="12">'TASA FALLA'!INICIOTI</definedName>
    <definedName name="INICIOTI">[0]!INICIOTI</definedName>
    <definedName name="LINEAS" localSheetId="3">'T4CH - Nota SE N° 2492'!LINEAS</definedName>
    <definedName name="LINEAS" localSheetId="12">'TASA FALLA'!LINEAS</definedName>
    <definedName name="LINEAS">[0]!LINEAS</definedName>
    <definedName name="NAME_L" localSheetId="3">'T4CH - Nota SE N° 2492'!NAME_L</definedName>
    <definedName name="NAME_L" localSheetId="12">'TASA FALLA'!NAME_L</definedName>
    <definedName name="NAME_L">[0]!NAME_L</definedName>
    <definedName name="NAME_L_TI" localSheetId="3">'T4CH - Nota SE N° 2492'!NAME_L_TI</definedName>
    <definedName name="NAME_L_TI" localSheetId="12">'TASA FALLA'!NAME_L_TI</definedName>
    <definedName name="NAME_L_TI">[0]!NAME_L_TI</definedName>
    <definedName name="TRAN" localSheetId="3">'T4CH - Nota SE N° 2492'!TRAN</definedName>
    <definedName name="TRAN" localSheetId="12">'TASA FALLA'!TRAN</definedName>
    <definedName name="TRAN">[0]!TRAN</definedName>
    <definedName name="TRANSNOA" localSheetId="3">'T4CH - Nota SE N° 2492'!TRANSNOA</definedName>
    <definedName name="TRANSNOA" localSheetId="12">'TASA FALLA'!TRANSNOA</definedName>
    <definedName name="TRANSNOA">[0]!TRANSNOA</definedName>
    <definedName name="x" localSheetId="3">'T4CH - Nota SE N° 2492'!x</definedName>
    <definedName name="x" localSheetId="12">'TASA FALLA'!x</definedName>
    <definedName name="x">[0]!x</definedName>
    <definedName name="XX" localSheetId="3">'T4CH - Nota SE N° 2492'!XX</definedName>
    <definedName name="XX" localSheetId="12">'TASA FALLA'!XX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Ing. Juan Messina</author>
  </authors>
  <commentList>
    <comment ref="M59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Anexo2,1 DTE
ATRAXX.TXT</t>
        </r>
      </text>
    </comment>
    <comment ref="M63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  <comment ref="M64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Anexo2,5 DTE
ATRAXX.TXT</t>
        </r>
      </text>
    </comment>
  </commentList>
</comments>
</file>

<file path=xl/comments5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<sst xmlns="http://schemas.openxmlformats.org/spreadsheetml/2006/main" count="1119" uniqueCount="400">
  <si>
    <t>LÍNEAS</t>
  </si>
  <si>
    <t>SALIDA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</si>
  <si>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</si>
  <si>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</si>
  <si>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</si>
  <si>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</si>
  <si>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</si>
  <si>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</si>
  <si>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</si>
  <si>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</si>
  <si>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</si>
  <si>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</si>
  <si>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</si>
  <si>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</si>
  <si>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</si>
  <si>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</si>
  <si>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</si>
  <si>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</si>
  <si>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</si>
  <si>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</si>
  <si>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</si>
  <si>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</si>
  <si>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</si>
  <si>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</si>
  <si>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</si>
  <si>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</si>
  <si>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</si>
  <si>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</si>
  <si>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</si>
  <si>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</si>
  <si>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</si>
  <si>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</si>
  <si>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</si>
  <si>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</si>
  <si>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</si>
  <si>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</si>
  <si>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</si>
  <si>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</si>
  <si>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</si>
  <si>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</si>
  <si>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</si>
  <si>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</si>
  <si>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</si>
  <si>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</si>
  <si>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</si>
  <si>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</si>
  <si>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</si>
  <si>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</si>
  <si>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</si>
  <si>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</si>
  <si>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</si>
  <si>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</si>
  <si>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</si>
  <si>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</si>
  <si>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</si>
  <si>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</si>
  <si>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</si>
  <si>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</si>
  <si>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</si>
  <si>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</si>
  <si>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</si>
  <si>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</si>
  <si>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</si>
  <si>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</si>
  <si>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Transportista Independiente LITSA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</si>
  <si>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</si>
  <si>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</si>
  <si>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</si>
  <si>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</si>
  <si>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</si>
  <si>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</si>
  <si>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RESOLUCION ENRE Nº 1200/99</t>
  </si>
  <si>
    <t xml:space="preserve">$/km-h : LINEAS 500 kV </t>
  </si>
  <si>
    <t>Tasa de falla de LITSA =</t>
  </si>
  <si>
    <t xml:space="preserve">$/km-h : LINEAS 220 kV </t>
  </si>
  <si>
    <t>Multiplicador =</t>
  </si>
  <si>
    <t>Duración Prom. anual móvil por salida forzada =</t>
  </si>
  <si>
    <t>Factor multiplicativo del mayoramiento =</t>
  </si>
  <si>
    <t>CL</t>
  </si>
  <si>
    <t>PENALIZACION FORZADA
Por Salida      1ras 5 hs.     hs. Restantes</t>
  </si>
  <si>
    <t>PENAL.REDUC. A LA CAP. DE TRANSP.
Por Salida        1ras hs.      hs. Restantes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</si>
  <si>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</si>
  <si>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</si>
  <si>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</si>
  <si>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</si>
  <si>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</si>
  <si>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</si>
  <si>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</si>
  <si>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</si>
  <si>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</si>
  <si>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</si>
  <si>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</si>
  <si>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</si>
  <si>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</si>
  <si>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</si>
  <si>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</si>
  <si>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</si>
  <si>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</si>
  <si>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</si>
  <si>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</si>
  <si>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</si>
  <si>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</si>
  <si>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</si>
  <si>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</si>
  <si>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</si>
  <si>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</si>
  <si>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</si>
  <si>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</si>
  <si>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</si>
  <si>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</si>
  <si>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</si>
  <si>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e)</t>
  </si>
  <si>
    <t>SANCIÓN</t>
  </si>
  <si>
    <t>Sanción calculada</t>
  </si>
  <si>
    <t>SANCIÓN =</t>
  </si>
  <si>
    <t>Remuneración TRANSFORMADOR    =</t>
  </si>
  <si>
    <t>$/MVA</t>
  </si>
  <si>
    <t>Remuneración SALIDA 132 kV             =</t>
  </si>
  <si>
    <t>$/hora</t>
  </si>
  <si>
    <t>Remuneración SALIDA 500 kV             =</t>
  </si>
  <si>
    <t xml:space="preserve"> Rincón - Salto Grande</t>
  </si>
  <si>
    <t xml:space="preserve"> Rincón - San Isidro</t>
  </si>
  <si>
    <t>TRANSFORMADOR</t>
  </si>
  <si>
    <t>POT. [MVA]</t>
  </si>
  <si>
    <t>Rincón - TR06</t>
  </si>
  <si>
    <t>500/132</t>
  </si>
  <si>
    <t>Salto Grande - TR02</t>
  </si>
  <si>
    <t>500/132/13,8</t>
  </si>
  <si>
    <t>Rincón</t>
  </si>
  <si>
    <t>Ituzaingó, Ita Ibate, Virasoro</t>
  </si>
  <si>
    <t>Salto Grande</t>
  </si>
  <si>
    <t>Trafo 2 500/132 kV</t>
  </si>
  <si>
    <t>TOTAL A PENALIZAR A TRANSENER S.A POR SUPERVISIÓN A L.I.T.S.A.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</si>
  <si>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</si>
  <si>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</si>
  <si>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</si>
  <si>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</si>
  <si>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</si>
  <si>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</si>
  <si>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</si>
  <si>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</si>
  <si>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</si>
  <si>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</si>
  <si>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</si>
  <si>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t>500/132/33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</si>
  <si>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</si>
  <si>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</si>
  <si>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</si>
  <si>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</si>
  <si>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</si>
  <si>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</si>
  <si>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</si>
  <si>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</si>
  <si>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Conexión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</si>
  <si>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</si>
  <si>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</si>
  <si>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</si>
  <si>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Hoja</t>
  </si>
  <si>
    <t>MODELO L</t>
  </si>
  <si>
    <t>MODELO T</t>
  </si>
  <si>
    <t>MODELO S</t>
  </si>
  <si>
    <t>MODELO L YACYLEC</t>
  </si>
  <si>
    <t>MODELO L LITSA</t>
  </si>
  <si>
    <t>MODELO T LITSA</t>
  </si>
  <si>
    <t>MODELO T TIBA</t>
  </si>
  <si>
    <t>MODELO T ENECOR</t>
  </si>
  <si>
    <t>MODELO S TIBA</t>
  </si>
  <si>
    <t>MODELO S ENECOR</t>
  </si>
  <si>
    <t>MODELO R</t>
  </si>
  <si>
    <t>Mes</t>
  </si>
  <si>
    <t>Dia</t>
  </si>
  <si>
    <t>Año</t>
  </si>
  <si>
    <t>MODELO R YACYLEC</t>
  </si>
  <si>
    <t>MODELO R LITSA</t>
  </si>
  <si>
    <t>NombreHoja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</si>
  <si>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</si>
  <si>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</si>
  <si>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</si>
  <si>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</si>
  <si>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</si>
  <si>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</si>
  <si>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</si>
  <si>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</si>
  <si>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</si>
  <si>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</si>
  <si>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</si>
  <si>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</si>
  <si>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OrigenDeDatos</t>
  </si>
  <si>
    <t>TRANSENER_INDSIPONIBILIDADES_LINEAS_TRANSENER.XLS</t>
  </si>
  <si>
    <t>Columnas</t>
  </si>
  <si>
    <t>FilasPlantilla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</si>
  <si>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</si>
  <si>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</si>
  <si>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</si>
  <si>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</si>
  <si>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</si>
  <si>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</si>
  <si>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</si>
  <si>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</si>
  <si>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</si>
  <si>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</si>
  <si>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</si>
  <si>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</si>
  <si>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</si>
  <si>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</si>
  <si>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Col00</t>
  </si>
  <si>
    <t>TRANSENER_INDSIPONIBILIDADES_LINEAS_YACYLEC.XLS</t>
  </si>
  <si>
    <t>TRANSENER_INDSIPONIBILIDADES_LINEAS_LITSA.XLS</t>
  </si>
  <si>
    <t>FilaInicio</t>
  </si>
  <si>
    <t>TRANSENER_INDSIPONIBILIDADES_TRAFOS_TRANSENER.XLS</t>
  </si>
  <si>
    <t>TRANSENER_INDSIPONIBILIDADES_TRAFOS_LITSA.XLS</t>
  </si>
  <si>
    <t>TRANSENER_INDSIPONIBILIDADES_TRAFOS_ENECOR.XLS</t>
  </si>
  <si>
    <t>TRANSENER_INDSIPONIBILIDADES_TRAFOS_TIBA.XLS</t>
  </si>
  <si>
    <t>TRANSENER_INDSIPONIBILIDADES_SALIDAS_TRANSENER.XLS</t>
  </si>
  <si>
    <t>TRANSENER_INDSIPONIBILIDADES_SALIDAS_TIBA.XLS</t>
  </si>
  <si>
    <t>TRANSENER_INDSIPONIBILIDADES_SALIDAS_ENECOR.XLS</t>
  </si>
  <si>
    <t>TRANSENER_INDSIPONIBILIDADES_REACTIVOS_TRANSENER.XLS</t>
  </si>
  <si>
    <t>TRANSENER_INDSIPONIBILIDADES_REACTIVOS_YACYLEC.XLS</t>
  </si>
  <si>
    <t>TRANSENER_INDSIPONIBILIDADES_REACTIVOS_LITSA.XLS</t>
  </si>
  <si>
    <t>MODELO L IV</t>
  </si>
  <si>
    <t>TRANSENER_INDSIPONIBILIDADES_LINEAS_IV.XLS</t>
  </si>
  <si>
    <t>SUP-YACYLEC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</si>
  <si>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</si>
  <si>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</si>
  <si>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</si>
  <si>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</si>
  <si>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</si>
  <si>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</si>
  <si>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</si>
  <si>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</si>
  <si>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</si>
  <si>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</si>
  <si>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</si>
  <si>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</si>
  <si>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</si>
  <si>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XXIV</t>
  </si>
  <si>
    <t>SUP-LITSA</t>
  </si>
  <si>
    <t>SUP-TIBA</t>
  </si>
  <si>
    <t>SUP-ENECOR</t>
  </si>
  <si>
    <t>B14</t>
  </si>
  <si>
    <t>SI</t>
  </si>
  <si>
    <t>MODELO R IV</t>
  </si>
  <si>
    <t>TRANSENER_INDSIPONIBILIDADES_REACTIVOS_IV.XLS</t>
  </si>
  <si>
    <t>1.3.- Transportista Independiente L.I.T.S.A.</t>
  </si>
  <si>
    <t>Total</t>
  </si>
  <si>
    <t>FILHTOTAL</t>
  </si>
  <si>
    <t>COLHTOTAL</t>
  </si>
  <si>
    <t>COLHCALC</t>
  </si>
  <si>
    <t>FILHCALC</t>
  </si>
  <si>
    <t>COLTRANSP</t>
  </si>
  <si>
    <t>FILTRANSP</t>
  </si>
  <si>
    <t>* Valor provisorio</t>
  </si>
  <si>
    <t xml:space="preserve"> 2.2.- SALIDAS</t>
  </si>
  <si>
    <t>2.1.- TRANSFORMACIÓN</t>
  </si>
  <si>
    <t>2.1.1.- Equipamiento Propio</t>
  </si>
  <si>
    <t>Transportista Independiente L.I.T.S.A.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</si>
  <si>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</si>
  <si>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</si>
  <si>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</si>
  <si>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</si>
  <si>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</si>
  <si>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</si>
  <si>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COL TSAL</t>
  </si>
  <si>
    <t>POT.
[MVAr]</t>
  </si>
  <si>
    <t>INDISP</t>
  </si>
  <si>
    <t>ID EQUIPO</t>
  </si>
  <si>
    <t>MODELO L LIMSA</t>
  </si>
  <si>
    <t>MODELO T LIMSA</t>
  </si>
  <si>
    <t>SUP-LIMSA</t>
  </si>
  <si>
    <t>MODELO L INTESAR</t>
  </si>
  <si>
    <t>MODELO L CUYANA</t>
  </si>
  <si>
    <t>MODELO T CUYANA</t>
  </si>
  <si>
    <t>MODELO S TESA</t>
  </si>
  <si>
    <t>MODELO S CTM</t>
  </si>
  <si>
    <t>SUP-TESA</t>
  </si>
  <si>
    <t>SUP-CTM</t>
  </si>
  <si>
    <t>SUP-CUYANA</t>
  </si>
  <si>
    <t>SUP-INTESAR</t>
  </si>
  <si>
    <t>TRANSENER_INDSIPONIBILIDADES_LINEAS_INTESAR.XLS</t>
  </si>
  <si>
    <t>TRANSENER_INDSIPONIBILIDADES_LINEAS_CUYANA.XLS</t>
  </si>
  <si>
    <t>TRANSENER_INDSIPONIBILIDADES_LINEAS_LIMSA.XLS</t>
  </si>
  <si>
    <t>TRANSENER_INDSIPONIBILIDADES_TRAFOS_LIMSA.XLS</t>
  </si>
  <si>
    <t>TRANSENER_INDSIPONIBILIDADES_TRAFOS_CUYANA.XLS</t>
  </si>
  <si>
    <t>TRANSENER_INDSIPONIBILIDADES_SALIDAS_TESA.XLS</t>
  </si>
  <si>
    <t>TRANSENER_INDSIPONIBILIDADES_SALIDAS_CTM.XLS</t>
  </si>
  <si>
    <t>MODELO T INTESAR</t>
  </si>
  <si>
    <t>TRANSENER_INDSIPONIBILIDADES_TRAFOS_INTESAR.XLS</t>
  </si>
  <si>
    <t>DAG</t>
  </si>
  <si>
    <t>TRANSENER_INDSIPONIBILIDADES_DAG.XLS</t>
  </si>
  <si>
    <t>MODELO VST</t>
  </si>
  <si>
    <t>TRANSENER_CAUSAS_VST.XLS</t>
  </si>
  <si>
    <t>Col09</t>
  </si>
  <si>
    <t>Valores remuneratorios según Dec. PEN 1462/05 - Res ENRE N°330/08 - Res ENRE N°327/08</t>
  </si>
  <si>
    <t>-</t>
  </si>
  <si>
    <t>MODELO S LIMSA</t>
  </si>
  <si>
    <t>TRANSENER_INDSIPONIBILIDADES_SALIDAS_LIMSA.XLS</t>
  </si>
  <si>
    <t>MODELO S LITSA</t>
  </si>
  <si>
    <t>TRANSENER_INDSIPONIBILIDADES_SALIDAS_LITSA.XLS</t>
  </si>
  <si>
    <t>Desde el 01 al 30 de septiembre de 2009</t>
  </si>
  <si>
    <t>C</t>
  </si>
  <si>
    <t>F</t>
  </si>
  <si>
    <t>CHO.W. - CHO. 2 (5WC2)</t>
  </si>
  <si>
    <t>ROSARIO OESTE - RAMALLO 2</t>
  </si>
  <si>
    <t>P</t>
  </si>
  <si>
    <t>ROSARIO OESTE - RAMALLO 1</t>
  </si>
  <si>
    <t>CERR. de la CTA - P.BAND. (A3)</t>
  </si>
  <si>
    <t>OLAVARRIA - BAHIA BLANCA 1</t>
  </si>
  <si>
    <t>B</t>
  </si>
  <si>
    <t>RINCON - SALTO GRANDE</t>
  </si>
  <si>
    <t>EL CHOCON</t>
  </si>
  <si>
    <t>TRAFO 4</t>
  </si>
  <si>
    <t>500/132/13,2</t>
  </si>
  <si>
    <t>ROSARIO OESTE</t>
  </si>
  <si>
    <t>TRAFO 1</t>
  </si>
  <si>
    <t>PLANICIE BANDERITA</t>
  </si>
  <si>
    <t>AUTOTRAFO</t>
  </si>
  <si>
    <t>RESISTENCIA</t>
  </si>
  <si>
    <t>ROMANG</t>
  </si>
  <si>
    <t>TRAFO</t>
  </si>
  <si>
    <t>TRAFO 2</t>
  </si>
  <si>
    <t>MACACHIN</t>
  </si>
  <si>
    <t>LUJAN</t>
  </si>
  <si>
    <t>SALIDA LINEA A BARRANQUERAS 2</t>
  </si>
  <si>
    <t>CAMPANA 500</t>
  </si>
  <si>
    <t>SALIDA ACOP. BARRAS A,C</t>
  </si>
  <si>
    <t>P. BANDERITA</t>
  </si>
  <si>
    <t>SALIDA LINEA A PLAYA BANDERITA</t>
  </si>
  <si>
    <t>ABASTO</t>
  </si>
  <si>
    <t>SALIDA TRAFO 2</t>
  </si>
  <si>
    <t>GRAL. RODRIGUEZ</t>
  </si>
  <si>
    <t>SALIDA TRAFO 2 500/220</t>
  </si>
  <si>
    <t>RAMALLO</t>
  </si>
  <si>
    <t>SALIDA LINEA PERGAMINO</t>
  </si>
  <si>
    <t>SALIDA SAN LUIS I</t>
  </si>
  <si>
    <t>SALIDA SAN LUIS II</t>
  </si>
  <si>
    <t>SALIDA TRAFO MAQ. 1 Y 2</t>
  </si>
  <si>
    <t>EZEIZA</t>
  </si>
  <si>
    <t>SALIDA A MAQ. GENELBA 1</t>
  </si>
  <si>
    <t>SALIDA LINEA ARGENER</t>
  </si>
  <si>
    <t>VILLA LIA</t>
  </si>
  <si>
    <t>SALIDA TRAFO 220/132/13,2</t>
  </si>
  <si>
    <t>SALIDA TRAFO 1</t>
  </si>
  <si>
    <t>EL BRACHO</t>
  </si>
  <si>
    <t>SALIDA LINEA INDEPENDENCIA</t>
  </si>
  <si>
    <t>SALIDA LINEA A INDEPENDENCIA 2</t>
  </si>
  <si>
    <t>OLAVARRIA</t>
  </si>
  <si>
    <t>SALIDA A L. NEGRA</t>
  </si>
  <si>
    <t>BAHIA BLANCA</t>
  </si>
  <si>
    <t>SALIDA A P. LURO</t>
  </si>
  <si>
    <t>CAMPANA</t>
  </si>
  <si>
    <t>SALIDA A SIDERCA 0</t>
  </si>
  <si>
    <t>SALIDA A PRINGLES</t>
  </si>
  <si>
    <t>SALIDA A COOP. P. ALTA</t>
  </si>
  <si>
    <t>SALIDA A DORREGO</t>
  </si>
  <si>
    <t>SALIDA LINEA PBUENA 1</t>
  </si>
  <si>
    <t>SALIDA LINEA PBUENA 2</t>
  </si>
  <si>
    <t>CS6</t>
  </si>
  <si>
    <t>SANTO TOME</t>
  </si>
  <si>
    <t>R1T1ST</t>
  </si>
  <si>
    <t>R3L5RD</t>
  </si>
  <si>
    <t>R4L5RM</t>
  </si>
  <si>
    <t>P - PROGRAMADA ;   F - FORZADA</t>
  </si>
  <si>
    <t>P - PROGRAMADA</t>
  </si>
  <si>
    <t>2.1.2.- Transportista Independiente TIBA S.A.</t>
  </si>
  <si>
    <t>NUEVA CAMPANA</t>
  </si>
  <si>
    <t>Trafo 2</t>
  </si>
  <si>
    <t>220/132/13,2</t>
  </si>
  <si>
    <t>RECREO</t>
  </si>
  <si>
    <t>M.BELGRANO</t>
  </si>
  <si>
    <t>SALIDA TRAFO TG 1</t>
  </si>
  <si>
    <t>SALIDA TRAFO TG 2</t>
  </si>
  <si>
    <t>F - FORZADA</t>
  </si>
  <si>
    <t>SALIDA TRAFO TG</t>
  </si>
  <si>
    <t>R1L5RS</t>
  </si>
  <si>
    <t>R3B5RM</t>
  </si>
  <si>
    <t>4.1.- Transportista Independiente L.I.T.S.A.</t>
  </si>
  <si>
    <t>RM * =</t>
  </si>
  <si>
    <t>RM* =</t>
  </si>
  <si>
    <t>Valor empleado para el cálculo de CS</t>
  </si>
  <si>
    <t>SISTEMA DE TRANSPORTE DE ENERGÍA ELÉCTRICA EN ALTA TENSION</t>
  </si>
  <si>
    <t>INDISPONIBILIDADES FORZADAS DE LÍNEAS - TASA DE FALLA</t>
  </si>
  <si>
    <t>Correspondiente al mes de septiembre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</si>
  <si>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</si>
  <si>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</si>
  <si>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</si>
  <si>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</si>
  <si>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</si>
  <si>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</si>
  <si>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</si>
  <si>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 xml:space="preserve">TOTAL DE PENALIZACIONES </t>
  </si>
  <si>
    <t>B. BLANCA</t>
  </si>
  <si>
    <t>SALIDA ACOPLAMIENTO B-D</t>
  </si>
  <si>
    <t>RM: Por Capacitores ET Bahía Blanca:</t>
  </si>
  <si>
    <t>100 MVAr</t>
  </si>
  <si>
    <t>(*)</t>
  </si>
  <si>
    <t>2.1.2.-</t>
  </si>
  <si>
    <t>Indisp. Transformador N° 4 E.T. El Chocón</t>
  </si>
  <si>
    <t>2.1.2.- Indisponibilidad Transformador N° 4 E.T. El Chocón</t>
  </si>
  <si>
    <t>(*): Según Nota S.E. N° 2492</t>
  </si>
  <si>
    <t>ANEXO IV al Memorandum  D.T.E.E. N° 256/2011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</si>
</sst>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0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1"/>
      <color indexed="13"/>
      <name val="MS Sans Serif"/>
      <family val="2"/>
    </font>
    <font>
      <b/>
      <sz val="10"/>
      <color indexed="5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sz val="12"/>
      <color indexed="13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sz val="8"/>
      <color indexed="10"/>
      <name val="MS Sans Serif"/>
      <family val="2"/>
    </font>
    <font>
      <sz val="8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8"/>
      <color indexed="18"/>
      <name val="MS Sans Serif"/>
      <family val="2"/>
    </font>
    <font>
      <sz val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7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36" fillId="2" borderId="17" xfId="0" applyFont="1" applyFill="1" applyBorder="1" applyAlignment="1">
      <alignment/>
    </xf>
    <xf numFmtId="0" fontId="36" fillId="2" borderId="2" xfId="0" applyFont="1" applyFill="1" applyBorder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6" fillId="3" borderId="14" xfId="0" applyFont="1" applyFill="1" applyBorder="1" applyAlignment="1">
      <alignment horizontal="center" vertical="center" wrapText="1"/>
    </xf>
    <xf numFmtId="0" fontId="42" fillId="5" borderId="14" xfId="0" applyFont="1" applyFill="1" applyBorder="1" applyAlignment="1">
      <alignment horizontal="center" vertical="center" wrapText="1"/>
    </xf>
    <xf numFmtId="174" fontId="0" fillId="0" borderId="8" xfId="0" applyNumberFormat="1" applyFont="1" applyBorder="1" applyAlignment="1">
      <alignment horizontal="centerContinuous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6" fillId="0" borderId="0" xfId="0" applyFont="1" applyAlignment="1">
      <alignment horizontal="right" vertical="top"/>
    </xf>
    <xf numFmtId="0" fontId="56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4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4" fillId="0" borderId="0" xfId="0" applyNumberFormat="1" applyFont="1" applyBorder="1" applyAlignment="1">
      <alignment horizontal="left"/>
    </xf>
    <xf numFmtId="0" fontId="5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42" fillId="4" borderId="14" xfId="0" applyFont="1" applyFill="1" applyBorder="1" applyAlignment="1">
      <alignment horizontal="center" vertical="center" wrapText="1"/>
    </xf>
    <xf numFmtId="0" fontId="65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0" xfId="0" applyNumberFormat="1" applyFont="1" applyBorder="1" applyAlignment="1" applyProtection="1">
      <alignment horizontal="center"/>
      <protection locked="0"/>
    </xf>
    <xf numFmtId="4" fontId="7" fillId="7" borderId="2" xfId="0" applyNumberFormat="1" applyFont="1" applyFill="1" applyBorder="1" applyAlignment="1" applyProtection="1" quotePrefix="1">
      <alignment horizontal="center"/>
      <protection/>
    </xf>
    <xf numFmtId="164" fontId="7" fillId="7" borderId="2" xfId="0" applyNumberFormat="1" applyFont="1" applyFill="1" applyBorder="1" applyAlignment="1" applyProtection="1" quotePrefix="1">
      <alignment horizontal="center"/>
      <protection/>
    </xf>
    <xf numFmtId="168" fontId="67" fillId="6" borderId="21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2" fontId="44" fillId="4" borderId="14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7" fillId="8" borderId="15" xfId="0" applyFont="1" applyFill="1" applyBorder="1" applyAlignment="1">
      <alignment/>
    </xf>
    <xf numFmtId="0" fontId="7" fillId="8" borderId="9" xfId="0" applyFont="1" applyFill="1" applyBorder="1" applyAlignment="1">
      <alignment/>
    </xf>
    <xf numFmtId="0" fontId="0" fillId="0" borderId="9" xfId="0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8" borderId="8" xfId="0" applyFont="1" applyFill="1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8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27" fillId="0" borderId="14" xfId="23" applyFont="1" applyBorder="1" applyAlignment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48" fillId="9" borderId="14" xfId="0" applyFont="1" applyFill="1" applyBorder="1" applyAlignment="1" applyProtection="1">
      <alignment horizontal="center" vertical="center"/>
      <protection/>
    </xf>
    <xf numFmtId="0" fontId="65" fillId="6" borderId="9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9" fillId="10" borderId="8" xfId="0" applyFont="1" applyFill="1" applyBorder="1" applyAlignment="1">
      <alignment horizontal="centerContinuous" vertical="center" wrapText="1"/>
    </xf>
    <xf numFmtId="0" fontId="70" fillId="10" borderId="15" xfId="0" applyFont="1" applyFill="1" applyBorder="1" applyAlignment="1">
      <alignment horizontal="centerContinuous"/>
    </xf>
    <xf numFmtId="0" fontId="69" fillId="10" borderId="9" xfId="0" applyFont="1" applyFill="1" applyBorder="1" applyAlignment="1">
      <alignment horizontal="centerContinuous" vertical="center"/>
    </xf>
    <xf numFmtId="0" fontId="71" fillId="11" borderId="14" xfId="0" applyFont="1" applyFill="1" applyBorder="1" applyAlignment="1">
      <alignment horizontal="center" vertical="center" wrapText="1"/>
    </xf>
    <xf numFmtId="0" fontId="72" fillId="12" borderId="14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2" fillId="9" borderId="17" xfId="0" applyFont="1" applyFill="1" applyBorder="1" applyAlignment="1">
      <alignment/>
    </xf>
    <xf numFmtId="0" fontId="44" fillId="4" borderId="17" xfId="0" applyFont="1" applyFill="1" applyBorder="1" applyAlignment="1">
      <alignment/>
    </xf>
    <xf numFmtId="0" fontId="67" fillId="6" borderId="17" xfId="0" applyFont="1" applyFill="1" applyBorder="1" applyAlignment="1">
      <alignment/>
    </xf>
    <xf numFmtId="168" fontId="37" fillId="2" borderId="22" xfId="0" applyNumberFormat="1" applyFont="1" applyFill="1" applyBorder="1" applyAlignment="1" applyProtection="1" quotePrefix="1">
      <alignment horizontal="center"/>
      <protection/>
    </xf>
    <xf numFmtId="168" fontId="37" fillId="2" borderId="23" xfId="0" applyNumberFormat="1" applyFont="1" applyFill="1" applyBorder="1" applyAlignment="1" applyProtection="1" quotePrefix="1">
      <alignment horizontal="center"/>
      <protection/>
    </xf>
    <xf numFmtId="4" fontId="37" fillId="2" borderId="24" xfId="0" applyNumberFormat="1" applyFont="1" applyFill="1" applyBorder="1" applyAlignment="1" applyProtection="1">
      <alignment horizontal="center"/>
      <protection/>
    </xf>
    <xf numFmtId="168" fontId="74" fillId="10" borderId="23" xfId="0" applyNumberFormat="1" applyFont="1" applyFill="1" applyBorder="1" applyAlignment="1" applyProtection="1" quotePrefix="1">
      <alignment horizontal="center"/>
      <protection/>
    </xf>
    <xf numFmtId="4" fontId="74" fillId="10" borderId="24" xfId="0" applyNumberFormat="1" applyFont="1" applyFill="1" applyBorder="1" applyAlignment="1" applyProtection="1">
      <alignment horizontal="center"/>
      <protection/>
    </xf>
    <xf numFmtId="0" fontId="75" fillId="11" borderId="17" xfId="0" applyFont="1" applyFill="1" applyBorder="1" applyAlignment="1">
      <alignment/>
    </xf>
    <xf numFmtId="0" fontId="76" fillId="12" borderId="17" xfId="0" applyFont="1" applyFill="1" applyBorder="1" applyAlignment="1">
      <alignment/>
    </xf>
    <xf numFmtId="7" fontId="28" fillId="13" borderId="17" xfId="0" applyNumberFormat="1" applyFont="1" applyFill="1" applyBorder="1" applyAlignment="1">
      <alignment/>
    </xf>
    <xf numFmtId="7" fontId="10" fillId="0" borderId="17" xfId="0" applyNumberFormat="1" applyFont="1" applyBorder="1" applyAlignment="1">
      <alignment horizontal="center"/>
    </xf>
    <xf numFmtId="0" fontId="52" fillId="9" borderId="2" xfId="0" applyFont="1" applyFill="1" applyBorder="1" applyAlignment="1">
      <alignment/>
    </xf>
    <xf numFmtId="22" fontId="7" fillId="0" borderId="4" xfId="0" applyNumberFormat="1" applyFont="1" applyBorder="1" applyAlignment="1">
      <alignment horizontal="center"/>
    </xf>
    <xf numFmtId="0" fontId="44" fillId="4" borderId="2" xfId="0" applyFont="1" applyFill="1" applyBorder="1" applyAlignment="1">
      <alignment/>
    </xf>
    <xf numFmtId="0" fontId="67" fillId="6" borderId="4" xfId="0" applyFont="1" applyFill="1" applyBorder="1" applyAlignment="1">
      <alignment/>
    </xf>
    <xf numFmtId="168" fontId="37" fillId="2" borderId="21" xfId="0" applyNumberFormat="1" applyFont="1" applyFill="1" applyBorder="1" applyAlignment="1" applyProtection="1" quotePrefix="1">
      <alignment horizontal="center"/>
      <protection/>
    </xf>
    <xf numFmtId="168" fontId="37" fillId="2" borderId="25" xfId="0" applyNumberFormat="1" applyFont="1" applyFill="1" applyBorder="1" applyAlignment="1" applyProtection="1" quotePrefix="1">
      <alignment horizontal="center"/>
      <protection/>
    </xf>
    <xf numFmtId="4" fontId="37" fillId="2" borderId="4" xfId="0" applyNumberFormat="1" applyFont="1" applyFill="1" applyBorder="1" applyAlignment="1" applyProtection="1">
      <alignment horizontal="center"/>
      <protection/>
    </xf>
    <xf numFmtId="168" fontId="74" fillId="10" borderId="25" xfId="0" applyNumberFormat="1" applyFont="1" applyFill="1" applyBorder="1" applyAlignment="1" applyProtection="1" quotePrefix="1">
      <alignment horizontal="center"/>
      <protection/>
    </xf>
    <xf numFmtId="4" fontId="74" fillId="10" borderId="4" xfId="0" applyNumberFormat="1" applyFont="1" applyFill="1" applyBorder="1" applyAlignment="1" applyProtection="1">
      <alignment horizontal="center"/>
      <protection/>
    </xf>
    <xf numFmtId="4" fontId="75" fillId="11" borderId="2" xfId="0" applyNumberFormat="1" applyFont="1" applyFill="1" applyBorder="1" applyAlignment="1" applyProtection="1">
      <alignment horizontal="center"/>
      <protection/>
    </xf>
    <xf numFmtId="4" fontId="76" fillId="12" borderId="2" xfId="0" applyNumberFormat="1" applyFont="1" applyFill="1" applyBorder="1" applyAlignment="1" applyProtection="1">
      <alignment horizontal="center"/>
      <protection/>
    </xf>
    <xf numFmtId="0" fontId="28" fillId="13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174" fontId="52" fillId="9" borderId="2" xfId="0" applyNumberFormat="1" applyFont="1" applyFill="1" applyBorder="1" applyAlignment="1" applyProtection="1">
      <alignment horizontal="center"/>
      <protection/>
    </xf>
    <xf numFmtId="22" fontId="7" fillId="0" borderId="26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2" fontId="44" fillId="4" borderId="2" xfId="0" applyNumberFormat="1" applyFont="1" applyFill="1" applyBorder="1" applyAlignment="1" applyProtection="1">
      <alignment horizontal="center"/>
      <protection locked="0"/>
    </xf>
    <xf numFmtId="2" fontId="67" fillId="6" borderId="4" xfId="0" applyNumberFormat="1" applyFont="1" applyFill="1" applyBorder="1" applyAlignment="1" applyProtection="1">
      <alignment horizontal="center"/>
      <protection locked="0"/>
    </xf>
    <xf numFmtId="168" fontId="37" fillId="2" borderId="21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168" fontId="74" fillId="10" borderId="25" xfId="0" applyNumberFormat="1" applyFont="1" applyFill="1" applyBorder="1" applyAlignment="1" applyProtection="1" quotePrefix="1">
      <alignment horizontal="center"/>
      <protection locked="0"/>
    </xf>
    <xf numFmtId="173" fontId="74" fillId="10" borderId="25" xfId="0" applyNumberFormat="1" applyFont="1" applyFill="1" applyBorder="1" applyAlignment="1" applyProtection="1" quotePrefix="1">
      <alignment horizontal="center"/>
      <protection locked="0"/>
    </xf>
    <xf numFmtId="4" fontId="74" fillId="10" borderId="4" xfId="0" applyNumberFormat="1" applyFont="1" applyFill="1" applyBorder="1" applyAlignment="1" applyProtection="1">
      <alignment horizontal="center"/>
      <protection locked="0"/>
    </xf>
    <xf numFmtId="4" fontId="77" fillId="11" borderId="2" xfId="0" applyNumberFormat="1" applyFont="1" applyFill="1" applyBorder="1" applyAlignment="1" applyProtection="1">
      <alignment horizontal="center"/>
      <protection locked="0"/>
    </xf>
    <xf numFmtId="4" fontId="78" fillId="12" borderId="2" xfId="0" applyNumberFormat="1" applyFont="1" applyFill="1" applyBorder="1" applyAlignment="1" applyProtection="1">
      <alignment horizontal="center"/>
      <protection locked="0"/>
    </xf>
    <xf numFmtId="4" fontId="28" fillId="13" borderId="2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36" fillId="2" borderId="3" xfId="0" applyFont="1" applyFill="1" applyBorder="1" applyAlignment="1" applyProtection="1">
      <alignment horizontal="center"/>
      <protection/>
    </xf>
    <xf numFmtId="168" fontId="52" fillId="9" borderId="3" xfId="0" applyNumberFormat="1" applyFont="1" applyFill="1" applyBorder="1" applyAlignment="1" applyProtection="1">
      <alignment horizontal="center"/>
      <protection/>
    </xf>
    <xf numFmtId="2" fontId="44" fillId="4" borderId="3" xfId="0" applyNumberFormat="1" applyFont="1" applyFill="1" applyBorder="1" applyAlignment="1" applyProtection="1">
      <alignment horizontal="center"/>
      <protection locked="0"/>
    </xf>
    <xf numFmtId="2" fontId="67" fillId="6" borderId="3" xfId="0" applyNumberFormat="1" applyFont="1" applyFill="1" applyBorder="1" applyAlignment="1" applyProtection="1">
      <alignment horizontal="center"/>
      <protection locked="0"/>
    </xf>
    <xf numFmtId="168" fontId="37" fillId="2" borderId="28" xfId="0" applyNumberFormat="1" applyFont="1" applyFill="1" applyBorder="1" applyAlignment="1" applyProtection="1" quotePrefix="1">
      <alignment horizontal="center"/>
      <protection locked="0"/>
    </xf>
    <xf numFmtId="168" fontId="37" fillId="2" borderId="29" xfId="0" applyNumberFormat="1" applyFont="1" applyFill="1" applyBorder="1" applyAlignment="1" applyProtection="1" quotePrefix="1">
      <alignment horizontal="center"/>
      <protection locked="0"/>
    </xf>
    <xf numFmtId="4" fontId="37" fillId="2" borderId="30" xfId="0" applyNumberFormat="1" applyFont="1" applyFill="1" applyBorder="1" applyAlignment="1" applyProtection="1">
      <alignment horizontal="center"/>
      <protection locked="0"/>
    </xf>
    <xf numFmtId="168" fontId="74" fillId="10" borderId="28" xfId="0" applyNumberFormat="1" applyFont="1" applyFill="1" applyBorder="1" applyAlignment="1" applyProtection="1" quotePrefix="1">
      <alignment horizontal="center"/>
      <protection locked="0"/>
    </xf>
    <xf numFmtId="168" fontId="74" fillId="10" borderId="29" xfId="0" applyNumberFormat="1" applyFont="1" applyFill="1" applyBorder="1" applyAlignment="1" applyProtection="1" quotePrefix="1">
      <alignment horizontal="center"/>
      <protection locked="0"/>
    </xf>
    <xf numFmtId="4" fontId="74" fillId="10" borderId="30" xfId="0" applyNumberFormat="1" applyFont="1" applyFill="1" applyBorder="1" applyAlignment="1" applyProtection="1">
      <alignment horizontal="center"/>
      <protection locked="0"/>
    </xf>
    <xf numFmtId="4" fontId="77" fillId="11" borderId="3" xfId="0" applyNumberFormat="1" applyFont="1" applyFill="1" applyBorder="1" applyAlignment="1" applyProtection="1">
      <alignment horizontal="center"/>
      <protection locked="0"/>
    </xf>
    <xf numFmtId="4" fontId="78" fillId="12" borderId="3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2" fontId="28" fillId="13" borderId="3" xfId="0" applyNumberFormat="1" applyFont="1" applyFill="1" applyBorder="1" applyAlignment="1">
      <alignment horizontal="right"/>
    </xf>
    <xf numFmtId="2" fontId="10" fillId="0" borderId="31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7" fillId="6" borderId="14" xfId="0" applyNumberFormat="1" applyFont="1" applyFill="1" applyBorder="1" applyAlignment="1" applyProtection="1">
      <alignment horizontal="center"/>
      <protection/>
    </xf>
    <xf numFmtId="2" fontId="37" fillId="2" borderId="32" xfId="0" applyNumberFormat="1" applyFont="1" applyFill="1" applyBorder="1" applyAlignment="1" applyProtection="1">
      <alignment horizontal="center"/>
      <protection/>
    </xf>
    <xf numFmtId="2" fontId="37" fillId="2" borderId="33" xfId="0" applyNumberFormat="1" applyFont="1" applyFill="1" applyBorder="1" applyAlignment="1" applyProtection="1">
      <alignment horizontal="center"/>
      <protection/>
    </xf>
    <xf numFmtId="2" fontId="37" fillId="2" borderId="34" xfId="0" applyNumberFormat="1" applyFont="1" applyFill="1" applyBorder="1" applyAlignment="1" applyProtection="1">
      <alignment horizontal="center"/>
      <protection/>
    </xf>
    <xf numFmtId="2" fontId="74" fillId="10" borderId="32" xfId="0" applyNumberFormat="1" applyFont="1" applyFill="1" applyBorder="1" applyAlignment="1" applyProtection="1">
      <alignment horizontal="center"/>
      <protection/>
    </xf>
    <xf numFmtId="2" fontId="74" fillId="10" borderId="33" xfId="0" applyNumberFormat="1" applyFont="1" applyFill="1" applyBorder="1" applyAlignment="1" applyProtection="1">
      <alignment horizontal="center"/>
      <protection/>
    </xf>
    <xf numFmtId="2" fontId="74" fillId="10" borderId="34" xfId="0" applyNumberFormat="1" applyFont="1" applyFill="1" applyBorder="1" applyAlignment="1" applyProtection="1">
      <alignment horizontal="center"/>
      <protection/>
    </xf>
    <xf numFmtId="2" fontId="77" fillId="11" borderId="14" xfId="0" applyNumberFormat="1" applyFont="1" applyFill="1" applyBorder="1" applyAlignment="1" applyProtection="1">
      <alignment horizontal="center"/>
      <protection/>
    </xf>
    <xf numFmtId="2" fontId="78" fillId="12" borderId="14" xfId="0" applyNumberFormat="1" applyFont="1" applyFill="1" applyBorder="1" applyAlignment="1" applyProtection="1">
      <alignment horizontal="center"/>
      <protection/>
    </xf>
    <xf numFmtId="2" fontId="63" fillId="0" borderId="35" xfId="0" applyNumberFormat="1" applyFont="1" applyBorder="1" applyAlignment="1" applyProtection="1">
      <alignment horizontal="center"/>
      <protection/>
    </xf>
    <xf numFmtId="7" fontId="79" fillId="13" borderId="14" xfId="0" applyNumberFormat="1" applyFont="1" applyFill="1" applyBorder="1" applyAlignment="1" applyProtection="1">
      <alignment horizontal="right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80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5" borderId="14" xfId="0" applyFont="1" applyFill="1" applyBorder="1" applyAlignment="1" applyProtection="1">
      <alignment horizontal="center" vertical="center"/>
      <protection/>
    </xf>
    <xf numFmtId="0" fontId="81" fillId="11" borderId="14" xfId="0" applyFont="1" applyFill="1" applyBorder="1" applyAlignment="1">
      <alignment horizontal="center" vertical="center" wrapText="1"/>
    </xf>
    <xf numFmtId="0" fontId="82" fillId="6" borderId="14" xfId="0" applyFont="1" applyFill="1" applyBorder="1" applyAlignment="1">
      <alignment horizontal="center" vertical="center" wrapText="1"/>
    </xf>
    <xf numFmtId="0" fontId="40" fillId="9" borderId="8" xfId="0" applyFont="1" applyFill="1" applyBorder="1" applyAlignment="1" applyProtection="1">
      <alignment horizontal="centerContinuous" vertical="center" wrapText="1"/>
      <protection/>
    </xf>
    <xf numFmtId="0" fontId="40" fillId="9" borderId="9" xfId="0" applyFont="1" applyFill="1" applyBorder="1" applyAlignment="1">
      <alignment horizontal="centerContinuous" vertical="center"/>
    </xf>
    <xf numFmtId="0" fontId="46" fillId="14" borderId="14" xfId="0" applyFont="1" applyFill="1" applyBorder="1" applyAlignment="1">
      <alignment horizontal="center" vertical="center" wrapText="1"/>
    </xf>
    <xf numFmtId="0" fontId="41" fillId="11" borderId="1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164" fontId="7" fillId="0" borderId="36" xfId="0" applyNumberFormat="1" applyFont="1" applyFill="1" applyBorder="1" applyAlignment="1" applyProtection="1">
      <alignment horizontal="center"/>
      <protection/>
    </xf>
    <xf numFmtId="0" fontId="36" fillId="2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5" fillId="5" borderId="36" xfId="0" applyFont="1" applyFill="1" applyBorder="1" applyAlignment="1">
      <alignment horizontal="center"/>
    </xf>
    <xf numFmtId="0" fontId="83" fillId="11" borderId="36" xfId="0" applyFont="1" applyFill="1" applyBorder="1" applyAlignment="1">
      <alignment horizontal="center"/>
    </xf>
    <xf numFmtId="0" fontId="84" fillId="6" borderId="36" xfId="0" applyFont="1" applyFill="1" applyBorder="1" applyAlignment="1">
      <alignment horizontal="center"/>
    </xf>
    <xf numFmtId="0" fontId="37" fillId="2" borderId="22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85" fillId="9" borderId="39" xfId="0" applyFont="1" applyFill="1" applyBorder="1" applyAlignment="1">
      <alignment horizontal="center"/>
    </xf>
    <xf numFmtId="0" fontId="85" fillId="9" borderId="40" xfId="0" applyFont="1" applyFill="1" applyBorder="1" applyAlignment="1">
      <alignment horizontal="center"/>
    </xf>
    <xf numFmtId="0" fontId="47" fillId="14" borderId="36" xfId="0" applyFont="1" applyFill="1" applyBorder="1" applyAlignment="1">
      <alignment horizontal="center"/>
    </xf>
    <xf numFmtId="0" fontId="86" fillId="11" borderId="36" xfId="0" applyFont="1" applyFill="1" applyBorder="1" applyAlignment="1">
      <alignment horizontal="center"/>
    </xf>
    <xf numFmtId="7" fontId="10" fillId="0" borderId="3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45" fillId="5" borderId="18" xfId="0" applyFont="1" applyFill="1" applyBorder="1" applyAlignment="1">
      <alignment horizontal="center"/>
    </xf>
    <xf numFmtId="0" fontId="83" fillId="11" borderId="18" xfId="0" applyFont="1" applyFill="1" applyBorder="1" applyAlignment="1">
      <alignment horizontal="center"/>
    </xf>
    <xf numFmtId="0" fontId="84" fillId="6" borderId="18" xfId="0" applyFont="1" applyFill="1" applyBorder="1" applyAlignment="1">
      <alignment horizontal="center"/>
    </xf>
    <xf numFmtId="0" fontId="37" fillId="2" borderId="42" xfId="0" applyFont="1" applyFill="1" applyBorder="1" applyAlignment="1">
      <alignment horizontal="center"/>
    </xf>
    <xf numFmtId="0" fontId="37" fillId="2" borderId="43" xfId="0" applyFont="1" applyFill="1" applyBorder="1" applyAlignment="1">
      <alignment horizontal="center"/>
    </xf>
    <xf numFmtId="0" fontId="85" fillId="9" borderId="42" xfId="0" applyFont="1" applyFill="1" applyBorder="1" applyAlignment="1">
      <alignment horizontal="center"/>
    </xf>
    <xf numFmtId="0" fontId="85" fillId="9" borderId="43" xfId="0" applyFont="1" applyFill="1" applyBorder="1" applyAlignment="1">
      <alignment horizontal="center"/>
    </xf>
    <xf numFmtId="0" fontId="47" fillId="14" borderId="18" xfId="0" applyFont="1" applyFill="1" applyBorder="1" applyAlignment="1">
      <alignment horizontal="center"/>
    </xf>
    <xf numFmtId="0" fontId="86" fillId="11" borderId="18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5" fillId="5" borderId="2" xfId="0" applyNumberFormat="1" applyFont="1" applyFill="1" applyBorder="1" applyAlignment="1" applyProtection="1">
      <alignment horizontal="center"/>
      <protection/>
    </xf>
    <xf numFmtId="2" fontId="83" fillId="11" borderId="2" xfId="0" applyNumberFormat="1" applyFont="1" applyFill="1" applyBorder="1" applyAlignment="1">
      <alignment horizontal="center"/>
    </xf>
    <xf numFmtId="2" fontId="84" fillId="6" borderId="2" xfId="0" applyNumberFormat="1" applyFont="1" applyFill="1" applyBorder="1" applyAlignment="1">
      <alignment horizontal="center"/>
    </xf>
    <xf numFmtId="168" fontId="37" fillId="2" borderId="42" xfId="0" applyNumberFormat="1" applyFont="1" applyFill="1" applyBorder="1" applyAlignment="1" applyProtection="1" quotePrefix="1">
      <alignment horizontal="center"/>
      <protection/>
    </xf>
    <xf numFmtId="168" fontId="37" fillId="2" borderId="43" xfId="0" applyNumberFormat="1" applyFont="1" applyFill="1" applyBorder="1" applyAlignment="1" applyProtection="1" quotePrefix="1">
      <alignment horizontal="center"/>
      <protection/>
    </xf>
    <xf numFmtId="168" fontId="85" fillId="9" borderId="42" xfId="0" applyNumberFormat="1" applyFont="1" applyFill="1" applyBorder="1" applyAlignment="1" applyProtection="1" quotePrefix="1">
      <alignment horizontal="center"/>
      <protection/>
    </xf>
    <xf numFmtId="168" fontId="85" fillId="9" borderId="43" xfId="0" applyNumberFormat="1" applyFont="1" applyFill="1" applyBorder="1" applyAlignment="1" applyProtection="1" quotePrefix="1">
      <alignment horizontal="center"/>
      <protection/>
    </xf>
    <xf numFmtId="168" fontId="47" fillId="14" borderId="2" xfId="0" applyNumberFormat="1" applyFont="1" applyFill="1" applyBorder="1" applyAlignment="1" applyProtection="1" quotePrefix="1">
      <alignment horizontal="center"/>
      <protection/>
    </xf>
    <xf numFmtId="168" fontId="86" fillId="11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1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4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5" fillId="5" borderId="3" xfId="0" applyNumberFormat="1" applyFont="1" applyFill="1" applyBorder="1" applyAlignment="1" applyProtection="1">
      <alignment horizontal="center"/>
      <protection/>
    </xf>
    <xf numFmtId="2" fontId="83" fillId="11" borderId="3" xfId="0" applyNumberFormat="1" applyFont="1" applyFill="1" applyBorder="1" applyAlignment="1">
      <alignment horizontal="center"/>
    </xf>
    <xf numFmtId="2" fontId="84" fillId="6" borderId="3" xfId="0" applyNumberFormat="1" applyFont="1" applyFill="1" applyBorder="1" applyAlignment="1">
      <alignment horizontal="center"/>
    </xf>
    <xf numFmtId="168" fontId="37" fillId="2" borderId="45" xfId="0" applyNumberFormat="1" applyFont="1" applyFill="1" applyBorder="1" applyAlignment="1" applyProtection="1" quotePrefix="1">
      <alignment horizontal="center"/>
      <protection/>
    </xf>
    <xf numFmtId="168" fontId="37" fillId="2" borderId="46" xfId="0" applyNumberFormat="1" applyFont="1" applyFill="1" applyBorder="1" applyAlignment="1" applyProtection="1" quotePrefix="1">
      <alignment horizontal="center"/>
      <protection/>
    </xf>
    <xf numFmtId="168" fontId="85" fillId="9" borderId="28" xfId="0" applyNumberFormat="1" applyFont="1" applyFill="1" applyBorder="1" applyAlignment="1" applyProtection="1" quotePrefix="1">
      <alignment horizontal="center"/>
      <protection/>
    </xf>
    <xf numFmtId="168" fontId="85" fillId="9" borderId="30" xfId="0" applyNumberFormat="1" applyFont="1" applyFill="1" applyBorder="1" applyAlignment="1" applyProtection="1" quotePrefix="1">
      <alignment horizontal="center"/>
      <protection/>
    </xf>
    <xf numFmtId="168" fontId="47" fillId="14" borderId="3" xfId="0" applyNumberFormat="1" applyFont="1" applyFill="1" applyBorder="1" applyAlignment="1" applyProtection="1" quotePrefix="1">
      <alignment horizontal="center"/>
      <protection/>
    </xf>
    <xf numFmtId="168" fontId="86" fillId="11" borderId="3" xfId="0" applyNumberFormat="1" applyFont="1" applyFill="1" applyBorder="1" applyAlignment="1" applyProtection="1" quotePrefix="1">
      <alignment horizontal="center"/>
      <protection/>
    </xf>
    <xf numFmtId="168" fontId="68" fillId="0" borderId="19" xfId="0" applyNumberFormat="1" applyFont="1" applyFill="1" applyBorder="1" applyAlignment="1">
      <alignment horizontal="center"/>
    </xf>
    <xf numFmtId="168" fontId="28" fillId="0" borderId="47" xfId="0" applyNumberFormat="1" applyFont="1" applyFill="1" applyBorder="1" applyAlignment="1">
      <alignment horizontal="center"/>
    </xf>
    <xf numFmtId="4" fontId="83" fillId="11" borderId="14" xfId="0" applyNumberFormat="1" applyFont="1" applyFill="1" applyBorder="1" applyAlignment="1">
      <alignment horizontal="center"/>
    </xf>
    <xf numFmtId="4" fontId="84" fillId="6" borderId="14" xfId="0" applyNumberFormat="1" applyFont="1" applyFill="1" applyBorder="1" applyAlignment="1">
      <alignment horizontal="center"/>
    </xf>
    <xf numFmtId="4" fontId="37" fillId="2" borderId="32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85" fillId="9" borderId="32" xfId="0" applyNumberFormat="1" applyFont="1" applyFill="1" applyBorder="1" applyAlignment="1">
      <alignment horizontal="center"/>
    </xf>
    <xf numFmtId="4" fontId="85" fillId="9" borderId="34" xfId="0" applyNumberFormat="1" applyFont="1" applyFill="1" applyBorder="1" applyAlignment="1">
      <alignment horizontal="center"/>
    </xf>
    <xf numFmtId="4" fontId="47" fillId="14" borderId="14" xfId="0" applyNumberFormat="1" applyFont="1" applyFill="1" applyBorder="1" applyAlignment="1">
      <alignment horizontal="center"/>
    </xf>
    <xf numFmtId="4" fontId="86" fillId="11" borderId="14" xfId="0" applyNumberFormat="1" applyFont="1" applyFill="1" applyBorder="1" applyAlignment="1">
      <alignment horizontal="center"/>
    </xf>
    <xf numFmtId="7" fontId="87" fillId="0" borderId="14" xfId="0" applyNumberFormat="1" applyFont="1" applyFill="1" applyBorder="1" applyAlignment="1">
      <alignment horizontal="right"/>
    </xf>
    <xf numFmtId="0" fontId="36" fillId="2" borderId="48" xfId="0" applyFont="1" applyFill="1" applyBorder="1" applyAlignment="1">
      <alignment horizontal="center"/>
    </xf>
    <xf numFmtId="2" fontId="83" fillId="11" borderId="3" xfId="0" applyNumberFormat="1" applyFont="1" applyFill="1" applyBorder="1" applyAlignment="1" applyProtection="1">
      <alignment horizontal="center"/>
      <protection locked="0"/>
    </xf>
    <xf numFmtId="2" fontId="84" fillId="6" borderId="3" xfId="0" applyNumberFormat="1" applyFont="1" applyFill="1" applyBorder="1" applyAlignment="1" applyProtection="1">
      <alignment horizontal="center"/>
      <protection locked="0"/>
    </xf>
    <xf numFmtId="168" fontId="37" fillId="2" borderId="45" xfId="0" applyNumberFormat="1" applyFont="1" applyFill="1" applyBorder="1" applyAlignment="1" applyProtection="1" quotePrefix="1">
      <alignment horizontal="center"/>
      <protection locked="0"/>
    </xf>
    <xf numFmtId="168" fontId="37" fillId="2" borderId="46" xfId="0" applyNumberFormat="1" applyFont="1" applyFill="1" applyBorder="1" applyAlignment="1" applyProtection="1" quotePrefix="1">
      <alignment horizontal="center"/>
      <protection locked="0"/>
    </xf>
    <xf numFmtId="168" fontId="85" fillId="9" borderId="28" xfId="0" applyNumberFormat="1" applyFont="1" applyFill="1" applyBorder="1" applyAlignment="1" applyProtection="1" quotePrefix="1">
      <alignment horizontal="center"/>
      <protection locked="0"/>
    </xf>
    <xf numFmtId="168" fontId="85" fillId="9" borderId="30" xfId="0" applyNumberFormat="1" applyFont="1" applyFill="1" applyBorder="1" applyAlignment="1" applyProtection="1" quotePrefix="1">
      <alignment horizontal="center"/>
      <protection locked="0"/>
    </xf>
    <xf numFmtId="168" fontId="47" fillId="14" borderId="3" xfId="0" applyNumberFormat="1" applyFont="1" applyFill="1" applyBorder="1" applyAlignment="1" applyProtection="1" quotePrefix="1">
      <alignment horizontal="center"/>
      <protection locked="0"/>
    </xf>
    <xf numFmtId="168" fontId="86" fillId="11" borderId="3" xfId="0" applyNumberFormat="1" applyFont="1" applyFill="1" applyBorder="1" applyAlignment="1" applyProtection="1" quotePrefix="1">
      <alignment horizontal="center"/>
      <protection locked="0"/>
    </xf>
    <xf numFmtId="168" fontId="68" fillId="0" borderId="19" xfId="0" applyNumberFormat="1" applyFont="1" applyFill="1" applyBorder="1" applyAlignment="1" applyProtection="1">
      <alignment horizontal="center"/>
      <protection locked="0"/>
    </xf>
    <xf numFmtId="164" fontId="45" fillId="5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9" borderId="14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5" fillId="4" borderId="17" xfId="0" applyFont="1" applyFill="1" applyBorder="1" applyAlignment="1" applyProtection="1">
      <alignment horizontal="center"/>
      <protection/>
    </xf>
    <xf numFmtId="0" fontId="85" fillId="9" borderId="17" xfId="0" applyFont="1" applyFill="1" applyBorder="1" applyAlignment="1" applyProtection="1">
      <alignment horizontal="center"/>
      <protection/>
    </xf>
    <xf numFmtId="168" fontId="67" fillId="6" borderId="22" xfId="0" applyNumberFormat="1" applyFont="1" applyFill="1" applyBorder="1" applyAlignment="1" applyProtection="1" quotePrefix="1">
      <alignment horizontal="center"/>
      <protection/>
    </xf>
    <xf numFmtId="168" fontId="67" fillId="6" borderId="38" xfId="0" applyNumberFormat="1" applyFont="1" applyFill="1" applyBorder="1" applyAlignment="1" applyProtection="1" quotePrefix="1">
      <alignment horizontal="center"/>
      <protection/>
    </xf>
    <xf numFmtId="168" fontId="44" fillId="3" borderId="17" xfId="0" applyNumberFormat="1" applyFont="1" applyFill="1" applyBorder="1" applyAlignment="1" applyProtection="1" quotePrefix="1">
      <alignment horizontal="center"/>
      <protection/>
    </xf>
    <xf numFmtId="7" fontId="88" fillId="0" borderId="2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36" fillId="2" borderId="20" xfId="0" applyFont="1" applyFill="1" applyBorder="1" applyAlignment="1" applyProtection="1">
      <alignment horizontal="center"/>
      <protection/>
    </xf>
    <xf numFmtId="0" fontId="45" fillId="4" borderId="2" xfId="0" applyFont="1" applyFill="1" applyBorder="1" applyAlignment="1" applyProtection="1">
      <alignment horizontal="center"/>
      <protection/>
    </xf>
    <xf numFmtId="0" fontId="85" fillId="9" borderId="2" xfId="0" applyFont="1" applyFill="1" applyBorder="1" applyAlignment="1" applyProtection="1">
      <alignment horizontal="center"/>
      <protection/>
    </xf>
    <xf numFmtId="168" fontId="67" fillId="6" borderId="49" xfId="0" applyNumberFormat="1" applyFont="1" applyFill="1" applyBorder="1" applyAlignment="1" applyProtection="1" quotePrefix="1">
      <alignment horizontal="center"/>
      <protection/>
    </xf>
    <xf numFmtId="168" fontId="44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5" fillId="4" borderId="3" xfId="0" applyNumberFormat="1" applyFont="1" applyFill="1" applyBorder="1" applyAlignment="1" applyProtection="1">
      <alignment horizontal="center"/>
      <protection locked="0"/>
    </xf>
    <xf numFmtId="2" fontId="85" fillId="9" borderId="3" xfId="0" applyNumberFormat="1" applyFont="1" applyFill="1" applyBorder="1" applyAlignment="1" applyProtection="1">
      <alignment horizontal="center"/>
      <protection locked="0"/>
    </xf>
    <xf numFmtId="168" fontId="67" fillId="6" borderId="28" xfId="0" applyNumberFormat="1" applyFont="1" applyFill="1" applyBorder="1" applyAlignment="1" applyProtection="1" quotePrefix="1">
      <alignment horizontal="center"/>
      <protection locked="0"/>
    </xf>
    <xf numFmtId="168" fontId="67" fillId="6" borderId="30" xfId="0" applyNumberFormat="1" applyFont="1" applyFill="1" applyBorder="1" applyAlignment="1" applyProtection="1" quotePrefix="1">
      <alignment horizontal="center"/>
      <protection locked="0"/>
    </xf>
    <xf numFmtId="7" fontId="28" fillId="0" borderId="31" xfId="0" applyNumberFormat="1" applyFont="1" applyFill="1" applyBorder="1" applyAlignment="1">
      <alignment horizontal="right"/>
    </xf>
    <xf numFmtId="4" fontId="85" fillId="9" borderId="14" xfId="0" applyNumberFormat="1" applyFont="1" applyFill="1" applyBorder="1" applyAlignment="1">
      <alignment horizontal="center"/>
    </xf>
    <xf numFmtId="4" fontId="67" fillId="6" borderId="32" xfId="0" applyNumberFormat="1" applyFont="1" applyFill="1" applyBorder="1" applyAlignment="1">
      <alignment horizontal="center"/>
    </xf>
    <xf numFmtId="4" fontId="67" fillId="6" borderId="34" xfId="0" applyNumberFormat="1" applyFont="1" applyFill="1" applyBorder="1" applyAlignment="1">
      <alignment horizontal="center"/>
    </xf>
    <xf numFmtId="4" fontId="44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8" fillId="11" borderId="14" xfId="0" applyFont="1" applyFill="1" applyBorder="1" applyAlignment="1">
      <alignment horizontal="center" vertical="center" wrapText="1"/>
    </xf>
    <xf numFmtId="0" fontId="46" fillId="15" borderId="8" xfId="0" applyFont="1" applyFill="1" applyBorder="1" applyAlignment="1" applyProtection="1">
      <alignment horizontal="centerContinuous" vertical="center" wrapText="1"/>
      <protection/>
    </xf>
    <xf numFmtId="0" fontId="46" fillId="15" borderId="9" xfId="0" applyFont="1" applyFill="1" applyBorder="1" applyAlignment="1">
      <alignment horizontal="centerContinuous" vertical="center"/>
    </xf>
    <xf numFmtId="0" fontId="49" fillId="6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9" fillId="11" borderId="36" xfId="0" applyFont="1" applyFill="1" applyBorder="1" applyAlignment="1">
      <alignment horizontal="center"/>
    </xf>
    <xf numFmtId="0" fontId="47" fillId="15" borderId="22" xfId="0" applyFont="1" applyFill="1" applyBorder="1" applyAlignment="1">
      <alignment horizontal="center"/>
    </xf>
    <xf numFmtId="0" fontId="47" fillId="15" borderId="38" xfId="0" applyFont="1" applyFill="1" applyBorder="1" applyAlignment="1">
      <alignment horizontal="center"/>
    </xf>
    <xf numFmtId="0" fontId="50" fillId="6" borderId="3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7" fontId="29" fillId="0" borderId="36" xfId="0" applyNumberFormat="1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6" fillId="2" borderId="18" xfId="0" applyNumberFormat="1" applyFont="1" applyFill="1" applyBorder="1" applyAlignment="1" applyProtection="1">
      <alignment horizontal="center"/>
      <protection/>
    </xf>
    <xf numFmtId="22" fontId="7" fillId="0" borderId="42" xfId="0" applyNumberFormat="1" applyFont="1" applyBorder="1" applyAlignment="1">
      <alignment horizontal="center"/>
    </xf>
    <xf numFmtId="22" fontId="7" fillId="0" borderId="52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41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6" fillId="2" borderId="26" xfId="0" applyNumberFormat="1" applyFont="1" applyFill="1" applyBorder="1" applyAlignment="1" applyProtection="1">
      <alignment horizontal="center"/>
      <protection/>
    </xf>
    <xf numFmtId="2" fontId="89" fillId="11" borderId="18" xfId="0" applyNumberFormat="1" applyFont="1" applyFill="1" applyBorder="1" applyAlignment="1">
      <alignment horizontal="center"/>
    </xf>
    <xf numFmtId="168" fontId="47" fillId="15" borderId="42" xfId="0" applyNumberFormat="1" applyFont="1" applyFill="1" applyBorder="1" applyAlignment="1" applyProtection="1" quotePrefix="1">
      <alignment horizontal="center"/>
      <protection/>
    </xf>
    <xf numFmtId="168" fontId="47" fillId="15" borderId="43" xfId="0" applyNumberFormat="1" applyFont="1" applyFill="1" applyBorder="1" applyAlignment="1" applyProtection="1" quotePrefix="1">
      <alignment horizontal="center"/>
      <protection/>
    </xf>
    <xf numFmtId="168" fontId="50" fillId="6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2" fontId="7" fillId="0" borderId="53" xfId="0" applyNumberFormat="1" applyFont="1" applyFill="1" applyBorder="1" applyAlignment="1" applyProtection="1" quotePrefix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54" xfId="0" applyNumberFormat="1" applyFont="1" applyFill="1" applyBorder="1" applyAlignment="1" applyProtection="1">
      <alignment horizontal="center"/>
      <protection locked="0"/>
    </xf>
    <xf numFmtId="2" fontId="89" fillId="11" borderId="3" xfId="0" applyNumberFormat="1" applyFont="1" applyFill="1" applyBorder="1" applyAlignment="1" applyProtection="1">
      <alignment horizontal="center"/>
      <protection locked="0"/>
    </xf>
    <xf numFmtId="168" fontId="47" fillId="15" borderId="45" xfId="0" applyNumberFormat="1" applyFont="1" applyFill="1" applyBorder="1" applyAlignment="1" applyProtection="1" quotePrefix="1">
      <alignment horizontal="center"/>
      <protection locked="0"/>
    </xf>
    <xf numFmtId="168" fontId="47" fillId="15" borderId="46" xfId="0" applyNumberFormat="1" applyFont="1" applyFill="1" applyBorder="1" applyAlignment="1" applyProtection="1" quotePrefix="1">
      <alignment horizontal="center"/>
      <protection locked="0"/>
    </xf>
    <xf numFmtId="168" fontId="50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31" xfId="0" applyNumberFormat="1" applyFont="1" applyFill="1" applyBorder="1" applyAlignment="1">
      <alignment horizontal="center"/>
    </xf>
    <xf numFmtId="4" fontId="89" fillId="11" borderId="14" xfId="0" applyNumberFormat="1" applyFont="1" applyFill="1" applyBorder="1" applyAlignment="1">
      <alignment horizontal="center"/>
    </xf>
    <xf numFmtId="4" fontId="47" fillId="15" borderId="32" xfId="0" applyNumberFormat="1" applyFont="1" applyFill="1" applyBorder="1" applyAlignment="1">
      <alignment horizontal="center"/>
    </xf>
    <xf numFmtId="4" fontId="47" fillId="15" borderId="9" xfId="0" applyNumberFormat="1" applyFont="1" applyFill="1" applyBorder="1" applyAlignment="1">
      <alignment horizontal="center"/>
    </xf>
    <xf numFmtId="4" fontId="50" fillId="6" borderId="14" xfId="0" applyNumberFormat="1" applyFont="1" applyFill="1" applyBorder="1" applyAlignment="1">
      <alignment horizontal="center"/>
    </xf>
    <xf numFmtId="0" fontId="7" fillId="0" borderId="55" xfId="0" applyFont="1" applyBorder="1" applyAlignment="1">
      <alignment/>
    </xf>
    <xf numFmtId="168" fontId="7" fillId="0" borderId="52" xfId="0" applyNumberFormat="1" applyFont="1" applyBorder="1" applyAlignment="1" applyProtection="1">
      <alignment horizontal="center"/>
      <protection/>
    </xf>
    <xf numFmtId="0" fontId="90" fillId="0" borderId="0" xfId="0" applyFont="1" applyAlignment="1">
      <alignment horizontal="centerContinuous"/>
    </xf>
    <xf numFmtId="0" fontId="91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6" xfId="0" applyNumberFormat="1" applyFont="1" applyBorder="1" applyAlignment="1">
      <alignment horizontal="center"/>
    </xf>
    <xf numFmtId="0" fontId="94" fillId="0" borderId="0" xfId="0" applyFont="1" applyFill="1" applyAlignment="1">
      <alignment/>
    </xf>
    <xf numFmtId="0" fontId="95" fillId="0" borderId="0" xfId="0" applyFont="1" applyAlignment="1">
      <alignment horizontal="centerContinuous"/>
    </xf>
    <xf numFmtId="0" fontId="94" fillId="0" borderId="0" xfId="0" applyFont="1" applyAlignment="1">
      <alignment horizontal="centerContinuous"/>
    </xf>
    <xf numFmtId="0" fontId="94" fillId="0" borderId="0" xfId="0" applyFont="1" applyAlignment="1">
      <alignment/>
    </xf>
    <xf numFmtId="0" fontId="23" fillId="0" borderId="0" xfId="0" applyFont="1" applyAlignment="1">
      <alignment/>
    </xf>
    <xf numFmtId="0" fontId="96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7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48" fillId="10" borderId="14" xfId="0" applyFont="1" applyFill="1" applyBorder="1" applyAlignment="1">
      <alignment horizontal="center" vertical="center" wrapText="1"/>
    </xf>
    <xf numFmtId="0" fontId="98" fillId="3" borderId="8" xfId="0" applyFont="1" applyFill="1" applyBorder="1" applyAlignment="1" applyProtection="1">
      <alignment horizontal="centerContinuous" vertical="center" wrapText="1"/>
      <protection/>
    </xf>
    <xf numFmtId="0" fontId="99" fillId="3" borderId="15" xfId="0" applyFont="1" applyFill="1" applyBorder="1" applyAlignment="1">
      <alignment horizontal="centerContinuous"/>
    </xf>
    <xf numFmtId="0" fontId="98" fillId="3" borderId="9" xfId="0" applyFont="1" applyFill="1" applyBorder="1" applyAlignment="1">
      <alignment horizontal="centerContinuous" vertical="center"/>
    </xf>
    <xf numFmtId="0" fontId="42" fillId="16" borderId="8" xfId="0" applyFont="1" applyFill="1" applyBorder="1" applyAlignment="1">
      <alignment horizontal="centerContinuous" vertical="center" wrapText="1"/>
    </xf>
    <xf numFmtId="0" fontId="43" fillId="16" borderId="15" xfId="0" applyFont="1" applyFill="1" applyBorder="1" applyAlignment="1">
      <alignment horizontal="centerContinuous"/>
    </xf>
    <xf numFmtId="0" fontId="42" fillId="16" borderId="9" xfId="0" applyFont="1" applyFill="1" applyBorder="1" applyAlignment="1">
      <alignment horizontal="centerContinuous" vertical="center"/>
    </xf>
    <xf numFmtId="0" fontId="42" fillId="11" borderId="14" xfId="0" applyFont="1" applyFill="1" applyBorder="1" applyAlignment="1">
      <alignment horizontal="centerContinuous" vertical="center" wrapText="1"/>
    </xf>
    <xf numFmtId="0" fontId="42" fillId="17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100" fillId="2" borderId="17" xfId="0" applyNumberFormat="1" applyFont="1" applyFill="1" applyBorder="1" applyAlignment="1" applyProtection="1">
      <alignment horizontal="center"/>
      <protection/>
    </xf>
    <xf numFmtId="0" fontId="101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44" fillId="5" borderId="17" xfId="0" applyFont="1" applyFill="1" applyBorder="1" applyAlignment="1">
      <alignment horizontal="center"/>
    </xf>
    <xf numFmtId="0" fontId="89" fillId="10" borderId="17" xfId="0" applyFont="1" applyFill="1" applyBorder="1" applyAlignment="1">
      <alignment horizontal="center"/>
    </xf>
    <xf numFmtId="168" fontId="102" fillId="3" borderId="22" xfId="0" applyNumberFormat="1" applyFont="1" applyFill="1" applyBorder="1" applyAlignment="1" applyProtection="1" quotePrefix="1">
      <alignment horizontal="center"/>
      <protection/>
    </xf>
    <xf numFmtId="168" fontId="102" fillId="3" borderId="23" xfId="0" applyNumberFormat="1" applyFont="1" applyFill="1" applyBorder="1" applyAlignment="1" applyProtection="1" quotePrefix="1">
      <alignment horizontal="center"/>
      <protection/>
    </xf>
    <xf numFmtId="4" fontId="102" fillId="3" borderId="24" xfId="0" applyNumberFormat="1" applyFont="1" applyFill="1" applyBorder="1" applyAlignment="1" applyProtection="1">
      <alignment horizontal="center"/>
      <protection/>
    </xf>
    <xf numFmtId="168" fontId="44" fillId="16" borderId="22" xfId="0" applyNumberFormat="1" applyFont="1" applyFill="1" applyBorder="1" applyAlignment="1" applyProtection="1" quotePrefix="1">
      <alignment horizontal="center"/>
      <protection/>
    </xf>
    <xf numFmtId="168" fontId="44" fillId="16" borderId="23" xfId="0" applyNumberFormat="1" applyFont="1" applyFill="1" applyBorder="1" applyAlignment="1" applyProtection="1" quotePrefix="1">
      <alignment horizontal="center"/>
      <protection/>
    </xf>
    <xf numFmtId="4" fontId="44" fillId="16" borderId="24" xfId="0" applyNumberFormat="1" applyFont="1" applyFill="1" applyBorder="1" applyAlignment="1" applyProtection="1">
      <alignment horizontal="center"/>
      <protection/>
    </xf>
    <xf numFmtId="4" fontId="44" fillId="11" borderId="17" xfId="0" applyNumberFormat="1" applyFont="1" applyFill="1" applyBorder="1" applyAlignment="1" applyProtection="1">
      <alignment horizontal="center"/>
      <protection/>
    </xf>
    <xf numFmtId="4" fontId="44" fillId="17" borderId="17" xfId="0" applyNumberFormat="1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100" fillId="2" borderId="2" xfId="0" applyFont="1" applyFill="1" applyBorder="1" applyAlignment="1" applyProtection="1">
      <alignment horizontal="center"/>
      <protection/>
    </xf>
    <xf numFmtId="168" fontId="101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44" fillId="5" borderId="2" xfId="0" applyNumberFormat="1" applyFont="1" applyFill="1" applyBorder="1" applyAlignment="1" applyProtection="1">
      <alignment horizontal="center"/>
      <protection/>
    </xf>
    <xf numFmtId="2" fontId="89" fillId="10" borderId="2" xfId="0" applyNumberFormat="1" applyFont="1" applyFill="1" applyBorder="1" applyAlignment="1" applyProtection="1">
      <alignment horizontal="center"/>
      <protection/>
    </xf>
    <xf numFmtId="168" fontId="102" fillId="3" borderId="21" xfId="0" applyNumberFormat="1" applyFont="1" applyFill="1" applyBorder="1" applyAlignment="1" applyProtection="1" quotePrefix="1">
      <alignment horizontal="center"/>
      <protection/>
    </xf>
    <xf numFmtId="168" fontId="102" fillId="3" borderId="25" xfId="0" applyNumberFormat="1" applyFont="1" applyFill="1" applyBorder="1" applyAlignment="1" applyProtection="1" quotePrefix="1">
      <alignment horizontal="center"/>
      <protection/>
    </xf>
    <xf numFmtId="4" fontId="102" fillId="3" borderId="4" xfId="0" applyNumberFormat="1" applyFont="1" applyFill="1" applyBorder="1" applyAlignment="1" applyProtection="1">
      <alignment horizontal="center"/>
      <protection/>
    </xf>
    <xf numFmtId="168" fontId="44" fillId="16" borderId="21" xfId="0" applyNumberFormat="1" applyFont="1" applyFill="1" applyBorder="1" applyAlignment="1" applyProtection="1" quotePrefix="1">
      <alignment horizontal="center"/>
      <protection/>
    </xf>
    <xf numFmtId="168" fontId="44" fillId="16" borderId="25" xfId="0" applyNumberFormat="1" applyFont="1" applyFill="1" applyBorder="1" applyAlignment="1" applyProtection="1" quotePrefix="1">
      <alignment horizontal="center"/>
      <protection/>
    </xf>
    <xf numFmtId="4" fontId="44" fillId="16" borderId="4" xfId="0" applyNumberFormat="1" applyFont="1" applyFill="1" applyBorder="1" applyAlignment="1" applyProtection="1">
      <alignment horizontal="center"/>
      <protection/>
    </xf>
    <xf numFmtId="4" fontId="44" fillId="11" borderId="2" xfId="0" applyNumberFormat="1" applyFont="1" applyFill="1" applyBorder="1" applyAlignment="1" applyProtection="1">
      <alignment horizontal="center"/>
      <protection/>
    </xf>
    <xf numFmtId="4" fontId="44" fillId="17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103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100" fillId="2" borderId="3" xfId="0" applyNumberFormat="1" applyFont="1" applyFill="1" applyBorder="1" applyAlignment="1" applyProtection="1">
      <alignment horizontal="center"/>
      <protection/>
    </xf>
    <xf numFmtId="168" fontId="101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4" fillId="5" borderId="3" xfId="0" applyNumberFormat="1" applyFont="1" applyFill="1" applyBorder="1" applyAlignment="1" applyProtection="1">
      <alignment horizontal="center"/>
      <protection/>
    </xf>
    <xf numFmtId="2" fontId="89" fillId="10" borderId="3" xfId="0" applyNumberFormat="1" applyFont="1" applyFill="1" applyBorder="1" applyAlignment="1" applyProtection="1">
      <alignment horizontal="center"/>
      <protection/>
    </xf>
    <xf numFmtId="168" fontId="102" fillId="3" borderId="28" xfId="0" applyNumberFormat="1" applyFont="1" applyFill="1" applyBorder="1" applyAlignment="1" applyProtection="1" quotePrefix="1">
      <alignment horizontal="center"/>
      <protection/>
    </xf>
    <xf numFmtId="168" fontId="102" fillId="3" borderId="57" xfId="0" applyNumberFormat="1" applyFont="1" applyFill="1" applyBorder="1" applyAlignment="1" applyProtection="1" quotePrefix="1">
      <alignment horizontal="center"/>
      <protection/>
    </xf>
    <xf numFmtId="4" fontId="102" fillId="3" borderId="19" xfId="0" applyNumberFormat="1" applyFont="1" applyFill="1" applyBorder="1" applyAlignment="1" applyProtection="1">
      <alignment horizontal="center"/>
      <protection/>
    </xf>
    <xf numFmtId="168" fontId="44" fillId="16" borderId="28" xfId="0" applyNumberFormat="1" applyFont="1" applyFill="1" applyBorder="1" applyAlignment="1" applyProtection="1" quotePrefix="1">
      <alignment horizontal="center"/>
      <protection/>
    </xf>
    <xf numFmtId="168" fontId="44" fillId="16" borderId="57" xfId="0" applyNumberFormat="1" applyFont="1" applyFill="1" applyBorder="1" applyAlignment="1" applyProtection="1" quotePrefix="1">
      <alignment horizontal="center"/>
      <protection/>
    </xf>
    <xf numFmtId="4" fontId="44" fillId="16" borderId="19" xfId="0" applyNumberFormat="1" applyFont="1" applyFill="1" applyBorder="1" applyAlignment="1" applyProtection="1">
      <alignment horizontal="center"/>
      <protection/>
    </xf>
    <xf numFmtId="4" fontId="44" fillId="11" borderId="3" xfId="0" applyNumberFormat="1" applyFont="1" applyFill="1" applyBorder="1" applyAlignment="1" applyProtection="1">
      <alignment horizontal="center"/>
      <protection/>
    </xf>
    <xf numFmtId="4" fontId="44" fillId="17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164" fontId="103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101" fillId="5" borderId="14" xfId="0" applyNumberFormat="1" applyFont="1" applyFill="1" applyBorder="1" applyAlignment="1" applyProtection="1">
      <alignment horizontal="center"/>
      <protection/>
    </xf>
    <xf numFmtId="2" fontId="87" fillId="10" borderId="14" xfId="0" applyNumberFormat="1" applyFont="1" applyFill="1" applyBorder="1" applyAlignment="1" applyProtection="1">
      <alignment horizontal="center"/>
      <protection/>
    </xf>
    <xf numFmtId="2" fontId="104" fillId="3" borderId="14" xfId="0" applyNumberFormat="1" applyFont="1" applyFill="1" applyBorder="1" applyAlignment="1" applyProtection="1">
      <alignment horizontal="center"/>
      <protection/>
    </xf>
    <xf numFmtId="2" fontId="101" fillId="16" borderId="14" xfId="0" applyNumberFormat="1" applyFont="1" applyFill="1" applyBorder="1" applyAlignment="1" applyProtection="1">
      <alignment horizontal="center"/>
      <protection/>
    </xf>
    <xf numFmtId="2" fontId="101" fillId="11" borderId="14" xfId="0" applyNumberFormat="1" applyFont="1" applyFill="1" applyBorder="1" applyAlignment="1" applyProtection="1">
      <alignment horizontal="center"/>
      <protection/>
    </xf>
    <xf numFmtId="2" fontId="101" fillId="17" borderId="14" xfId="0" applyNumberFormat="1" applyFont="1" applyFill="1" applyBorder="1" applyAlignment="1" applyProtection="1">
      <alignment horizontal="center"/>
      <protection/>
    </xf>
    <xf numFmtId="2" fontId="22" fillId="0" borderId="37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101" fillId="0" borderId="15" xfId="0" applyNumberFormat="1" applyFont="1" applyFill="1" applyBorder="1" applyAlignment="1" applyProtection="1">
      <alignment horizontal="center"/>
      <protection/>
    </xf>
    <xf numFmtId="2" fontId="87" fillId="0" borderId="15" xfId="0" applyNumberFormat="1" applyFont="1" applyFill="1" applyBorder="1" applyAlignment="1" applyProtection="1">
      <alignment horizontal="center"/>
      <protection/>
    </xf>
    <xf numFmtId="2" fontId="104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5" fillId="18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2" fillId="19" borderId="14" xfId="0" applyFont="1" applyFill="1" applyBorder="1" applyAlignment="1">
      <alignment horizontal="center" vertical="center" wrapText="1"/>
    </xf>
    <xf numFmtId="0" fontId="42" fillId="20" borderId="8" xfId="0" applyFont="1" applyFill="1" applyBorder="1" applyAlignment="1" applyProtection="1">
      <alignment horizontal="centerContinuous" vertical="center" wrapText="1"/>
      <protection/>
    </xf>
    <xf numFmtId="0" fontId="42" fillId="20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0" fontId="42" fillId="18" borderId="58" xfId="0" applyFont="1" applyFill="1" applyBorder="1" applyAlignment="1">
      <alignment vertical="center" wrapText="1"/>
    </xf>
    <xf numFmtId="0" fontId="42" fillId="18" borderId="16" xfId="0" applyFont="1" applyFill="1" applyBorder="1" applyAlignment="1">
      <alignment vertical="center" wrapText="1"/>
    </xf>
    <xf numFmtId="0" fontId="42" fillId="18" borderId="37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105" fillId="2" borderId="2" xfId="0" applyFont="1" applyFill="1" applyBorder="1" applyAlignment="1">
      <alignment horizontal="center"/>
    </xf>
    <xf numFmtId="0" fontId="105" fillId="18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5" fillId="19" borderId="17" xfId="0" applyFont="1" applyFill="1" applyBorder="1" applyAlignment="1">
      <alignment horizontal="center"/>
    </xf>
    <xf numFmtId="0" fontId="45" fillId="20" borderId="22" xfId="0" applyFont="1" applyFill="1" applyBorder="1" applyAlignment="1">
      <alignment horizontal="center"/>
    </xf>
    <xf numFmtId="0" fontId="45" fillId="20" borderId="38" xfId="0" applyFont="1" applyFill="1" applyBorder="1" applyAlignment="1">
      <alignment horizontal="left"/>
    </xf>
    <xf numFmtId="0" fontId="45" fillId="3" borderId="17" xfId="0" applyFont="1" applyFill="1" applyBorder="1" applyAlignment="1">
      <alignment horizontal="left"/>
    </xf>
    <xf numFmtId="0" fontId="45" fillId="18" borderId="51" xfId="0" applyFont="1" applyFill="1" applyBorder="1" applyAlignment="1">
      <alignment horizontal="left"/>
    </xf>
    <xf numFmtId="0" fontId="45" fillId="18" borderId="0" xfId="0" applyFont="1" applyFill="1" applyBorder="1" applyAlignment="1">
      <alignment horizontal="left"/>
    </xf>
    <xf numFmtId="0" fontId="45" fillId="18" borderId="5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43" xfId="0" applyNumberFormat="1" applyFont="1" applyBorder="1" applyAlignment="1" applyProtection="1" quotePrefix="1">
      <alignment horizontal="center"/>
      <protection/>
    </xf>
    <xf numFmtId="168" fontId="105" fillId="2" borderId="2" xfId="0" applyNumberFormat="1" applyFont="1" applyFill="1" applyBorder="1" applyAlignment="1" applyProtection="1">
      <alignment horizontal="center"/>
      <protection/>
    </xf>
    <xf numFmtId="168" fontId="105" fillId="18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4" fillId="19" borderId="2" xfId="0" applyNumberFormat="1" applyFont="1" applyFill="1" applyBorder="1" applyAlignment="1">
      <alignment horizontal="center"/>
    </xf>
    <xf numFmtId="168" fontId="44" fillId="20" borderId="42" xfId="0" applyNumberFormat="1" applyFont="1" applyFill="1" applyBorder="1" applyAlignment="1" applyProtection="1" quotePrefix="1">
      <alignment horizontal="center"/>
      <protection/>
    </xf>
    <xf numFmtId="168" fontId="44" fillId="20" borderId="43" xfId="0" applyNumberFormat="1" applyFont="1" applyFill="1" applyBorder="1" applyAlignment="1" applyProtection="1" quotePrefix="1">
      <alignment horizontal="center"/>
      <protection/>
    </xf>
    <xf numFmtId="168" fontId="44" fillId="18" borderId="51" xfId="0" applyNumberFormat="1" applyFont="1" applyFill="1" applyBorder="1" applyAlignment="1" applyProtection="1" quotePrefix="1">
      <alignment horizontal="center"/>
      <protection/>
    </xf>
    <xf numFmtId="168" fontId="44" fillId="18" borderId="0" xfId="0" applyNumberFormat="1" applyFont="1" applyFill="1" applyBorder="1" applyAlignment="1" applyProtection="1" quotePrefix="1">
      <alignment horizontal="center"/>
      <protection/>
    </xf>
    <xf numFmtId="168" fontId="44" fillId="18" borderId="50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44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1" fontId="7" fillId="0" borderId="46" xfId="0" applyNumberFormat="1" applyFont="1" applyBorder="1" applyAlignment="1" applyProtection="1" quotePrefix="1">
      <alignment horizontal="center"/>
      <protection/>
    </xf>
    <xf numFmtId="168" fontId="105" fillId="2" borderId="3" xfId="0" applyNumberFormat="1" applyFont="1" applyFill="1" applyBorder="1" applyAlignment="1" applyProtection="1">
      <alignment horizontal="center"/>
      <protection/>
    </xf>
    <xf numFmtId="168" fontId="105" fillId="18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5" fillId="19" borderId="3" xfId="0" applyNumberFormat="1" applyFont="1" applyFill="1" applyBorder="1" applyAlignment="1">
      <alignment horizontal="center"/>
    </xf>
    <xf numFmtId="168" fontId="45" fillId="20" borderId="45" xfId="0" applyNumberFormat="1" applyFont="1" applyFill="1" applyBorder="1" applyAlignment="1" applyProtection="1" quotePrefix="1">
      <alignment horizontal="center"/>
      <protection/>
    </xf>
    <xf numFmtId="168" fontId="45" fillId="20" borderId="46" xfId="0" applyNumberFormat="1" applyFont="1" applyFill="1" applyBorder="1" applyAlignment="1" applyProtection="1" quotePrefix="1">
      <alignment horizontal="center"/>
      <protection/>
    </xf>
    <xf numFmtId="168" fontId="45" fillId="3" borderId="3" xfId="0" applyNumberFormat="1" applyFont="1" applyFill="1" applyBorder="1" applyAlignment="1" applyProtection="1" quotePrefix="1">
      <alignment horizontal="center"/>
      <protection/>
    </xf>
    <xf numFmtId="168" fontId="45" fillId="18" borderId="60" xfId="0" applyNumberFormat="1" applyFont="1" applyFill="1" applyBorder="1" applyAlignment="1" applyProtection="1" quotePrefix="1">
      <alignment horizontal="center"/>
      <protection/>
    </xf>
    <xf numFmtId="168" fontId="45" fillId="18" borderId="54" xfId="0" applyNumberFormat="1" applyFont="1" applyFill="1" applyBorder="1" applyAlignment="1" applyProtection="1" quotePrefix="1">
      <alignment horizontal="center"/>
      <protection/>
    </xf>
    <xf numFmtId="168" fontId="45" fillId="18" borderId="19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5" fillId="0" borderId="0" xfId="0" applyNumberFormat="1" applyFont="1" applyBorder="1" applyAlignment="1" applyProtection="1">
      <alignment horizontal="left"/>
      <protection/>
    </xf>
    <xf numFmtId="168" fontId="55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73" fontId="55" fillId="0" borderId="0" xfId="0" applyNumberFormat="1" applyFont="1" applyBorder="1" applyAlignment="1" applyProtection="1" quotePrefix="1">
      <alignment horizont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Border="1" applyAlignment="1" applyProtection="1">
      <alignment horizontal="center"/>
      <protection/>
    </xf>
    <xf numFmtId="168" fontId="55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6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7" fillId="0" borderId="0" xfId="0" applyNumberFormat="1" applyFont="1" applyBorder="1" applyAlignment="1" applyProtection="1">
      <alignment horizontal="center"/>
      <protection/>
    </xf>
    <xf numFmtId="168" fontId="103" fillId="0" borderId="0" xfId="0" applyNumberFormat="1" applyFont="1" applyBorder="1" applyAlignment="1" applyProtection="1" quotePrefix="1">
      <alignment horizontal="center"/>
      <protection/>
    </xf>
    <xf numFmtId="4" fontId="103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5" fillId="0" borderId="0" xfId="0" applyNumberFormat="1" applyFont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 quotePrefix="1">
      <alignment horizontal="right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91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8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9" fillId="0" borderId="0" xfId="0" applyNumberFormat="1" applyFont="1" applyBorder="1" applyAlignment="1" applyProtection="1">
      <alignment horizontal="center" vertical="center"/>
      <protection/>
    </xf>
    <xf numFmtId="168" fontId="110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5" fillId="0" borderId="0" xfId="0" applyNumberFormat="1" applyFont="1" applyBorder="1" applyAlignment="1" applyProtection="1">
      <alignment horizontal="center"/>
      <protection/>
    </xf>
    <xf numFmtId="7" fontId="55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7" fontId="55" fillId="0" borderId="27" xfId="0" applyNumberFormat="1" applyFont="1" applyFill="1" applyBorder="1" applyAlignment="1">
      <alignment horizontal="center"/>
    </xf>
    <xf numFmtId="0" fontId="56" fillId="0" borderId="0" xfId="0" applyFont="1" applyAlignment="1">
      <alignment horizontal="right" vertical="top"/>
    </xf>
    <xf numFmtId="1" fontId="0" fillId="0" borderId="61" xfId="0" applyNumberFormat="1" applyBorder="1" applyAlignment="1">
      <alignment horizontal="center"/>
    </xf>
    <xf numFmtId="0" fontId="10" fillId="0" borderId="62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174" fontId="10" fillId="0" borderId="64" xfId="0" applyNumberFormat="1" applyFont="1" applyBorder="1" applyAlignment="1">
      <alignment horizontal="center"/>
    </xf>
    <xf numFmtId="1" fontId="10" fillId="0" borderId="64" xfId="0" applyNumberFormat="1" applyFont="1" applyBorder="1" applyAlignment="1">
      <alignment horizontal="center"/>
    </xf>
    <xf numFmtId="0" fontId="10" fillId="0" borderId="65" xfId="0" applyFont="1" applyBorder="1" applyAlignment="1">
      <alignment horizontal="centerContinuous"/>
    </xf>
    <xf numFmtId="0" fontId="10" fillId="0" borderId="66" xfId="0" applyFont="1" applyBorder="1" applyAlignment="1">
      <alignment horizontal="centerContinuous"/>
    </xf>
    <xf numFmtId="174" fontId="10" fillId="0" borderId="67" xfId="0" applyNumberFormat="1" applyFont="1" applyBorder="1" applyAlignment="1">
      <alignment horizontal="center"/>
    </xf>
    <xf numFmtId="1" fontId="10" fillId="0" borderId="67" xfId="0" applyNumberFormat="1" applyFont="1" applyBorder="1" applyAlignment="1">
      <alignment horizontal="center"/>
    </xf>
    <xf numFmtId="0" fontId="10" fillId="0" borderId="68" xfId="0" applyFont="1" applyBorder="1" applyAlignment="1">
      <alignment horizontal="centerContinuous"/>
    </xf>
    <xf numFmtId="0" fontId="10" fillId="0" borderId="69" xfId="0" applyFont="1" applyBorder="1" applyAlignment="1">
      <alignment horizontal="centerContinuous"/>
    </xf>
    <xf numFmtId="174" fontId="10" fillId="0" borderId="70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101" fillId="0" borderId="54" xfId="0" applyNumberFormat="1" applyFont="1" applyFill="1" applyBorder="1" applyAlignment="1" applyProtection="1">
      <alignment horizontal="center"/>
      <protection/>
    </xf>
    <xf numFmtId="2" fontId="87" fillId="0" borderId="54" xfId="0" applyNumberFormat="1" applyFont="1" applyFill="1" applyBorder="1" applyAlignment="1" applyProtection="1">
      <alignment horizontal="center"/>
      <protection/>
    </xf>
    <xf numFmtId="2" fontId="104" fillId="0" borderId="54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4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1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5" fillId="4" borderId="2" xfId="0" applyNumberFormat="1" applyFont="1" applyFill="1" applyBorder="1" applyAlignment="1" applyProtection="1">
      <alignment horizontal="center"/>
      <protection/>
    </xf>
    <xf numFmtId="2" fontId="85" fillId="9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71" xfId="0" applyFont="1" applyBorder="1" applyAlignment="1" applyProtection="1">
      <alignment horizontal="center"/>
      <protection/>
    </xf>
    <xf numFmtId="164" fontId="9" fillId="0" borderId="44" xfId="0" applyNumberFormat="1" applyFont="1" applyBorder="1" applyAlignment="1" applyProtection="1" quotePrefix="1">
      <alignment horizontal="center"/>
      <protection/>
    </xf>
    <xf numFmtId="168" fontId="36" fillId="2" borderId="44" xfId="0" applyNumberFormat="1" applyFont="1" applyFill="1" applyBorder="1" applyAlignment="1" applyProtection="1">
      <alignment horizontal="center"/>
      <protection/>
    </xf>
    <xf numFmtId="22" fontId="7" fillId="0" borderId="45" xfId="0" applyNumberFormat="1" applyFont="1" applyBorder="1" applyAlignment="1">
      <alignment horizontal="center"/>
    </xf>
    <xf numFmtId="22" fontId="7" fillId="0" borderId="44" xfId="0" applyNumberFormat="1" applyFont="1" applyBorder="1" applyAlignment="1" applyProtection="1">
      <alignment horizontal="center"/>
      <protection/>
    </xf>
    <xf numFmtId="2" fontId="7" fillId="0" borderId="44" xfId="0" applyNumberFormat="1" applyFont="1" applyFill="1" applyBorder="1" applyAlignment="1" applyProtection="1" quotePrefix="1">
      <alignment horizontal="center"/>
      <protection/>
    </xf>
    <xf numFmtId="164" fontId="7" fillId="0" borderId="44" xfId="0" applyNumberFormat="1" applyFont="1" applyFill="1" applyBorder="1" applyAlignment="1" applyProtection="1" quotePrefix="1">
      <alignment horizontal="center"/>
      <protection/>
    </xf>
    <xf numFmtId="168" fontId="7" fillId="0" borderId="72" xfId="0" applyNumberFormat="1" applyFont="1" applyBorder="1" applyAlignment="1" applyProtection="1">
      <alignment horizontal="center"/>
      <protection/>
    </xf>
    <xf numFmtId="168" fontId="7" fillId="0" borderId="71" xfId="0" applyNumberFormat="1" applyFont="1" applyBorder="1" applyAlignment="1" applyProtection="1">
      <alignment horizontal="center"/>
      <protection/>
    </xf>
    <xf numFmtId="164" fontId="45" fillId="4" borderId="44" xfId="0" applyNumberFormat="1" applyFont="1" applyFill="1" applyBorder="1" applyAlignment="1" applyProtection="1">
      <alignment horizontal="center"/>
      <protection/>
    </xf>
    <xf numFmtId="2" fontId="85" fillId="9" borderId="44" xfId="0" applyNumberFormat="1" applyFont="1" applyFill="1" applyBorder="1" applyAlignment="1">
      <alignment horizontal="center"/>
    </xf>
    <xf numFmtId="168" fontId="67" fillId="6" borderId="45" xfId="0" applyNumberFormat="1" applyFont="1" applyFill="1" applyBorder="1" applyAlignment="1" applyProtection="1" quotePrefix="1">
      <alignment horizontal="center"/>
      <protection/>
    </xf>
    <xf numFmtId="168" fontId="67" fillId="6" borderId="46" xfId="0" applyNumberFormat="1" applyFont="1" applyFill="1" applyBorder="1" applyAlignment="1" applyProtection="1" quotePrefix="1">
      <alignment horizontal="center"/>
      <protection/>
    </xf>
    <xf numFmtId="168" fontId="44" fillId="3" borderId="44" xfId="0" applyNumberFormat="1" applyFont="1" applyFill="1" applyBorder="1" applyAlignment="1" applyProtection="1" quotePrefix="1">
      <alignment horizontal="center"/>
      <protection/>
    </xf>
    <xf numFmtId="168" fontId="7" fillId="0" borderId="44" xfId="0" applyNumberFormat="1" applyFont="1" applyBorder="1" applyAlignment="1">
      <alignment horizontal="center"/>
    </xf>
    <xf numFmtId="4" fontId="29" fillId="0" borderId="44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92" fillId="21" borderId="14" xfId="0" applyNumberFormat="1" applyFont="1" applyFill="1" applyBorder="1" applyAlignment="1" applyProtection="1">
      <alignment horizontal="center" vertical="center"/>
      <protection/>
    </xf>
    <xf numFmtId="0" fontId="61" fillId="4" borderId="14" xfId="0" applyFont="1" applyFill="1" applyBorder="1" applyAlignment="1" applyProtection="1">
      <alignment horizontal="center" vertical="center"/>
      <protection/>
    </xf>
    <xf numFmtId="0" fontId="65" fillId="6" borderId="14" xfId="0" applyFont="1" applyFill="1" applyBorder="1" applyAlignment="1">
      <alignment horizontal="center" vertical="center" wrapText="1"/>
    </xf>
    <xf numFmtId="0" fontId="49" fillId="22" borderId="8" xfId="0" applyFont="1" applyFill="1" applyBorder="1" applyAlignment="1">
      <alignment horizontal="centerContinuous" vertical="center" wrapText="1"/>
    </xf>
    <xf numFmtId="0" fontId="111" fillId="22" borderId="15" xfId="0" applyFont="1" applyFill="1" applyBorder="1" applyAlignment="1">
      <alignment horizontal="centerContinuous"/>
    </xf>
    <xf numFmtId="0" fontId="49" fillId="22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3" fillId="21" borderId="2" xfId="0" applyFont="1" applyFill="1" applyBorder="1" applyAlignment="1">
      <alignment/>
    </xf>
    <xf numFmtId="0" fontId="62" fillId="4" borderId="2" xfId="0" applyFont="1" applyFill="1" applyBorder="1" applyAlignment="1">
      <alignment/>
    </xf>
    <xf numFmtId="0" fontId="112" fillId="3" borderId="2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168" fontId="9" fillId="2" borderId="21" xfId="0" applyNumberFormat="1" applyFont="1" applyFill="1" applyBorder="1" applyAlignment="1" applyProtection="1" quotePrefix="1">
      <alignment horizontal="center"/>
      <protection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13" fillId="22" borderId="21" xfId="0" applyNumberFormat="1" applyFont="1" applyFill="1" applyBorder="1" applyAlignment="1" applyProtection="1" quotePrefix="1">
      <alignment horizontal="center"/>
      <protection/>
    </xf>
    <xf numFmtId="168" fontId="113" fillId="22" borderId="25" xfId="0" applyNumberFormat="1" applyFont="1" applyFill="1" applyBorder="1" applyAlignment="1" applyProtection="1" quotePrefix="1">
      <alignment horizontal="center"/>
      <protection/>
    </xf>
    <xf numFmtId="4" fontId="113" fillId="22" borderId="4" xfId="0" applyNumberFormat="1" applyFont="1" applyFill="1" applyBorder="1" applyAlignment="1" applyProtection="1">
      <alignment horizontal="center"/>
      <protection/>
    </xf>
    <xf numFmtId="0" fontId="93" fillId="21" borderId="2" xfId="0" applyFont="1" applyFill="1" applyBorder="1" applyAlignment="1" applyProtection="1">
      <alignment horizontal="center"/>
      <protection/>
    </xf>
    <xf numFmtId="174" fontId="62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6" xfId="0" applyNumberFormat="1" applyFont="1" applyFill="1" applyBorder="1" applyAlignment="1" applyProtection="1">
      <alignment horizontal="center"/>
      <protection locked="0"/>
    </xf>
    <xf numFmtId="2" fontId="47" fillId="3" borderId="2" xfId="0" applyNumberFormat="1" applyFont="1" applyFill="1" applyBorder="1" applyAlignment="1" applyProtection="1">
      <alignment horizontal="center"/>
      <protection locked="0"/>
    </xf>
    <xf numFmtId="2" fontId="67" fillId="6" borderId="4" xfId="0" applyNumberFormat="1" applyFont="1" applyFill="1" applyBorder="1" applyAlignment="1" applyProtection="1">
      <alignment horizontal="center"/>
      <protection locked="0"/>
    </xf>
    <xf numFmtId="168" fontId="50" fillId="22" borderId="21" xfId="0" applyNumberFormat="1" applyFont="1" applyFill="1" applyBorder="1" applyAlignment="1" applyProtection="1" quotePrefix="1">
      <alignment horizontal="center"/>
      <protection locked="0"/>
    </xf>
    <xf numFmtId="168" fontId="50" fillId="22" borderId="25" xfId="0" applyNumberFormat="1" applyFont="1" applyFill="1" applyBorder="1" applyAlignment="1" applyProtection="1" quotePrefix="1">
      <alignment horizontal="center"/>
      <protection locked="0"/>
    </xf>
    <xf numFmtId="4" fontId="50" fillId="22" borderId="4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5" applyFont="1" applyFill="1" applyBorder="1" applyAlignment="1" applyProtection="1">
      <alignment horizontal="center"/>
      <protection locked="0"/>
    </xf>
    <xf numFmtId="164" fontId="7" fillId="0" borderId="2" xfId="25" applyNumberFormat="1" applyFont="1" applyFill="1" applyBorder="1" applyAlignment="1" applyProtection="1">
      <alignment horizontal="center"/>
      <protection locked="0"/>
    </xf>
    <xf numFmtId="22" fontId="7" fillId="0" borderId="4" xfId="25" applyNumberFormat="1" applyFont="1" applyFill="1" applyBorder="1" applyAlignment="1" applyProtection="1">
      <alignment horizontal="center"/>
      <protection locked="0"/>
    </xf>
    <xf numFmtId="22" fontId="7" fillId="0" borderId="20" xfId="25" applyNumberFormat="1" applyFont="1" applyFill="1" applyBorder="1" applyAlignment="1" applyProtection="1">
      <alignment horizontal="center"/>
      <protection locked="0"/>
    </xf>
    <xf numFmtId="0" fontId="93" fillId="21" borderId="3" xfId="0" applyFont="1" applyFill="1" applyBorder="1" applyAlignment="1" applyProtection="1">
      <alignment horizontal="center"/>
      <protection/>
    </xf>
    <xf numFmtId="174" fontId="62" fillId="4" borderId="3" xfId="0" applyNumberFormat="1" applyFont="1" applyFill="1" applyBorder="1" applyAlignment="1" applyProtection="1">
      <alignment horizontal="center"/>
      <protection/>
    </xf>
    <xf numFmtId="2" fontId="112" fillId="3" borderId="3" xfId="0" applyNumberFormat="1" applyFont="1" applyFill="1" applyBorder="1" applyAlignment="1" applyProtection="1">
      <alignment horizontal="center"/>
      <protection locked="0"/>
    </xf>
    <xf numFmtId="2" fontId="67" fillId="6" borderId="3" xfId="0" applyNumberFormat="1" applyFont="1" applyFill="1" applyBorder="1" applyAlignment="1" applyProtection="1">
      <alignment horizontal="center"/>
      <protection locked="0"/>
    </xf>
    <xf numFmtId="168" fontId="50" fillId="22" borderId="28" xfId="0" applyNumberFormat="1" applyFont="1" applyFill="1" applyBorder="1" applyAlignment="1" applyProtection="1" quotePrefix="1">
      <alignment horizontal="center"/>
      <protection locked="0"/>
    </xf>
    <xf numFmtId="168" fontId="50" fillId="22" borderId="29" xfId="0" applyNumberFormat="1" applyFont="1" applyFill="1" applyBorder="1" applyAlignment="1" applyProtection="1" quotePrefix="1">
      <alignment horizontal="center"/>
      <protection locked="0"/>
    </xf>
    <xf numFmtId="4" fontId="50" fillId="22" borderId="30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7" fillId="3" borderId="14" xfId="0" applyNumberFormat="1" applyFont="1" applyFill="1" applyBorder="1" applyAlignment="1" applyProtection="1">
      <alignment horizontal="center"/>
      <protection/>
    </xf>
    <xf numFmtId="2" fontId="67" fillId="6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50" fillId="22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3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112" fillId="0" borderId="17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3" fillId="0" borderId="22" xfId="0" applyFont="1" applyFill="1" applyBorder="1" applyAlignment="1">
      <alignment/>
    </xf>
    <xf numFmtId="0" fontId="113" fillId="0" borderId="73" xfId="0" applyFont="1" applyFill="1" applyBorder="1" applyAlignment="1">
      <alignment/>
    </xf>
    <xf numFmtId="0" fontId="113" fillId="0" borderId="38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5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70" fontId="7" fillId="0" borderId="17" xfId="0" applyNumberFormat="1" applyFont="1" applyBorder="1" applyAlignment="1">
      <alignment/>
    </xf>
    <xf numFmtId="0" fontId="7" fillId="0" borderId="2" xfId="2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80" fillId="0" borderId="0" xfId="0" applyFont="1" applyBorder="1" applyAlignment="1">
      <alignment/>
    </xf>
    <xf numFmtId="0" fontId="114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0" fillId="0" borderId="7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168" fontId="9" fillId="0" borderId="16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64" fontId="7" fillId="0" borderId="16" xfId="0" applyNumberFormat="1" applyFont="1" applyFill="1" applyBorder="1" applyAlignment="1" applyProtection="1">
      <alignment horizontal="center"/>
      <protection/>
    </xf>
    <xf numFmtId="2" fontId="63" fillId="0" borderId="16" xfId="0" applyNumberFormat="1" applyFont="1" applyFill="1" applyBorder="1" applyAlignment="1">
      <alignment horizontal="center"/>
    </xf>
    <xf numFmtId="0" fontId="7" fillId="0" borderId="44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Border="1" applyAlignment="1" applyProtection="1" quotePrefix="1">
      <alignment horizontal="center"/>
      <protection/>
    </xf>
    <xf numFmtId="4" fontId="9" fillId="0" borderId="2" xfId="0" applyNumberFormat="1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 locked="0"/>
    </xf>
    <xf numFmtId="4" fontId="7" fillId="0" borderId="2" xfId="0" applyNumberFormat="1" applyFont="1" applyBorder="1" applyAlignment="1" applyProtection="1">
      <alignment horizontal="center"/>
      <protection/>
    </xf>
    <xf numFmtId="2" fontId="83" fillId="11" borderId="2" xfId="0" applyNumberFormat="1" applyFont="1" applyFill="1" applyBorder="1" applyAlignment="1" applyProtection="1">
      <alignment horizontal="center"/>
      <protection/>
    </xf>
    <xf numFmtId="2" fontId="84" fillId="6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85" fillId="9" borderId="2" xfId="0" applyNumberFormat="1" applyFont="1" applyFill="1" applyBorder="1" applyAlignment="1" applyProtection="1">
      <alignment horizontal="center"/>
      <protection/>
    </xf>
    <xf numFmtId="164" fontId="36" fillId="2" borderId="27" xfId="0" applyNumberFormat="1" applyFont="1" applyFill="1" applyBorder="1" applyAlignment="1" applyProtection="1">
      <alignment horizontal="center"/>
      <protection/>
    </xf>
    <xf numFmtId="2" fontId="89" fillId="11" borderId="2" xfId="0" applyNumberFormat="1" applyFont="1" applyFill="1" applyBorder="1" applyAlignment="1" applyProtection="1">
      <alignment horizontal="center"/>
      <protection/>
    </xf>
    <xf numFmtId="0" fontId="32" fillId="0" borderId="16" xfId="0" applyFont="1" applyBorder="1" applyAlignment="1">
      <alignment horizontal="left"/>
    </xf>
    <xf numFmtId="0" fontId="115" fillId="0" borderId="66" xfId="0" applyFont="1" applyBorder="1" applyAlignment="1">
      <alignment/>
    </xf>
    <xf numFmtId="0" fontId="115" fillId="0" borderId="66" xfId="0" applyFont="1" applyFill="1" applyBorder="1" applyAlignment="1">
      <alignment/>
    </xf>
    <xf numFmtId="0" fontId="116" fillId="0" borderId="0" xfId="0" applyFont="1" applyFill="1" applyAlignment="1">
      <alignment/>
    </xf>
    <xf numFmtId="0" fontId="115" fillId="0" borderId="74" xfId="0" applyFont="1" applyBorder="1" applyAlignment="1">
      <alignment/>
    </xf>
    <xf numFmtId="0" fontId="115" fillId="0" borderId="74" xfId="0" applyFont="1" applyFill="1" applyBorder="1" applyAlignment="1">
      <alignment/>
    </xf>
    <xf numFmtId="0" fontId="117" fillId="0" borderId="66" xfId="0" applyFont="1" applyBorder="1" applyAlignment="1">
      <alignment/>
    </xf>
    <xf numFmtId="0" fontId="117" fillId="0" borderId="74" xfId="0" applyFont="1" applyBorder="1" applyAlignment="1">
      <alignment/>
    </xf>
    <xf numFmtId="0" fontId="117" fillId="0" borderId="66" xfId="0" applyFont="1" applyFill="1" applyBorder="1" applyAlignment="1">
      <alignment/>
    </xf>
    <xf numFmtId="0" fontId="117" fillId="0" borderId="74" xfId="0" applyFont="1" applyFill="1" applyBorder="1" applyAlignment="1">
      <alignment/>
    </xf>
    <xf numFmtId="0" fontId="118" fillId="0" borderId="66" xfId="0" applyFont="1" applyFill="1" applyBorder="1" applyAlignment="1">
      <alignment/>
    </xf>
    <xf numFmtId="0" fontId="118" fillId="0" borderId="74" xfId="0" applyFont="1" applyFill="1" applyBorder="1" applyAlignment="1">
      <alignment/>
    </xf>
    <xf numFmtId="0" fontId="118" fillId="23" borderId="66" xfId="0" applyFont="1" applyFill="1" applyBorder="1" applyAlignment="1">
      <alignment/>
    </xf>
    <xf numFmtId="0" fontId="116" fillId="2" borderId="66" xfId="0" applyFont="1" applyFill="1" applyBorder="1" applyAlignment="1">
      <alignment/>
    </xf>
    <xf numFmtId="0" fontId="116" fillId="0" borderId="0" xfId="0" applyFont="1" applyAlignment="1">
      <alignment/>
    </xf>
    <xf numFmtId="0" fontId="116" fillId="0" borderId="66" xfId="0" applyFont="1" applyBorder="1" applyAlignment="1">
      <alignment/>
    </xf>
    <xf numFmtId="0" fontId="116" fillId="0" borderId="66" xfId="0" applyFont="1" applyBorder="1" applyAlignment="1" quotePrefix="1">
      <alignment/>
    </xf>
    <xf numFmtId="0" fontId="119" fillId="0" borderId="0" xfId="22" applyFont="1" applyFill="1" applyAlignment="1">
      <alignment/>
      <protection/>
    </xf>
    <xf numFmtId="0" fontId="116" fillId="2" borderId="66" xfId="0" applyFont="1" applyFill="1" applyBorder="1" applyAlignment="1">
      <alignment horizontal="center"/>
    </xf>
    <xf numFmtId="0" fontId="116" fillId="24" borderId="0" xfId="0" applyFont="1" applyFill="1" applyAlignment="1">
      <alignment/>
    </xf>
    <xf numFmtId="0" fontId="116" fillId="24" borderId="0" xfId="0" applyNumberFormat="1" applyFont="1" applyFill="1" applyAlignment="1">
      <alignment/>
    </xf>
    <xf numFmtId="0" fontId="116" fillId="0" borderId="66" xfId="0" applyFont="1" applyFill="1" applyBorder="1" applyAlignment="1">
      <alignment horizontal="center"/>
    </xf>
    <xf numFmtId="0" fontId="116" fillId="24" borderId="0" xfId="22" applyFont="1" applyFill="1" applyAlignment="1">
      <alignment/>
      <protection/>
    </xf>
    <xf numFmtId="0" fontId="0" fillId="0" borderId="0" xfId="0" applyAlignment="1" quotePrefix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8" fontId="29" fillId="0" borderId="14" xfId="19" applyNumberFormat="1" applyFont="1" applyFill="1" applyBorder="1" applyAlignment="1">
      <alignment horizontal="right"/>
    </xf>
    <xf numFmtId="1" fontId="7" fillId="0" borderId="43" xfId="0" applyNumberFormat="1" applyFont="1" applyBorder="1" applyAlignment="1" applyProtection="1">
      <alignment horizontal="center"/>
      <protection locked="0"/>
    </xf>
    <xf numFmtId="0" fontId="120" fillId="0" borderId="0" xfId="0" applyFont="1" applyBorder="1" applyAlignment="1">
      <alignment horizontal="left"/>
    </xf>
    <xf numFmtId="0" fontId="120" fillId="0" borderId="0" xfId="0" applyFont="1" applyFill="1" applyBorder="1" applyAlignment="1">
      <alignment horizontal="left"/>
    </xf>
    <xf numFmtId="0" fontId="120" fillId="0" borderId="16" xfId="0" applyFont="1" applyBorder="1" applyAlignment="1">
      <alignment horizontal="left"/>
    </xf>
    <xf numFmtId="164" fontId="120" fillId="0" borderId="2" xfId="0" applyNumberFormat="1" applyFont="1" applyBorder="1" applyAlignment="1" applyProtection="1">
      <alignment horizontal="center"/>
      <protection locked="0"/>
    </xf>
    <xf numFmtId="1" fontId="7" fillId="0" borderId="43" xfId="0" applyNumberFormat="1" applyFont="1" applyBorder="1" applyAlignment="1" applyProtection="1">
      <alignment horizontal="center"/>
      <protection/>
    </xf>
    <xf numFmtId="0" fontId="22" fillId="0" borderId="8" xfId="0" applyFont="1" applyBorder="1" applyAlignment="1">
      <alignment/>
    </xf>
    <xf numFmtId="7" fontId="22" fillId="0" borderId="9" xfId="0" applyNumberFormat="1" applyFont="1" applyBorder="1" applyAlignment="1">
      <alignment horizontal="center"/>
    </xf>
    <xf numFmtId="173" fontId="23" fillId="0" borderId="0" xfId="0" applyNumberFormat="1" applyFont="1" applyBorder="1" applyAlignment="1" applyProtection="1">
      <alignment horizontal="left" vertical="center"/>
      <protection/>
    </xf>
    <xf numFmtId="168" fontId="55" fillId="0" borderId="8" xfId="0" applyNumberFormat="1" applyFont="1" applyBorder="1" applyAlignment="1" applyProtection="1">
      <alignment horizontal="left"/>
      <protection/>
    </xf>
    <xf numFmtId="0" fontId="12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90" fillId="0" borderId="0" xfId="0" applyFont="1" applyAlignment="1">
      <alignment/>
    </xf>
    <xf numFmtId="0" fontId="122" fillId="0" borderId="0" xfId="0" applyFont="1" applyAlignment="1">
      <alignment horizontal="centerContinuous"/>
    </xf>
    <xf numFmtId="0" fontId="90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3" fillId="0" borderId="7" xfId="0" applyFont="1" applyBorder="1" applyAlignment="1">
      <alignment vertical="center"/>
    </xf>
    <xf numFmtId="0" fontId="123" fillId="0" borderId="20" xfId="0" applyFont="1" applyBorder="1" applyAlignment="1">
      <alignment vertical="center"/>
    </xf>
    <xf numFmtId="0" fontId="123" fillId="0" borderId="2" xfId="0" applyFont="1" applyBorder="1" applyAlignment="1">
      <alignment vertical="center"/>
    </xf>
    <xf numFmtId="0" fontId="123" fillId="25" borderId="2" xfId="0" applyFont="1" applyFill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23" fillId="0" borderId="1" xfId="0" applyFont="1" applyBorder="1" applyAlignment="1">
      <alignment vertical="center"/>
    </xf>
    <xf numFmtId="0" fontId="123" fillId="1" borderId="21" xfId="0" applyFont="1" applyFill="1" applyBorder="1" applyAlignment="1">
      <alignment horizontal="center" vertical="center"/>
    </xf>
    <xf numFmtId="0" fontId="123" fillId="1" borderId="2" xfId="0" applyFont="1" applyFill="1" applyBorder="1" applyAlignment="1">
      <alignment horizontal="center" vertical="center"/>
    </xf>
    <xf numFmtId="0" fontId="123" fillId="25" borderId="18" xfId="0" applyFont="1" applyFill="1" applyBorder="1" applyAlignment="1">
      <alignment horizontal="center" vertical="center"/>
    </xf>
    <xf numFmtId="0" fontId="123" fillId="0" borderId="48" xfId="0" applyFont="1" applyBorder="1" applyAlignment="1">
      <alignment vertical="center"/>
    </xf>
    <xf numFmtId="0" fontId="123" fillId="0" borderId="42" xfId="0" applyFont="1" applyBorder="1" applyAlignment="1">
      <alignment horizontal="center" vertical="center"/>
    </xf>
    <xf numFmtId="0" fontId="123" fillId="0" borderId="18" xfId="0" applyFont="1" applyBorder="1" applyAlignment="1">
      <alignment horizontal="center" vertical="center"/>
    </xf>
    <xf numFmtId="0" fontId="123" fillId="1" borderId="42" xfId="0" applyFont="1" applyFill="1" applyBorder="1" applyAlignment="1">
      <alignment horizontal="center" vertical="center"/>
    </xf>
    <xf numFmtId="0" fontId="123" fillId="1" borderId="18" xfId="0" applyFont="1" applyFill="1" applyBorder="1" applyAlignment="1">
      <alignment horizontal="center" vertical="center"/>
    </xf>
    <xf numFmtId="0" fontId="123" fillId="0" borderId="45" xfId="0" applyFont="1" applyBorder="1" applyAlignment="1">
      <alignment horizontal="center" vertical="center"/>
    </xf>
    <xf numFmtId="0" fontId="123" fillId="0" borderId="44" xfId="0" applyFont="1" applyBorder="1" applyAlignment="1">
      <alignment horizontal="center" vertical="center"/>
    </xf>
    <xf numFmtId="0" fontId="123" fillId="25" borderId="44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horizontal="right" vertical="center"/>
    </xf>
    <xf numFmtId="170" fontId="124" fillId="0" borderId="14" xfId="0" applyNumberFormat="1" applyFont="1" applyFill="1" applyBorder="1" applyAlignment="1">
      <alignment horizontal="center" vertical="center"/>
    </xf>
    <xf numFmtId="0" fontId="123" fillId="0" borderId="8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/>
    </xf>
    <xf numFmtId="0" fontId="123" fillId="0" borderId="0" xfId="0" applyFont="1" applyBorder="1" applyAlignment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23" fillId="0" borderId="14" xfId="0" applyFont="1" applyBorder="1" applyAlignment="1">
      <alignment horizontal="center" vertical="center"/>
    </xf>
    <xf numFmtId="2" fontId="124" fillId="25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4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25" fillId="25" borderId="61" xfId="0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0" fontId="7" fillId="24" borderId="2" xfId="0" applyFont="1" applyFill="1" applyBorder="1" applyAlignment="1" applyProtection="1">
      <alignment horizontal="center"/>
      <protection locked="0"/>
    </xf>
    <xf numFmtId="164" fontId="7" fillId="24" borderId="18" xfId="0" applyNumberFormat="1" applyFont="1" applyFill="1" applyBorder="1" applyAlignment="1" applyProtection="1">
      <alignment horizontal="center"/>
      <protection locked="0"/>
    </xf>
    <xf numFmtId="22" fontId="7" fillId="24" borderId="2" xfId="0" applyNumberFormat="1" applyFont="1" applyFill="1" applyBorder="1" applyAlignment="1" applyProtection="1">
      <alignment horizontal="center"/>
      <protection locked="0"/>
    </xf>
    <xf numFmtId="168" fontId="7" fillId="24" borderId="2" xfId="0" applyNumberFormat="1" applyFont="1" applyFill="1" applyBorder="1" applyAlignment="1" applyProtection="1">
      <alignment horizontal="center"/>
      <protection/>
    </xf>
    <xf numFmtId="164" fontId="45" fillId="24" borderId="2" xfId="0" applyNumberFormat="1" applyFont="1" applyFill="1" applyBorder="1" applyAlignment="1" applyProtection="1">
      <alignment horizontal="center"/>
      <protection/>
    </xf>
    <xf numFmtId="0" fontId="7" fillId="24" borderId="7" xfId="0" applyFont="1" applyFill="1" applyBorder="1" applyAlignment="1">
      <alignment/>
    </xf>
    <xf numFmtId="0" fontId="7" fillId="24" borderId="18" xfId="0" applyFont="1" applyFill="1" applyBorder="1" applyAlignment="1">
      <alignment horizontal="center"/>
    </xf>
    <xf numFmtId="0" fontId="12" fillId="24" borderId="20" xfId="0" applyFont="1" applyFill="1" applyBorder="1" applyAlignment="1" applyProtection="1">
      <alignment horizontal="center"/>
      <protection locked="0"/>
    </xf>
    <xf numFmtId="164" fontId="9" fillId="24" borderId="2" xfId="0" applyNumberFormat="1" applyFont="1" applyFill="1" applyBorder="1" applyAlignment="1" applyProtection="1" quotePrefix="1">
      <alignment horizontal="center"/>
      <protection locked="0"/>
    </xf>
    <xf numFmtId="168" fontId="36" fillId="24" borderId="2" xfId="0" applyNumberFormat="1" applyFont="1" applyFill="1" applyBorder="1" applyAlignment="1" applyProtection="1">
      <alignment horizontal="center"/>
      <protection/>
    </xf>
    <xf numFmtId="22" fontId="7" fillId="24" borderId="21" xfId="0" applyNumberFormat="1" applyFont="1" applyFill="1" applyBorder="1" applyAlignment="1" applyProtection="1">
      <alignment horizontal="center"/>
      <protection locked="0"/>
    </xf>
    <xf numFmtId="2" fontId="7" fillId="24" borderId="2" xfId="0" applyNumberFormat="1" applyFont="1" applyFill="1" applyBorder="1" applyAlignment="1" applyProtection="1" quotePrefix="1">
      <alignment horizontal="center"/>
      <protection/>
    </xf>
    <xf numFmtId="164" fontId="7" fillId="24" borderId="2" xfId="0" applyNumberFormat="1" applyFont="1" applyFill="1" applyBorder="1" applyAlignment="1" applyProtection="1" quotePrefix="1">
      <alignment horizontal="center"/>
      <protection/>
    </xf>
    <xf numFmtId="168" fontId="7" fillId="24" borderId="4" xfId="0" applyNumberFormat="1" applyFont="1" applyFill="1" applyBorder="1" applyAlignment="1" applyProtection="1">
      <alignment horizontal="center"/>
      <protection locked="0"/>
    </xf>
    <xf numFmtId="2" fontId="85" fillId="24" borderId="2" xfId="0" applyNumberFormat="1" applyFont="1" applyFill="1" applyBorder="1" applyAlignment="1" applyProtection="1">
      <alignment horizontal="center"/>
      <protection/>
    </xf>
    <xf numFmtId="168" fontId="67" fillId="24" borderId="21" xfId="0" applyNumberFormat="1" applyFont="1" applyFill="1" applyBorder="1" applyAlignment="1" applyProtection="1" quotePrefix="1">
      <alignment horizontal="center"/>
      <protection/>
    </xf>
    <xf numFmtId="168" fontId="67" fillId="24" borderId="49" xfId="0" applyNumberFormat="1" applyFont="1" applyFill="1" applyBorder="1" applyAlignment="1" applyProtection="1" quotePrefix="1">
      <alignment horizontal="center"/>
      <protection/>
    </xf>
    <xf numFmtId="168" fontId="44" fillId="24" borderId="2" xfId="0" applyNumberFormat="1" applyFont="1" applyFill="1" applyBorder="1" applyAlignment="1" applyProtection="1" quotePrefix="1">
      <alignment horizontal="center"/>
      <protection/>
    </xf>
    <xf numFmtId="4" fontId="29" fillId="24" borderId="2" xfId="0" applyNumberFormat="1" applyFont="1" applyFill="1" applyBorder="1" applyAlignment="1">
      <alignment horizontal="right"/>
    </xf>
    <xf numFmtId="0" fontId="7" fillId="24" borderId="1" xfId="0" applyFont="1" applyFill="1" applyBorder="1" applyAlignment="1">
      <alignment/>
    </xf>
    <xf numFmtId="0" fontId="7" fillId="24" borderId="0" xfId="0" applyFont="1" applyFill="1" applyAlignment="1">
      <alignment/>
    </xf>
    <xf numFmtId="0" fontId="7" fillId="23" borderId="7" xfId="0" applyFont="1" applyFill="1" applyBorder="1" applyAlignment="1">
      <alignment/>
    </xf>
    <xf numFmtId="0" fontId="7" fillId="23" borderId="18" xfId="0" applyFont="1" applyFill="1" applyBorder="1" applyAlignment="1">
      <alignment horizontal="center"/>
    </xf>
    <xf numFmtId="0" fontId="12" fillId="23" borderId="20" xfId="0" applyFont="1" applyFill="1" applyBorder="1" applyAlignment="1" applyProtection="1">
      <alignment horizontal="center"/>
      <protection locked="0"/>
    </xf>
    <xf numFmtId="164" fontId="9" fillId="23" borderId="2" xfId="0" applyNumberFormat="1" applyFont="1" applyFill="1" applyBorder="1" applyAlignment="1" applyProtection="1" quotePrefix="1">
      <alignment horizontal="center"/>
      <protection locked="0"/>
    </xf>
    <xf numFmtId="168" fontId="36" fillId="23" borderId="2" xfId="0" applyNumberFormat="1" applyFont="1" applyFill="1" applyBorder="1" applyAlignment="1" applyProtection="1">
      <alignment horizontal="center"/>
      <protection/>
    </xf>
    <xf numFmtId="22" fontId="7" fillId="23" borderId="21" xfId="0" applyNumberFormat="1" applyFont="1" applyFill="1" applyBorder="1" applyAlignment="1" applyProtection="1">
      <alignment horizontal="center"/>
      <protection locked="0"/>
    </xf>
    <xf numFmtId="22" fontId="7" fillId="23" borderId="2" xfId="0" applyNumberFormat="1" applyFont="1" applyFill="1" applyBorder="1" applyAlignment="1" applyProtection="1">
      <alignment horizontal="center"/>
      <protection locked="0"/>
    </xf>
    <xf numFmtId="2" fontId="7" fillId="23" borderId="2" xfId="0" applyNumberFormat="1" applyFont="1" applyFill="1" applyBorder="1" applyAlignment="1" applyProtection="1" quotePrefix="1">
      <alignment horizontal="center"/>
      <protection/>
    </xf>
    <xf numFmtId="164" fontId="7" fillId="23" borderId="2" xfId="0" applyNumberFormat="1" applyFont="1" applyFill="1" applyBorder="1" applyAlignment="1" applyProtection="1" quotePrefix="1">
      <alignment horizontal="center"/>
      <protection/>
    </xf>
    <xf numFmtId="168" fontId="7" fillId="23" borderId="4" xfId="0" applyNumberFormat="1" applyFont="1" applyFill="1" applyBorder="1" applyAlignment="1" applyProtection="1">
      <alignment horizontal="center"/>
      <protection locked="0"/>
    </xf>
    <xf numFmtId="168" fontId="7" fillId="23" borderId="2" xfId="0" applyNumberFormat="1" applyFont="1" applyFill="1" applyBorder="1" applyAlignment="1" applyProtection="1">
      <alignment horizontal="center"/>
      <protection/>
    </xf>
    <xf numFmtId="164" fontId="45" fillId="23" borderId="2" xfId="0" applyNumberFormat="1" applyFont="1" applyFill="1" applyBorder="1" applyAlignment="1" applyProtection="1">
      <alignment horizontal="center"/>
      <protection/>
    </xf>
    <xf numFmtId="2" fontId="85" fillId="23" borderId="2" xfId="0" applyNumberFormat="1" applyFont="1" applyFill="1" applyBorder="1" applyAlignment="1" applyProtection="1">
      <alignment horizontal="center"/>
      <protection/>
    </xf>
    <xf numFmtId="168" fontId="67" fillId="23" borderId="21" xfId="0" applyNumberFormat="1" applyFont="1" applyFill="1" applyBorder="1" applyAlignment="1" applyProtection="1" quotePrefix="1">
      <alignment horizontal="center"/>
      <protection/>
    </xf>
    <xf numFmtId="168" fontId="67" fillId="23" borderId="49" xfId="0" applyNumberFormat="1" applyFont="1" applyFill="1" applyBorder="1" applyAlignment="1" applyProtection="1" quotePrefix="1">
      <alignment horizontal="center"/>
      <protection/>
    </xf>
    <xf numFmtId="168" fontId="44" fillId="23" borderId="2" xfId="0" applyNumberFormat="1" applyFont="1" applyFill="1" applyBorder="1" applyAlignment="1" applyProtection="1" quotePrefix="1">
      <alignment horizontal="center"/>
      <protection/>
    </xf>
    <xf numFmtId="4" fontId="29" fillId="23" borderId="2" xfId="0" applyNumberFormat="1" applyFont="1" applyFill="1" applyBorder="1" applyAlignment="1">
      <alignment horizontal="right"/>
    </xf>
    <xf numFmtId="0" fontId="7" fillId="23" borderId="1" xfId="0" applyFont="1" applyFill="1" applyBorder="1" applyAlignment="1">
      <alignment/>
    </xf>
    <xf numFmtId="0" fontId="7" fillId="23" borderId="0" xfId="0" applyFont="1" applyFill="1" applyAlignment="1">
      <alignment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183" fontId="13" fillId="0" borderId="15" xfId="0" applyNumberFormat="1" applyFont="1" applyBorder="1" applyAlignment="1" applyProtection="1">
      <alignment horizontal="center"/>
      <protection/>
    </xf>
    <xf numFmtId="183" fontId="13" fillId="0" borderId="9" xfId="0" applyNumberFormat="1" applyFont="1" applyBorder="1" applyAlignment="1" applyProtection="1">
      <alignment horizontal="center"/>
      <protection/>
    </xf>
    <xf numFmtId="0" fontId="12" fillId="0" borderId="71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164" fontId="7" fillId="0" borderId="18" xfId="0" applyNumberFormat="1" applyFont="1" applyFill="1" applyBorder="1" applyAlignment="1" applyProtection="1">
      <alignment horizontal="center"/>
      <protection locked="0"/>
    </xf>
    <xf numFmtId="1" fontId="7" fillId="0" borderId="43" xfId="0" applyNumberFormat="1" applyFont="1" applyFill="1" applyBorder="1" applyAlignment="1" applyProtection="1" quotePrefix="1">
      <alignment horizontal="center"/>
      <protection locked="0"/>
    </xf>
    <xf numFmtId="174" fontId="36" fillId="0" borderId="2" xfId="0" applyNumberFormat="1" applyFont="1" applyFill="1" applyBorder="1" applyAlignment="1" applyProtection="1">
      <alignment horizontal="center"/>
      <protection/>
    </xf>
    <xf numFmtId="173" fontId="7" fillId="0" borderId="4" xfId="0" applyNumberFormat="1" applyFont="1" applyFill="1" applyBorder="1" applyAlignment="1" applyProtection="1" quotePrefix="1">
      <alignment horizontal="center"/>
      <protection/>
    </xf>
    <xf numFmtId="168" fontId="7" fillId="0" borderId="2" xfId="0" applyNumberFormat="1" applyFont="1" applyFill="1" applyBorder="1" applyAlignment="1" applyProtection="1" quotePrefix="1">
      <alignment horizontal="center"/>
      <protection/>
    </xf>
    <xf numFmtId="164" fontId="45" fillId="0" borderId="2" xfId="0" applyNumberFormat="1" applyFont="1" applyFill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41" xfId="0" applyFont="1" applyBorder="1" applyAlignment="1" applyProtection="1">
      <alignment horizontal="center"/>
      <protection/>
    </xf>
    <xf numFmtId="7" fontId="10" fillId="0" borderId="0" xfId="0" applyNumberFormat="1" applyFont="1" applyFill="1" applyBorder="1" applyAlignment="1">
      <alignment horizontal="center"/>
    </xf>
    <xf numFmtId="7" fontId="10" fillId="0" borderId="27" xfId="0" applyNumberFormat="1" applyFont="1" applyFill="1" applyBorder="1" applyAlignment="1">
      <alignment horizontal="center"/>
    </xf>
    <xf numFmtId="2" fontId="83" fillId="0" borderId="2" xfId="0" applyNumberFormat="1" applyFont="1" applyFill="1" applyBorder="1" applyAlignment="1">
      <alignment horizontal="center"/>
    </xf>
    <xf numFmtId="2" fontId="84" fillId="0" borderId="2" xfId="0" applyNumberFormat="1" applyFont="1" applyFill="1" applyBorder="1" applyAlignment="1">
      <alignment horizontal="center"/>
    </xf>
    <xf numFmtId="168" fontId="37" fillId="0" borderId="42" xfId="0" applyNumberFormat="1" applyFont="1" applyFill="1" applyBorder="1" applyAlignment="1" applyProtection="1" quotePrefix="1">
      <alignment horizontal="center"/>
      <protection/>
    </xf>
    <xf numFmtId="168" fontId="37" fillId="0" borderId="43" xfId="0" applyNumberFormat="1" applyFont="1" applyFill="1" applyBorder="1" applyAlignment="1" applyProtection="1" quotePrefix="1">
      <alignment horizontal="center"/>
      <protection/>
    </xf>
    <xf numFmtId="168" fontId="85" fillId="0" borderId="42" xfId="0" applyNumberFormat="1" applyFont="1" applyFill="1" applyBorder="1" applyAlignment="1" applyProtection="1" quotePrefix="1">
      <alignment horizontal="center"/>
      <protection/>
    </xf>
    <xf numFmtId="168" fontId="85" fillId="0" borderId="43" xfId="0" applyNumberFormat="1" applyFont="1" applyFill="1" applyBorder="1" applyAlignment="1" applyProtection="1" quotePrefix="1">
      <alignment horizontal="center"/>
      <protection/>
    </xf>
    <xf numFmtId="168" fontId="47" fillId="0" borderId="2" xfId="0" applyNumberFormat="1" applyFont="1" applyFill="1" applyBorder="1" applyAlignment="1" applyProtection="1" quotePrefix="1">
      <alignment horizontal="center"/>
      <protection/>
    </xf>
    <xf numFmtId="168" fontId="86" fillId="0" borderId="18" xfId="0" applyNumberFormat="1" applyFont="1" applyFill="1" applyBorder="1" applyAlignment="1" applyProtection="1" quotePrefix="1">
      <alignment horizontal="center"/>
      <protection/>
    </xf>
    <xf numFmtId="0" fontId="114" fillId="0" borderId="0" xfId="0" applyNumberFormat="1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8" fontId="7" fillId="0" borderId="52" xfId="0" applyNumberFormat="1" applyFont="1" applyBorder="1" applyAlignment="1" applyProtection="1" quotePrefix="1">
      <alignment horizontal="center"/>
      <protection/>
    </xf>
    <xf numFmtId="168" fontId="7" fillId="0" borderId="26" xfId="0" applyNumberFormat="1" applyFont="1" applyBorder="1" applyAlignment="1" applyProtection="1" quotePrefix="1">
      <alignment horizontal="center"/>
      <protection/>
    </xf>
    <xf numFmtId="168" fontId="7" fillId="0" borderId="41" xfId="0" applyNumberFormat="1" applyFont="1" applyBorder="1" applyAlignment="1" applyProtection="1" quotePrefix="1">
      <alignment horizontal="center"/>
      <protection/>
    </xf>
    <xf numFmtId="164" fontId="7" fillId="0" borderId="71" xfId="0" applyNumberFormat="1" applyFont="1" applyBorder="1" applyAlignment="1" applyProtection="1">
      <alignment horizontal="center"/>
      <protection/>
    </xf>
    <xf numFmtId="164" fontId="7" fillId="0" borderId="72" xfId="0" applyNumberFormat="1" applyFont="1" applyBorder="1" applyAlignment="1" applyProtection="1">
      <alignment horizontal="center"/>
      <protection/>
    </xf>
    <xf numFmtId="164" fontId="7" fillId="0" borderId="52" xfId="0" applyNumberFormat="1" applyFont="1" applyBorder="1" applyAlignment="1" applyProtection="1">
      <alignment horizontal="center"/>
      <protection/>
    </xf>
    <xf numFmtId="164" fontId="7" fillId="0" borderId="41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0" fontId="7" fillId="0" borderId="5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8" fontId="7" fillId="0" borderId="71" xfId="0" applyNumberFormat="1" applyFont="1" applyBorder="1" applyAlignment="1" applyProtection="1">
      <alignment horizontal="center"/>
      <protection/>
    </xf>
    <xf numFmtId="168" fontId="7" fillId="0" borderId="59" xfId="0" applyNumberFormat="1" applyFont="1" applyBorder="1" applyAlignment="1" applyProtection="1">
      <alignment horizontal="center"/>
      <protection/>
    </xf>
    <xf numFmtId="168" fontId="7" fillId="0" borderId="72" xfId="0" applyNumberFormat="1" applyFont="1" applyBorder="1" applyAlignment="1" applyProtection="1">
      <alignment horizontal="center"/>
      <protection/>
    </xf>
    <xf numFmtId="168" fontId="7" fillId="0" borderId="52" xfId="0" applyNumberFormat="1" applyFont="1" applyBorder="1" applyAlignment="1" applyProtection="1">
      <alignment horizontal="center"/>
      <protection/>
    </xf>
    <xf numFmtId="168" fontId="7" fillId="0" borderId="41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Comahue" xfId="22"/>
    <cellStyle name="Normal_EDENOR9604" xfId="23"/>
    <cellStyle name="Normal_líneas" xfId="24"/>
    <cellStyle name="Normal_TRAN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1238250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1435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9525</xdr:rowOff>
    </xdr:from>
    <xdr:to>
      <xdr:col>0</xdr:col>
      <xdr:colOff>800100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3267075"/>
          <a:ext cx="2676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60007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0809NER%20Anexo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GI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  <cell r="GL30">
            <v>1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  <cell r="GG46" t="str">
            <v>XXXX</v>
          </cell>
          <cell r="GH46" t="str">
            <v>XXXX</v>
          </cell>
          <cell r="GI46" t="str">
            <v>XXXX</v>
          </cell>
          <cell r="GJ46" t="str">
            <v>XXXX</v>
          </cell>
          <cell r="GK46" t="str">
            <v>XXXX</v>
          </cell>
          <cell r="GL46" t="str">
            <v>XXXX</v>
          </cell>
          <cell r="GM46" t="str">
            <v>XXXX</v>
          </cell>
          <cell r="GN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GH48">
            <v>2</v>
          </cell>
          <cell r="GM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  <cell r="GG54" t="str">
            <v>XXXX</v>
          </cell>
          <cell r="GH54" t="str">
            <v>XXXX</v>
          </cell>
          <cell r="GI54" t="str">
            <v>XXXX</v>
          </cell>
          <cell r="GJ54" t="str">
            <v>XXXX</v>
          </cell>
          <cell r="GK54" t="str">
            <v>XXXX</v>
          </cell>
          <cell r="GL54" t="str">
            <v>XXXX</v>
          </cell>
          <cell r="GM54" t="str">
            <v>XXXX</v>
          </cell>
          <cell r="GN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  <cell r="GG57" t="str">
            <v>XXXX</v>
          </cell>
          <cell r="GH57" t="str">
            <v>XXXX</v>
          </cell>
          <cell r="GI57" t="str">
            <v>XXXX</v>
          </cell>
          <cell r="GJ57" t="str">
            <v>XXXX</v>
          </cell>
          <cell r="GK57" t="str">
            <v>XXXX</v>
          </cell>
          <cell r="GL57" t="str">
            <v>XXXX</v>
          </cell>
          <cell r="GM57" t="str">
            <v>XXXX</v>
          </cell>
          <cell r="GN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M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L62">
            <v>1</v>
          </cell>
          <cell r="GM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GD65">
            <v>1</v>
          </cell>
          <cell r="GM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D69">
            <v>2</v>
          </cell>
          <cell r="GH69">
            <v>1</v>
          </cell>
          <cell r="GJ69">
            <v>1</v>
          </cell>
          <cell r="GL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GM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GH71">
            <v>1</v>
          </cell>
          <cell r="GM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GG72">
            <v>1</v>
          </cell>
          <cell r="GH72">
            <v>1</v>
          </cell>
          <cell r="GJ72">
            <v>1</v>
          </cell>
          <cell r="GL72">
            <v>1</v>
          </cell>
          <cell r="GM72">
            <v>2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GD73">
            <v>1</v>
          </cell>
          <cell r="GI73">
            <v>1</v>
          </cell>
          <cell r="GJ73">
            <v>1</v>
          </cell>
          <cell r="GM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  <cell r="G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GJ77">
            <v>1</v>
          </cell>
          <cell r="GK77">
            <v>2</v>
          </cell>
          <cell r="GL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  <cell r="GG87" t="str">
            <v>XXXX</v>
          </cell>
          <cell r="GH87" t="str">
            <v>XXXX</v>
          </cell>
          <cell r="GI87" t="str">
            <v>XXXX</v>
          </cell>
          <cell r="GJ87" t="str">
            <v>XXXX</v>
          </cell>
          <cell r="GK87" t="str">
            <v>XXXX</v>
          </cell>
          <cell r="GL87" t="str">
            <v>XXXX</v>
          </cell>
          <cell r="GM87" t="str">
            <v>XXXX</v>
          </cell>
          <cell r="GN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  <cell r="GH100">
            <v>0.5</v>
          </cell>
          <cell r="GI100">
            <v>0.53</v>
          </cell>
          <cell r="GJ100">
            <v>0.54</v>
          </cell>
          <cell r="GK100">
            <v>0.5</v>
          </cell>
          <cell r="GL100">
            <v>0.5</v>
          </cell>
          <cell r="GM100">
            <v>0.5</v>
          </cell>
          <cell r="GN100">
            <v>0.44</v>
          </cell>
          <cell r="GO100">
            <v>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809"/>
      <sheetName val="LI-08 (1)"/>
      <sheetName val="LI-08 (2)"/>
      <sheetName val="Incendio"/>
      <sheetName val="LI-LITSA-08 (1)"/>
      <sheetName val="LI-INTESAR-08 (1)"/>
      <sheetName val="TR-08 (1)"/>
      <sheetName val="T4CH - Nota SE N° 2492"/>
      <sheetName val="TR-ENECOR-08 (1)"/>
      <sheetName val="SA-08 (1)"/>
      <sheetName val="SA-08 (2)"/>
      <sheetName val="SA-08 (3)"/>
      <sheetName val="SA-TIBA-08 (1)"/>
      <sheetName val="SA-ENECOR-08 (1)"/>
      <sheetName val="RE-08 (1)"/>
      <sheetName val="SUP-LITSA"/>
      <sheetName val="SUP-INTESAR"/>
      <sheetName val="SUP-ENECOR"/>
      <sheetName val="SUP-TIBA"/>
      <sheetName val="TASA FALLA"/>
    </sheetNames>
    <definedNames>
      <definedName name="Actualizar_Referenci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6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872"/>
      <c r="B1" s="19"/>
      <c r="E1" s="54"/>
      <c r="K1" s="148"/>
    </row>
    <row r="2" spans="2:10" s="18" customFormat="1" ht="26.25">
      <c r="B2" s="19" t="s">
        <v>399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2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3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63</v>
      </c>
      <c r="C7" s="171"/>
      <c r="D7" s="172"/>
      <c r="E7" s="172"/>
      <c r="F7" s="173"/>
      <c r="G7" s="173"/>
      <c r="H7" s="173"/>
      <c r="I7" s="173"/>
      <c r="J7" s="173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62</v>
      </c>
      <c r="C9" s="171"/>
      <c r="D9" s="172"/>
      <c r="E9" s="172"/>
      <c r="F9" s="172"/>
      <c r="G9" s="172"/>
      <c r="H9" s="172"/>
      <c r="I9" s="173"/>
      <c r="J9" s="173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389</v>
      </c>
      <c r="C11" s="174"/>
      <c r="D11" s="175"/>
      <c r="E11" s="175"/>
      <c r="F11" s="172"/>
      <c r="G11" s="172"/>
      <c r="H11" s="172"/>
      <c r="I11" s="173"/>
      <c r="J11" s="173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852"/>
      <c r="C13" s="34"/>
      <c r="D13" s="34"/>
      <c r="E13" s="853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298</v>
      </c>
      <c r="C14" s="38"/>
      <c r="D14" s="39"/>
      <c r="E14" s="854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65"/>
      <c r="E15" s="169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4</v>
      </c>
      <c r="D16" s="165" t="s">
        <v>0</v>
      </c>
      <c r="E16" s="169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65">
        <v>11</v>
      </c>
      <c r="E17" s="166" t="s">
        <v>5</v>
      </c>
      <c r="F17" s="46"/>
      <c r="G17" s="46"/>
      <c r="H17" s="46"/>
      <c r="I17" s="49">
        <f>'LI-09 (1)'!AE42</f>
        <v>33123.65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65">
        <v>12</v>
      </c>
      <c r="E18" s="166" t="s">
        <v>255</v>
      </c>
      <c r="F18" s="46"/>
      <c r="G18" s="46"/>
      <c r="H18" s="46"/>
      <c r="I18" s="49">
        <f>'LI-LITSA-09 (1)'!AF43</f>
        <v>14112.54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65"/>
      <c r="E19" s="166"/>
      <c r="F19" s="46"/>
      <c r="G19" s="46"/>
      <c r="H19" s="46"/>
      <c r="I19" s="49"/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ht="12.75" customHeight="1">
      <c r="B20" s="50"/>
      <c r="C20" s="51"/>
      <c r="D20" s="165"/>
      <c r="E20" s="855"/>
      <c r="F20" s="52"/>
      <c r="G20" s="52"/>
      <c r="H20" s="52"/>
      <c r="I20" s="53"/>
      <c r="J20" s="6"/>
      <c r="K20" s="43"/>
      <c r="L20" s="4"/>
      <c r="M20" s="4"/>
      <c r="N20" s="4"/>
      <c r="O20" s="4"/>
      <c r="P20" s="4"/>
      <c r="Q20" s="4"/>
      <c r="R20" s="4"/>
      <c r="S20" s="4"/>
    </row>
    <row r="21" spans="2:19" s="36" customFormat="1" ht="19.5">
      <c r="B21" s="44"/>
      <c r="C21" s="48" t="s">
        <v>6</v>
      </c>
      <c r="D21" s="168" t="s">
        <v>7</v>
      </c>
      <c r="E21" s="169"/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65">
        <v>21</v>
      </c>
      <c r="E22" s="166" t="s">
        <v>8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65"/>
      <c r="E23" s="167">
        <v>211</v>
      </c>
      <c r="F23" s="54" t="s">
        <v>5</v>
      </c>
      <c r="G23" s="46"/>
      <c r="H23" s="46"/>
      <c r="I23" s="49">
        <f>'TR-09 (1)'!AC42</f>
        <v>22487.59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65"/>
      <c r="E24" s="167" t="s">
        <v>395</v>
      </c>
      <c r="F24" s="54" t="s">
        <v>396</v>
      </c>
      <c r="G24" s="46"/>
      <c r="H24" s="46"/>
      <c r="I24" s="49">
        <f>'T4CH - Nota SE N° 2492'!AC43</f>
        <v>68904</v>
      </c>
      <c r="J24" s="6" t="s">
        <v>394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65"/>
      <c r="E25" s="167">
        <v>212</v>
      </c>
      <c r="F25" s="54" t="s">
        <v>68</v>
      </c>
      <c r="G25" s="46"/>
      <c r="H25" s="46"/>
      <c r="I25" s="49">
        <f>'TR-TIBA-09 (1)'!AC41</f>
        <v>350.46</v>
      </c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65">
        <v>22</v>
      </c>
      <c r="E26" s="166" t="s">
        <v>9</v>
      </c>
      <c r="F26" s="46"/>
      <c r="G26" s="46"/>
      <c r="H26" s="46"/>
      <c r="I26" s="49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65"/>
      <c r="E27" s="167">
        <v>221</v>
      </c>
      <c r="F27" s="54" t="s">
        <v>5</v>
      </c>
      <c r="G27" s="46"/>
      <c r="H27" s="46"/>
      <c r="I27" s="49">
        <f>'SA-09 (2)'!V45</f>
        <v>156461.53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65"/>
      <c r="E28" s="167">
        <v>222</v>
      </c>
      <c r="F28" s="54" t="s">
        <v>68</v>
      </c>
      <c r="G28" s="46"/>
      <c r="H28" s="46"/>
      <c r="I28" s="49">
        <f>'SA-TIBA-09 (1)'!V43</f>
        <v>25552.48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ht="12.75" customHeight="1">
      <c r="B29" s="50"/>
      <c r="C29" s="51"/>
      <c r="D29" s="165"/>
      <c r="E29" s="855"/>
      <c r="F29" s="52"/>
      <c r="G29" s="52"/>
      <c r="H29" s="52"/>
      <c r="I29" s="53"/>
      <c r="J29" s="6"/>
      <c r="K29" s="43"/>
      <c r="L29" s="4"/>
      <c r="M29" s="4"/>
      <c r="N29" s="4"/>
      <c r="O29" s="4"/>
      <c r="P29" s="4"/>
      <c r="Q29" s="4"/>
      <c r="R29" s="4"/>
      <c r="S29" s="4"/>
    </row>
    <row r="30" spans="2:19" s="36" customFormat="1" ht="19.5">
      <c r="B30" s="44"/>
      <c r="C30" s="48" t="s">
        <v>10</v>
      </c>
      <c r="D30" s="168" t="s">
        <v>65</v>
      </c>
      <c r="E30" s="169"/>
      <c r="F30" s="46"/>
      <c r="G30" s="46"/>
      <c r="H30" s="46"/>
      <c r="I30" s="49"/>
      <c r="J30" s="47"/>
      <c r="K30" s="43"/>
      <c r="L30" s="43"/>
      <c r="M30" s="43"/>
      <c r="N30" s="43"/>
      <c r="O30" s="43"/>
      <c r="P30" s="43"/>
      <c r="Q30" s="43"/>
      <c r="R30" s="43"/>
      <c r="S30" s="43"/>
    </row>
    <row r="31" spans="2:19" s="36" customFormat="1" ht="19.5">
      <c r="B31" s="44"/>
      <c r="C31" s="48"/>
      <c r="D31" s="165">
        <v>31</v>
      </c>
      <c r="E31" s="166" t="s">
        <v>5</v>
      </c>
      <c r="F31" s="46"/>
      <c r="G31" s="46"/>
      <c r="H31" s="46"/>
      <c r="I31" s="49">
        <f>'RE-09 (1)'!Z43</f>
        <v>130536.46</v>
      </c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65"/>
      <c r="E32" s="166"/>
      <c r="F32" s="46"/>
      <c r="G32" s="46"/>
      <c r="H32" s="46"/>
      <c r="I32" s="49"/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9.5">
      <c r="B33" s="44"/>
      <c r="C33" s="48"/>
      <c r="D33" s="165"/>
      <c r="E33" s="166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2.75" customHeight="1">
      <c r="B34" s="44"/>
      <c r="C34" s="48"/>
      <c r="D34" s="165"/>
      <c r="E34" s="166"/>
      <c r="F34" s="46"/>
      <c r="G34" s="46"/>
      <c r="H34" s="46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 t="s">
        <v>66</v>
      </c>
      <c r="D35" s="168" t="s">
        <v>67</v>
      </c>
      <c r="E35" s="169"/>
      <c r="F35" s="46"/>
      <c r="G35" s="46"/>
      <c r="H35" s="46"/>
      <c r="I35" s="49"/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65">
        <v>41</v>
      </c>
      <c r="E36" s="166" t="s">
        <v>64</v>
      </c>
      <c r="F36" s="46"/>
      <c r="G36" s="46"/>
      <c r="H36" s="46"/>
      <c r="I36" s="49">
        <f>'SUP-LITSA'!K74</f>
        <v>6393.551054964107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65"/>
      <c r="E37" s="166"/>
      <c r="F37" s="46"/>
      <c r="G37" s="46"/>
      <c r="H37" s="46"/>
      <c r="I37" s="49"/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9.5">
      <c r="B38" s="44"/>
      <c r="C38" s="48"/>
      <c r="D38" s="165">
        <v>43</v>
      </c>
      <c r="E38" s="166" t="s">
        <v>68</v>
      </c>
      <c r="F38" s="46"/>
      <c r="G38" s="46"/>
      <c r="H38" s="46"/>
      <c r="I38" s="49">
        <f>'SUP-TIBA'!J72</f>
        <v>5571.764921779906</v>
      </c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11.25" customHeight="1">
      <c r="B39" s="44"/>
      <c r="C39" s="48"/>
      <c r="D39" s="165"/>
      <c r="E39" s="166"/>
      <c r="F39" s="46"/>
      <c r="G39" s="46"/>
      <c r="H39" s="884"/>
      <c r="I39" s="49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20.25" thickBot="1">
      <c r="B40" s="44"/>
      <c r="C40" s="45"/>
      <c r="D40" s="165"/>
      <c r="E40" s="169"/>
      <c r="F40" s="46"/>
      <c r="G40" s="46"/>
      <c r="H40" s="46"/>
      <c r="I40" s="4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20.25" thickBot="1" thickTop="1">
      <c r="B41" s="44"/>
      <c r="C41" s="48"/>
      <c r="D41" s="48"/>
      <c r="F41" s="55" t="s">
        <v>11</v>
      </c>
      <c r="G41" s="56">
        <f>SUM(I17:I38)</f>
        <v>463494.0259767441</v>
      </c>
      <c r="H41" s="125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9.75" customHeight="1" thickTop="1">
      <c r="B42" s="44"/>
      <c r="C42" s="48"/>
      <c r="D42" s="48"/>
      <c r="F42" s="164"/>
      <c r="G42" s="125"/>
      <c r="H42" s="125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8.75">
      <c r="B43" s="44"/>
      <c r="C43" s="170" t="s">
        <v>292</v>
      </c>
      <c r="D43" s="48"/>
      <c r="F43" s="164"/>
      <c r="G43" s="125"/>
      <c r="H43" s="125"/>
      <c r="I43" s="885" t="s">
        <v>251</v>
      </c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8.75">
      <c r="B44" s="44"/>
      <c r="C44" s="1109" t="s">
        <v>398</v>
      </c>
      <c r="D44" s="48"/>
      <c r="F44" s="164"/>
      <c r="G44" s="125"/>
      <c r="H44" s="125"/>
      <c r="I44" s="885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2" customFormat="1" ht="10.5" customHeight="1" thickBot="1">
      <c r="B45" s="57"/>
      <c r="C45" s="58"/>
      <c r="D45" s="58"/>
      <c r="E45" s="59"/>
      <c r="F45" s="59"/>
      <c r="G45" s="59"/>
      <c r="H45" s="59"/>
      <c r="I45" s="59"/>
      <c r="J45" s="60"/>
      <c r="K45" s="33"/>
      <c r="L45" s="33"/>
      <c r="M45" s="61"/>
      <c r="N45" s="62"/>
      <c r="O45" s="62"/>
      <c r="P45" s="63"/>
      <c r="Q45" s="64"/>
      <c r="R45" s="33"/>
      <c r="S45" s="33"/>
    </row>
    <row r="46" spans="4:19" ht="13.5" thickTop="1">
      <c r="D46" s="4"/>
      <c r="F46" s="4"/>
      <c r="G46" s="4"/>
      <c r="H46" s="4"/>
      <c r="I46" s="4"/>
      <c r="J46" s="4"/>
      <c r="K46" s="4"/>
      <c r="L46" s="4"/>
      <c r="M46" s="15"/>
      <c r="N46" s="65"/>
      <c r="O46" s="65"/>
      <c r="P46" s="4"/>
      <c r="Q46" s="66"/>
      <c r="R46" s="4"/>
      <c r="S46" s="4"/>
    </row>
    <row r="47" spans="4:19" ht="12.75">
      <c r="D47" s="4"/>
      <c r="F47" s="4"/>
      <c r="G47" s="4"/>
      <c r="H47" s="4"/>
      <c r="I47" s="4"/>
      <c r="J47" s="4"/>
      <c r="K47" s="4"/>
      <c r="L47" s="4"/>
      <c r="M47" s="4"/>
      <c r="N47" s="67"/>
      <c r="O47" s="67"/>
      <c r="P47" s="68"/>
      <c r="Q47" s="66"/>
      <c r="R47" s="4"/>
      <c r="S47" s="4"/>
    </row>
    <row r="48" spans="4:19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67"/>
      <c r="O48" s="67"/>
      <c r="P48" s="68"/>
      <c r="Q48" s="66"/>
      <c r="R48" s="4"/>
      <c r="S48" s="4"/>
    </row>
    <row r="49" spans="4:19" ht="12.75">
      <c r="D49" s="4"/>
      <c r="E49" s="4"/>
      <c r="L49" s="4"/>
      <c r="M49" s="4"/>
      <c r="N49" s="4"/>
      <c r="O49" s="4"/>
      <c r="P49" s="4"/>
      <c r="Q49" s="4"/>
      <c r="R49" s="4"/>
      <c r="S49" s="4"/>
    </row>
    <row r="50" spans="4:19" ht="12.75">
      <c r="D50" s="4"/>
      <c r="E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16:19" ht="12.75">
      <c r="P55" s="4"/>
      <c r="Q55" s="4"/>
      <c r="R55" s="4"/>
      <c r="S55" s="4"/>
    </row>
    <row r="56" spans="16:19" ht="12.75">
      <c r="P56" s="4"/>
      <c r="Q56" s="4"/>
      <c r="R56" s="4"/>
      <c r="S56" s="4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7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Y157"/>
  <sheetViews>
    <sheetView zoomScale="70" zoomScaleNormal="70" workbookViewId="0" topLeftCell="C10">
      <selection activeCell="A10" sqref="A10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8"/>
    </row>
    <row r="2" spans="1:23" s="18" customFormat="1" ht="26.25">
      <c r="A2" s="91"/>
      <c r="B2" s="19" t="str">
        <f>+'TOT-0909'!B2</f>
        <v>ANEXO IV al Memorandum  D.T.E.E. N° 256/2011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888" customFormat="1" ht="33" customHeight="1">
      <c r="B10" s="889"/>
      <c r="C10" s="887"/>
      <c r="D10" s="887"/>
      <c r="E10" s="887"/>
      <c r="F10" s="909" t="s">
        <v>252</v>
      </c>
      <c r="G10" s="910"/>
      <c r="H10" s="911"/>
      <c r="I10" s="912"/>
      <c r="K10" s="912"/>
      <c r="L10" s="912"/>
      <c r="M10" s="912"/>
      <c r="N10" s="912"/>
      <c r="O10" s="912"/>
      <c r="P10" s="912"/>
      <c r="Q10" s="887"/>
      <c r="R10" s="887"/>
      <c r="S10" s="887"/>
      <c r="T10" s="887"/>
      <c r="U10" s="887"/>
      <c r="V10" s="887"/>
      <c r="W10" s="913"/>
    </row>
    <row r="11" spans="2:23" s="891" customFormat="1" ht="33" customHeight="1">
      <c r="B11" s="892"/>
      <c r="C11" s="893"/>
      <c r="D11" s="893"/>
      <c r="E11" s="893"/>
      <c r="F11" s="909" t="s">
        <v>257</v>
      </c>
      <c r="G11" s="914"/>
      <c r="H11" s="915"/>
      <c r="I11" s="916"/>
      <c r="J11" s="917"/>
      <c r="K11" s="916"/>
      <c r="L11" s="916"/>
      <c r="M11" s="916"/>
      <c r="N11" s="916"/>
      <c r="O11" s="916"/>
      <c r="P11" s="916"/>
      <c r="Q11" s="893"/>
      <c r="R11" s="893"/>
      <c r="S11" s="893"/>
      <c r="T11" s="893"/>
      <c r="U11" s="893"/>
      <c r="V11" s="893"/>
      <c r="W11" s="918"/>
    </row>
    <row r="12" spans="2:23" s="5" customFormat="1" ht="19.5">
      <c r="B12" s="37" t="str">
        <f>'TOT-0909'!B14</f>
        <v>Desde el 01 al 30 de septiembre de 2009</v>
      </c>
      <c r="C12" s="40"/>
      <c r="D12" s="40"/>
      <c r="E12" s="40"/>
      <c r="F12" s="40"/>
      <c r="G12" s="40"/>
      <c r="H12" s="40"/>
      <c r="I12" s="410"/>
      <c r="J12" s="410"/>
      <c r="K12" s="410"/>
      <c r="L12" s="410"/>
      <c r="M12" s="410"/>
      <c r="N12" s="410"/>
      <c r="O12" s="410"/>
      <c r="P12" s="410"/>
      <c r="Q12" s="40"/>
      <c r="R12" s="40"/>
      <c r="S12" s="40"/>
      <c r="T12" s="40"/>
      <c r="U12" s="40"/>
      <c r="V12" s="40"/>
      <c r="W12" s="411"/>
    </row>
    <row r="13" spans="2:23" s="5" customFormat="1" ht="14.25" thickBot="1">
      <c r="B13" s="412"/>
      <c r="C13" s="413"/>
      <c r="D13" s="413"/>
      <c r="E13" s="413"/>
      <c r="F13" s="413"/>
      <c r="G13" s="413"/>
      <c r="H13" s="413"/>
      <c r="I13" s="414"/>
      <c r="J13" s="414"/>
      <c r="K13" s="414"/>
      <c r="L13" s="414"/>
      <c r="M13" s="414"/>
      <c r="N13" s="414"/>
      <c r="O13" s="414"/>
      <c r="P13" s="414"/>
      <c r="Q13" s="413"/>
      <c r="R13" s="413"/>
      <c r="S13" s="413"/>
      <c r="T13" s="413"/>
      <c r="U13" s="413"/>
      <c r="V13" s="413"/>
      <c r="W13" s="415"/>
    </row>
    <row r="14" spans="2:23" s="5" customFormat="1" ht="15" thickBot="1" thickTop="1">
      <c r="B14" s="50"/>
      <c r="C14" s="4"/>
      <c r="D14" s="4"/>
      <c r="E14" s="4"/>
      <c r="F14" s="416"/>
      <c r="G14" s="416"/>
      <c r="H14" s="117" t="s">
        <v>88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417" t="s">
        <v>89</v>
      </c>
      <c r="G15" s="418">
        <v>23.525</v>
      </c>
      <c r="H15" s="419">
        <v>200</v>
      </c>
      <c r="V15" s="115"/>
      <c r="W15" s="6"/>
    </row>
    <row r="16" spans="2:23" s="5" customFormat="1" ht="16.5" customHeight="1" thickBot="1" thickTop="1">
      <c r="B16" s="50"/>
      <c r="C16" s="4"/>
      <c r="D16" s="4"/>
      <c r="E16" s="4"/>
      <c r="F16" s="420" t="s">
        <v>90</v>
      </c>
      <c r="G16" s="421" t="s">
        <v>293</v>
      </c>
      <c r="H16" s="419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422" t="s">
        <v>91</v>
      </c>
      <c r="G17" s="460">
        <v>18.82</v>
      </c>
      <c r="H17" s="419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967">
        <v>3</v>
      </c>
      <c r="D18" s="967">
        <v>4</v>
      </c>
      <c r="E18" s="967">
        <v>5</v>
      </c>
      <c r="F18" s="967">
        <v>6</v>
      </c>
      <c r="G18" s="967">
        <v>7</v>
      </c>
      <c r="H18" s="967">
        <v>8</v>
      </c>
      <c r="I18" s="967">
        <v>9</v>
      </c>
      <c r="J18" s="967">
        <v>10</v>
      </c>
      <c r="K18" s="967">
        <v>11</v>
      </c>
      <c r="L18" s="967">
        <v>12</v>
      </c>
      <c r="M18" s="967">
        <v>13</v>
      </c>
      <c r="N18" s="967">
        <v>14</v>
      </c>
      <c r="O18" s="967">
        <v>15</v>
      </c>
      <c r="P18" s="967">
        <v>16</v>
      </c>
      <c r="Q18" s="967">
        <v>17</v>
      </c>
      <c r="R18" s="967">
        <v>18</v>
      </c>
      <c r="S18" s="967">
        <v>19</v>
      </c>
      <c r="T18" s="967">
        <v>20</v>
      </c>
      <c r="U18" s="967">
        <v>21</v>
      </c>
      <c r="V18" s="967">
        <v>22</v>
      </c>
      <c r="W18" s="6"/>
    </row>
    <row r="19" spans="2:23" s="5" customFormat="1" ht="33.75" customHeight="1" thickBot="1" thickTop="1">
      <c r="B19" s="50"/>
      <c r="C19" s="123" t="s">
        <v>13</v>
      </c>
      <c r="D19" s="84" t="s">
        <v>264</v>
      </c>
      <c r="E19" s="84" t="s">
        <v>265</v>
      </c>
      <c r="F19" s="86" t="s">
        <v>27</v>
      </c>
      <c r="G19" s="423" t="s">
        <v>28</v>
      </c>
      <c r="H19" s="424" t="s">
        <v>14</v>
      </c>
      <c r="I19" s="129" t="s">
        <v>16</v>
      </c>
      <c r="J19" s="85" t="s">
        <v>17</v>
      </c>
      <c r="K19" s="423" t="s">
        <v>18</v>
      </c>
      <c r="L19" s="425" t="s">
        <v>36</v>
      </c>
      <c r="M19" s="425" t="s">
        <v>31</v>
      </c>
      <c r="N19" s="88" t="s">
        <v>19</v>
      </c>
      <c r="O19" s="181" t="s">
        <v>32</v>
      </c>
      <c r="P19" s="137" t="s">
        <v>37</v>
      </c>
      <c r="Q19" s="426" t="s">
        <v>70</v>
      </c>
      <c r="R19" s="183" t="s">
        <v>35</v>
      </c>
      <c r="S19" s="427"/>
      <c r="T19" s="136" t="s">
        <v>22</v>
      </c>
      <c r="U19" s="134" t="s">
        <v>82</v>
      </c>
      <c r="V19" s="121" t="s">
        <v>24</v>
      </c>
      <c r="W19" s="6"/>
    </row>
    <row r="20" spans="2:23" s="5" customFormat="1" ht="16.5" customHeight="1" thickTop="1">
      <c r="B20" s="50"/>
      <c r="C20" s="326"/>
      <c r="D20" s="326"/>
      <c r="E20" s="326"/>
      <c r="F20" s="428"/>
      <c r="G20" s="428"/>
      <c r="H20" s="428"/>
      <c r="I20" s="259"/>
      <c r="J20" s="428"/>
      <c r="K20" s="428"/>
      <c r="L20" s="428"/>
      <c r="M20" s="428"/>
      <c r="N20" s="428"/>
      <c r="O20" s="428"/>
      <c r="P20" s="429"/>
      <c r="Q20" s="430"/>
      <c r="R20" s="431"/>
      <c r="S20" s="432"/>
      <c r="T20" s="433"/>
      <c r="U20" s="428"/>
      <c r="V20" s="434"/>
      <c r="W20" s="6"/>
    </row>
    <row r="21" spans="2:23" s="5" customFormat="1" ht="16.5" customHeight="1">
      <c r="B21" s="50"/>
      <c r="C21" s="340"/>
      <c r="D21" s="340"/>
      <c r="E21" s="340"/>
      <c r="F21" s="435"/>
      <c r="G21" s="435"/>
      <c r="H21" s="435"/>
      <c r="I21" s="436"/>
      <c r="J21" s="435"/>
      <c r="K21" s="435"/>
      <c r="L21" s="435"/>
      <c r="M21" s="435"/>
      <c r="N21" s="435"/>
      <c r="O21" s="435"/>
      <c r="P21" s="437"/>
      <c r="Q21" s="438"/>
      <c r="R21" s="194"/>
      <c r="S21" s="439"/>
      <c r="T21" s="440"/>
      <c r="U21" s="435"/>
      <c r="V21" s="441"/>
      <c r="W21" s="6"/>
    </row>
    <row r="22" spans="2:23" s="5" customFormat="1" ht="16.5" customHeight="1">
      <c r="B22" s="50"/>
      <c r="C22" s="340">
        <v>79</v>
      </c>
      <c r="D22" s="340">
        <v>210744</v>
      </c>
      <c r="E22" s="157">
        <v>2595</v>
      </c>
      <c r="F22" s="442" t="s">
        <v>345</v>
      </c>
      <c r="G22" s="442" t="s">
        <v>346</v>
      </c>
      <c r="H22" s="443">
        <v>132</v>
      </c>
      <c r="I22" s="130">
        <f aca="true" t="shared" si="0" ref="I22:I41">IF(H22=500,$G$15,IF(H22=220,$G$16,$G$17))</f>
        <v>18.82</v>
      </c>
      <c r="J22" s="444">
        <v>40058.376388888886</v>
      </c>
      <c r="K22" s="155">
        <v>40058.38888888889</v>
      </c>
      <c r="L22" s="445">
        <f aca="true" t="shared" si="1" ref="L22:L41">IF(F22="","",(K22-J22)*24)</f>
        <v>0.3000000001047738</v>
      </c>
      <c r="M22" s="446">
        <f aca="true" t="shared" si="2" ref="M22:M41">IF(F22="","",ROUND((K22-J22)*24*60,0))</f>
        <v>18</v>
      </c>
      <c r="N22" s="262" t="s">
        <v>303</v>
      </c>
      <c r="O22" s="263" t="str">
        <f aca="true" t="shared" si="3" ref="O22:O41">IF(F22="","",IF(N22="P","--","NO"))</f>
        <v>--</v>
      </c>
      <c r="P22" s="787">
        <f aca="true" t="shared" si="4" ref="P22:P41">IF(H22=500,$H$15,IF(H22=220,$H$16,$H$17))</f>
        <v>40</v>
      </c>
      <c r="Q22" s="940">
        <f aca="true" t="shared" si="5" ref="Q22:Q41">IF(N22="P",I22*P22*ROUND(M22/60,2)*0.1,"--")</f>
        <v>22.584</v>
      </c>
      <c r="R22" s="194" t="str">
        <f aca="true" t="shared" si="6" ref="R22:R41">IF(AND(N22="F",O22="NO"),I22*P22,"--")</f>
        <v>--</v>
      </c>
      <c r="S22" s="439" t="str">
        <f aca="true" t="shared" si="7" ref="S22:S41">IF(N22="F",I22*P22*ROUND(M22/60,2),"--")</f>
        <v>--</v>
      </c>
      <c r="T22" s="440" t="str">
        <f aca="true" t="shared" si="8" ref="T22:T41">IF(N22="RF",I22*P22*ROUND(M22/60,2),"--")</f>
        <v>--</v>
      </c>
      <c r="U22" s="263" t="s">
        <v>240</v>
      </c>
      <c r="V22" s="447">
        <f aca="true" t="shared" si="9" ref="V22:V41">IF(F22="","",SUM(Q22:T22)*IF(U22="SI",1,2))</f>
        <v>22.584</v>
      </c>
      <c r="W22" s="6"/>
    </row>
    <row r="23" spans="2:23" s="5" customFormat="1" ht="16.5" customHeight="1">
      <c r="B23" s="50"/>
      <c r="C23" s="340">
        <v>80</v>
      </c>
      <c r="D23" s="340">
        <v>210753</v>
      </c>
      <c r="E23" s="340">
        <v>2589</v>
      </c>
      <c r="F23" s="442" t="s">
        <v>347</v>
      </c>
      <c r="G23" s="442" t="s">
        <v>348</v>
      </c>
      <c r="H23" s="443">
        <v>132</v>
      </c>
      <c r="I23" s="130">
        <f t="shared" si="0"/>
        <v>18.82</v>
      </c>
      <c r="J23" s="444">
        <v>40061.393055555556</v>
      </c>
      <c r="K23" s="155">
        <v>40061.53055555555</v>
      </c>
      <c r="L23" s="445">
        <f t="shared" si="1"/>
        <v>3.299999999930151</v>
      </c>
      <c r="M23" s="446">
        <f t="shared" si="2"/>
        <v>198</v>
      </c>
      <c r="N23" s="262" t="s">
        <v>303</v>
      </c>
      <c r="O23" s="263" t="str">
        <f t="shared" si="3"/>
        <v>--</v>
      </c>
      <c r="P23" s="787">
        <f t="shared" si="4"/>
        <v>40</v>
      </c>
      <c r="Q23" s="940">
        <f t="shared" si="5"/>
        <v>248.42399999999998</v>
      </c>
      <c r="R23" s="194" t="str">
        <f t="shared" si="6"/>
        <v>--</v>
      </c>
      <c r="S23" s="439" t="str">
        <f t="shared" si="7"/>
        <v>--</v>
      </c>
      <c r="T23" s="440" t="str">
        <f t="shared" si="8"/>
        <v>--</v>
      </c>
      <c r="U23" s="263" t="s">
        <v>240</v>
      </c>
      <c r="V23" s="447">
        <f t="shared" si="9"/>
        <v>248.42399999999998</v>
      </c>
      <c r="W23" s="6"/>
    </row>
    <row r="24" spans="2:23" s="5" customFormat="1" ht="16.5" customHeight="1">
      <c r="B24" s="50"/>
      <c r="C24" s="340">
        <v>81</v>
      </c>
      <c r="D24" s="340">
        <v>210931</v>
      </c>
      <c r="E24" s="157">
        <v>2605</v>
      </c>
      <c r="F24" s="442" t="s">
        <v>349</v>
      </c>
      <c r="G24" s="442" t="s">
        <v>350</v>
      </c>
      <c r="H24" s="443">
        <v>132</v>
      </c>
      <c r="I24" s="130">
        <f t="shared" si="0"/>
        <v>18.82</v>
      </c>
      <c r="J24" s="444">
        <v>40063.4</v>
      </c>
      <c r="K24" s="155">
        <v>40063.63611111111</v>
      </c>
      <c r="L24" s="445">
        <f t="shared" si="1"/>
        <v>5.666666666627862</v>
      </c>
      <c r="M24" s="446">
        <f t="shared" si="2"/>
        <v>340</v>
      </c>
      <c r="N24" s="262" t="s">
        <v>303</v>
      </c>
      <c r="O24" s="263" t="str">
        <f t="shared" si="3"/>
        <v>--</v>
      </c>
      <c r="P24" s="787">
        <f t="shared" si="4"/>
        <v>40</v>
      </c>
      <c r="Q24" s="940">
        <f t="shared" si="5"/>
        <v>426.83759999999995</v>
      </c>
      <c r="R24" s="194" t="str">
        <f t="shared" si="6"/>
        <v>--</v>
      </c>
      <c r="S24" s="439" t="str">
        <f t="shared" si="7"/>
        <v>--</v>
      </c>
      <c r="T24" s="440" t="str">
        <f t="shared" si="8"/>
        <v>--</v>
      </c>
      <c r="U24" s="263" t="s">
        <v>240</v>
      </c>
      <c r="V24" s="447">
        <f t="shared" si="9"/>
        <v>426.83759999999995</v>
      </c>
      <c r="W24" s="6"/>
    </row>
    <row r="25" spans="2:23" s="5" customFormat="1" ht="16.5" customHeight="1">
      <c r="B25" s="50"/>
      <c r="C25" s="340">
        <v>82</v>
      </c>
      <c r="D25" s="340">
        <v>210932</v>
      </c>
      <c r="E25" s="340">
        <v>2585</v>
      </c>
      <c r="F25" s="442" t="s">
        <v>347</v>
      </c>
      <c r="G25" s="442" t="s">
        <v>351</v>
      </c>
      <c r="H25" s="443">
        <v>132</v>
      </c>
      <c r="I25" s="130">
        <f t="shared" si="0"/>
        <v>18.82</v>
      </c>
      <c r="J25" s="444">
        <v>40063.45694444444</v>
      </c>
      <c r="K25" s="155">
        <v>40063.60486111111</v>
      </c>
      <c r="L25" s="445">
        <f t="shared" si="1"/>
        <v>3.550000000046566</v>
      </c>
      <c r="M25" s="446">
        <f t="shared" si="2"/>
        <v>213</v>
      </c>
      <c r="N25" s="262" t="s">
        <v>303</v>
      </c>
      <c r="O25" s="263" t="str">
        <f t="shared" si="3"/>
        <v>--</v>
      </c>
      <c r="P25" s="787">
        <f t="shared" si="4"/>
        <v>40</v>
      </c>
      <c r="Q25" s="940">
        <f t="shared" si="5"/>
        <v>267.24399999999997</v>
      </c>
      <c r="R25" s="194" t="str">
        <f t="shared" si="6"/>
        <v>--</v>
      </c>
      <c r="S25" s="439" t="str">
        <f t="shared" si="7"/>
        <v>--</v>
      </c>
      <c r="T25" s="440" t="str">
        <f t="shared" si="8"/>
        <v>--</v>
      </c>
      <c r="U25" s="263" t="s">
        <v>240</v>
      </c>
      <c r="V25" s="447">
        <f t="shared" si="9"/>
        <v>267.24399999999997</v>
      </c>
      <c r="W25" s="6"/>
    </row>
    <row r="26" spans="2:23" s="5" customFormat="1" ht="16.5" customHeight="1">
      <c r="B26" s="50"/>
      <c r="C26" s="340">
        <v>83</v>
      </c>
      <c r="D26" s="340">
        <v>211143</v>
      </c>
      <c r="E26" s="157">
        <v>2588</v>
      </c>
      <c r="F26" s="442" t="s">
        <v>347</v>
      </c>
      <c r="G26" s="442" t="s">
        <v>352</v>
      </c>
      <c r="H26" s="443">
        <v>132</v>
      </c>
      <c r="I26" s="130">
        <f t="shared" si="0"/>
        <v>18.82</v>
      </c>
      <c r="J26" s="444">
        <v>40073.509722222225</v>
      </c>
      <c r="K26" s="155">
        <v>40073.51736111111</v>
      </c>
      <c r="L26" s="445">
        <f t="shared" si="1"/>
        <v>0.18333333323244005</v>
      </c>
      <c r="M26" s="446">
        <f t="shared" si="2"/>
        <v>11</v>
      </c>
      <c r="N26" s="262" t="s">
        <v>303</v>
      </c>
      <c r="O26" s="263" t="str">
        <f t="shared" si="3"/>
        <v>--</v>
      </c>
      <c r="P26" s="787">
        <f t="shared" si="4"/>
        <v>40</v>
      </c>
      <c r="Q26" s="940">
        <f t="shared" si="5"/>
        <v>13.5504</v>
      </c>
      <c r="R26" s="194" t="str">
        <f t="shared" si="6"/>
        <v>--</v>
      </c>
      <c r="S26" s="439" t="str">
        <f t="shared" si="7"/>
        <v>--</v>
      </c>
      <c r="T26" s="440" t="str">
        <f t="shared" si="8"/>
        <v>--</v>
      </c>
      <c r="U26" s="263" t="s">
        <v>240</v>
      </c>
      <c r="V26" s="447">
        <f t="shared" si="9"/>
        <v>13.5504</v>
      </c>
      <c r="W26" s="6"/>
    </row>
    <row r="27" spans="2:23" s="5" customFormat="1" ht="16.5" customHeight="1">
      <c r="B27" s="50"/>
      <c r="C27" s="340">
        <v>84</v>
      </c>
      <c r="D27" s="340">
        <v>211144</v>
      </c>
      <c r="E27" s="340">
        <v>2583</v>
      </c>
      <c r="F27" s="442" t="s">
        <v>347</v>
      </c>
      <c r="G27" s="442" t="s">
        <v>353</v>
      </c>
      <c r="H27" s="443">
        <v>132</v>
      </c>
      <c r="I27" s="130">
        <f t="shared" si="0"/>
        <v>18.82</v>
      </c>
      <c r="J27" s="444">
        <v>40073.51180555556</v>
      </c>
      <c r="K27" s="155">
        <v>40073.51736111111</v>
      </c>
      <c r="L27" s="445">
        <f t="shared" si="1"/>
        <v>0.1333333332440816</v>
      </c>
      <c r="M27" s="446">
        <f t="shared" si="2"/>
        <v>8</v>
      </c>
      <c r="N27" s="262" t="s">
        <v>303</v>
      </c>
      <c r="O27" s="263" t="str">
        <f t="shared" si="3"/>
        <v>--</v>
      </c>
      <c r="P27" s="787">
        <f t="shared" si="4"/>
        <v>40</v>
      </c>
      <c r="Q27" s="940">
        <f t="shared" si="5"/>
        <v>9.7864</v>
      </c>
      <c r="R27" s="194" t="str">
        <f t="shared" si="6"/>
        <v>--</v>
      </c>
      <c r="S27" s="439" t="str">
        <f t="shared" si="7"/>
        <v>--</v>
      </c>
      <c r="T27" s="440" t="str">
        <f t="shared" si="8"/>
        <v>--</v>
      </c>
      <c r="U27" s="263" t="s">
        <v>240</v>
      </c>
      <c r="V27" s="447">
        <f t="shared" si="9"/>
        <v>9.7864</v>
      </c>
      <c r="W27" s="6"/>
    </row>
    <row r="28" spans="2:23" s="5" customFormat="1" ht="16.5" customHeight="1">
      <c r="B28" s="50"/>
      <c r="C28" s="340">
        <v>85</v>
      </c>
      <c r="D28" s="340">
        <v>211325</v>
      </c>
      <c r="E28" s="157">
        <v>2635</v>
      </c>
      <c r="F28" s="442" t="s">
        <v>347</v>
      </c>
      <c r="G28" s="442" t="s">
        <v>354</v>
      </c>
      <c r="H28" s="443">
        <v>500</v>
      </c>
      <c r="I28" s="130">
        <f t="shared" si="0"/>
        <v>23.525</v>
      </c>
      <c r="J28" s="444">
        <v>40077.32916666667</v>
      </c>
      <c r="K28" s="155">
        <v>40077.760416666664</v>
      </c>
      <c r="L28" s="445">
        <f t="shared" si="1"/>
        <v>10.349999999860302</v>
      </c>
      <c r="M28" s="446">
        <f t="shared" si="2"/>
        <v>621</v>
      </c>
      <c r="N28" s="262" t="s">
        <v>303</v>
      </c>
      <c r="O28" s="263" t="str">
        <f t="shared" si="3"/>
        <v>--</v>
      </c>
      <c r="P28" s="787">
        <f t="shared" si="4"/>
        <v>200</v>
      </c>
      <c r="Q28" s="940">
        <f t="shared" si="5"/>
        <v>4869.675</v>
      </c>
      <c r="R28" s="194" t="str">
        <f t="shared" si="6"/>
        <v>--</v>
      </c>
      <c r="S28" s="439" t="str">
        <f t="shared" si="7"/>
        <v>--</v>
      </c>
      <c r="T28" s="440" t="str">
        <f t="shared" si="8"/>
        <v>--</v>
      </c>
      <c r="U28" s="263" t="s">
        <v>240</v>
      </c>
      <c r="V28" s="447">
        <f t="shared" si="9"/>
        <v>4869.675</v>
      </c>
      <c r="W28" s="6"/>
    </row>
    <row r="29" spans="2:23" s="5" customFormat="1" ht="16.5" customHeight="1">
      <c r="B29" s="50"/>
      <c r="C29" s="340">
        <v>86</v>
      </c>
      <c r="D29" s="340">
        <v>211336</v>
      </c>
      <c r="E29" s="340">
        <v>2585</v>
      </c>
      <c r="F29" s="442" t="s">
        <v>347</v>
      </c>
      <c r="G29" s="442" t="s">
        <v>351</v>
      </c>
      <c r="H29" s="443">
        <v>132</v>
      </c>
      <c r="I29" s="130">
        <f t="shared" si="0"/>
        <v>18.82</v>
      </c>
      <c r="J29" s="444">
        <v>40079.39236111111</v>
      </c>
      <c r="K29" s="155">
        <v>40079.64027777778</v>
      </c>
      <c r="L29" s="445">
        <f t="shared" si="1"/>
        <v>5.9500000000116415</v>
      </c>
      <c r="M29" s="446">
        <f t="shared" si="2"/>
        <v>357</v>
      </c>
      <c r="N29" s="262" t="s">
        <v>303</v>
      </c>
      <c r="O29" s="263" t="str">
        <f t="shared" si="3"/>
        <v>--</v>
      </c>
      <c r="P29" s="787">
        <f t="shared" si="4"/>
        <v>40</v>
      </c>
      <c r="Q29" s="940">
        <f t="shared" si="5"/>
        <v>447.916</v>
      </c>
      <c r="R29" s="194" t="str">
        <f t="shared" si="6"/>
        <v>--</v>
      </c>
      <c r="S29" s="439" t="str">
        <f t="shared" si="7"/>
        <v>--</v>
      </c>
      <c r="T29" s="440" t="str">
        <f t="shared" si="8"/>
        <v>--</v>
      </c>
      <c r="U29" s="263" t="s">
        <v>240</v>
      </c>
      <c r="V29" s="447">
        <f t="shared" si="9"/>
        <v>447.916</v>
      </c>
      <c r="W29" s="6"/>
    </row>
    <row r="30" spans="2:23" s="5" customFormat="1" ht="16.5" customHeight="1">
      <c r="B30" s="50"/>
      <c r="C30" s="340">
        <v>87</v>
      </c>
      <c r="D30" s="340">
        <v>211337</v>
      </c>
      <c r="E30" s="157">
        <v>2595</v>
      </c>
      <c r="F30" s="442" t="s">
        <v>345</v>
      </c>
      <c r="G30" s="442" t="s">
        <v>346</v>
      </c>
      <c r="H30" s="443">
        <v>132</v>
      </c>
      <c r="I30" s="130">
        <f t="shared" si="0"/>
        <v>18.82</v>
      </c>
      <c r="J30" s="444">
        <v>40079.44027777778</v>
      </c>
      <c r="K30" s="155">
        <v>40079.45972222222</v>
      </c>
      <c r="L30" s="445">
        <f t="shared" si="1"/>
        <v>0.46666666661622</v>
      </c>
      <c r="M30" s="446">
        <f t="shared" si="2"/>
        <v>28</v>
      </c>
      <c r="N30" s="262" t="s">
        <v>303</v>
      </c>
      <c r="O30" s="263" t="str">
        <f t="shared" si="3"/>
        <v>--</v>
      </c>
      <c r="P30" s="787">
        <f t="shared" si="4"/>
        <v>40</v>
      </c>
      <c r="Q30" s="940">
        <f t="shared" si="5"/>
        <v>35.3816</v>
      </c>
      <c r="R30" s="194" t="str">
        <f t="shared" si="6"/>
        <v>--</v>
      </c>
      <c r="S30" s="439" t="str">
        <f t="shared" si="7"/>
        <v>--</v>
      </c>
      <c r="T30" s="440" t="str">
        <f t="shared" si="8"/>
        <v>--</v>
      </c>
      <c r="U30" s="263" t="s">
        <v>240</v>
      </c>
      <c r="V30" s="447">
        <f t="shared" si="9"/>
        <v>35.3816</v>
      </c>
      <c r="W30" s="6"/>
    </row>
    <row r="31" spans="2:23" s="5" customFormat="1" ht="16.5" customHeight="1">
      <c r="B31" s="50"/>
      <c r="C31" s="340">
        <v>88</v>
      </c>
      <c r="D31" s="340">
        <v>211521</v>
      </c>
      <c r="E31" s="340">
        <v>2589</v>
      </c>
      <c r="F31" s="442" t="s">
        <v>347</v>
      </c>
      <c r="G31" s="442" t="s">
        <v>348</v>
      </c>
      <c r="H31" s="443">
        <v>132</v>
      </c>
      <c r="I31" s="130">
        <f t="shared" si="0"/>
        <v>18.82</v>
      </c>
      <c r="J31" s="444">
        <v>40084.43402777778</v>
      </c>
      <c r="K31" s="155">
        <v>40084.728472222225</v>
      </c>
      <c r="L31" s="445">
        <f t="shared" si="1"/>
        <v>7.066666666651145</v>
      </c>
      <c r="M31" s="446">
        <f t="shared" si="2"/>
        <v>424</v>
      </c>
      <c r="N31" s="262" t="s">
        <v>303</v>
      </c>
      <c r="O31" s="263" t="str">
        <f t="shared" si="3"/>
        <v>--</v>
      </c>
      <c r="P31" s="787">
        <f t="shared" si="4"/>
        <v>40</v>
      </c>
      <c r="Q31" s="940">
        <f t="shared" si="5"/>
        <v>532.2296</v>
      </c>
      <c r="R31" s="194" t="str">
        <f t="shared" si="6"/>
        <v>--</v>
      </c>
      <c r="S31" s="439" t="str">
        <f t="shared" si="7"/>
        <v>--</v>
      </c>
      <c r="T31" s="440" t="str">
        <f t="shared" si="8"/>
        <v>--</v>
      </c>
      <c r="U31" s="263" t="s">
        <v>240</v>
      </c>
      <c r="V31" s="447">
        <f t="shared" si="9"/>
        <v>532.2296</v>
      </c>
      <c r="W31" s="6"/>
    </row>
    <row r="32" spans="2:23" s="5" customFormat="1" ht="16.5" customHeight="1">
      <c r="B32" s="50"/>
      <c r="C32" s="340">
        <v>89</v>
      </c>
      <c r="D32" s="340">
        <v>211526</v>
      </c>
      <c r="E32" s="157">
        <v>2636</v>
      </c>
      <c r="F32" s="442" t="s">
        <v>347</v>
      </c>
      <c r="G32" s="442" t="s">
        <v>355</v>
      </c>
      <c r="H32" s="443">
        <v>500</v>
      </c>
      <c r="I32" s="130">
        <f t="shared" si="0"/>
        <v>23.525</v>
      </c>
      <c r="J32" s="444">
        <v>40086.532638888886</v>
      </c>
      <c r="K32" s="155">
        <v>40086.65625</v>
      </c>
      <c r="L32" s="445">
        <f t="shared" si="1"/>
        <v>2.9666666667326353</v>
      </c>
      <c r="M32" s="446">
        <f t="shared" si="2"/>
        <v>178</v>
      </c>
      <c r="N32" s="262" t="s">
        <v>300</v>
      </c>
      <c r="O32" s="263" t="str">
        <f t="shared" si="3"/>
        <v>NO</v>
      </c>
      <c r="P32" s="787">
        <f t="shared" si="4"/>
        <v>200</v>
      </c>
      <c r="Q32" s="940" t="str">
        <f t="shared" si="5"/>
        <v>--</v>
      </c>
      <c r="R32" s="194">
        <f t="shared" si="6"/>
        <v>4705</v>
      </c>
      <c r="S32" s="439">
        <f t="shared" si="7"/>
        <v>13973.85</v>
      </c>
      <c r="T32" s="440" t="str">
        <f t="shared" si="8"/>
        <v>--</v>
      </c>
      <c r="U32" s="263" t="s">
        <v>240</v>
      </c>
      <c r="V32" s="447">
        <f t="shared" si="9"/>
        <v>18678.85</v>
      </c>
      <c r="W32" s="6"/>
    </row>
    <row r="33" spans="2:23" s="5" customFormat="1" ht="16.5" customHeight="1">
      <c r="B33" s="50"/>
      <c r="C33" s="340"/>
      <c r="D33" s="340"/>
      <c r="E33" s="340"/>
      <c r="F33" s="442"/>
      <c r="G33" s="442"/>
      <c r="H33" s="443"/>
      <c r="I33" s="130">
        <f t="shared" si="0"/>
        <v>18.82</v>
      </c>
      <c r="J33" s="444"/>
      <c r="K33" s="155"/>
      <c r="L33" s="445">
        <f t="shared" si="1"/>
      </c>
      <c r="M33" s="446">
        <f t="shared" si="2"/>
      </c>
      <c r="N33" s="262"/>
      <c r="O33" s="263">
        <f t="shared" si="3"/>
      </c>
      <c r="P33" s="787">
        <f t="shared" si="4"/>
        <v>40</v>
      </c>
      <c r="Q33" s="940" t="str">
        <f t="shared" si="5"/>
        <v>--</v>
      </c>
      <c r="R33" s="194" t="str">
        <f t="shared" si="6"/>
        <v>--</v>
      </c>
      <c r="S33" s="439" t="str">
        <f t="shared" si="7"/>
        <v>--</v>
      </c>
      <c r="T33" s="440" t="str">
        <f t="shared" si="8"/>
        <v>--</v>
      </c>
      <c r="U33" s="263">
        <f aca="true" t="shared" si="10" ref="U33:U41">IF(F33="","","SI")</f>
      </c>
      <c r="V33" s="447">
        <f t="shared" si="9"/>
      </c>
      <c r="W33" s="6"/>
    </row>
    <row r="34" spans="2:23" s="5" customFormat="1" ht="16.5" customHeight="1">
      <c r="B34" s="50"/>
      <c r="C34" s="340"/>
      <c r="D34" s="340"/>
      <c r="E34" s="157"/>
      <c r="F34" s="442"/>
      <c r="G34" s="442"/>
      <c r="H34" s="443"/>
      <c r="I34" s="130">
        <f t="shared" si="0"/>
        <v>18.82</v>
      </c>
      <c r="J34" s="444"/>
      <c r="K34" s="155"/>
      <c r="L34" s="445">
        <f t="shared" si="1"/>
      </c>
      <c r="M34" s="446">
        <f t="shared" si="2"/>
      </c>
      <c r="N34" s="262"/>
      <c r="O34" s="263">
        <f t="shared" si="3"/>
      </c>
      <c r="P34" s="787">
        <f t="shared" si="4"/>
        <v>40</v>
      </c>
      <c r="Q34" s="940" t="str">
        <f t="shared" si="5"/>
        <v>--</v>
      </c>
      <c r="R34" s="194" t="str">
        <f t="shared" si="6"/>
        <v>--</v>
      </c>
      <c r="S34" s="439" t="str">
        <f t="shared" si="7"/>
        <v>--</v>
      </c>
      <c r="T34" s="440" t="str">
        <f t="shared" si="8"/>
        <v>--</v>
      </c>
      <c r="U34" s="263">
        <f t="shared" si="10"/>
      </c>
      <c r="V34" s="447">
        <f t="shared" si="9"/>
      </c>
      <c r="W34" s="6"/>
    </row>
    <row r="35" spans="2:23" s="5" customFormat="1" ht="16.5" customHeight="1">
      <c r="B35" s="50"/>
      <c r="C35" s="340"/>
      <c r="D35" s="340"/>
      <c r="E35" s="340"/>
      <c r="F35" s="442"/>
      <c r="G35" s="442"/>
      <c r="H35" s="443"/>
      <c r="I35" s="130">
        <f t="shared" si="0"/>
        <v>18.82</v>
      </c>
      <c r="J35" s="444"/>
      <c r="K35" s="155"/>
      <c r="L35" s="445">
        <f t="shared" si="1"/>
      </c>
      <c r="M35" s="446">
        <f t="shared" si="2"/>
      </c>
      <c r="N35" s="262"/>
      <c r="O35" s="263">
        <f t="shared" si="3"/>
      </c>
      <c r="P35" s="787">
        <f t="shared" si="4"/>
        <v>40</v>
      </c>
      <c r="Q35" s="940" t="str">
        <f t="shared" si="5"/>
        <v>--</v>
      </c>
      <c r="R35" s="194" t="str">
        <f t="shared" si="6"/>
        <v>--</v>
      </c>
      <c r="S35" s="439" t="str">
        <f t="shared" si="7"/>
        <v>--</v>
      </c>
      <c r="T35" s="440" t="str">
        <f t="shared" si="8"/>
        <v>--</v>
      </c>
      <c r="U35" s="263">
        <f t="shared" si="10"/>
      </c>
      <c r="V35" s="447">
        <f t="shared" si="9"/>
      </c>
      <c r="W35" s="6"/>
    </row>
    <row r="36" spans="2:23" s="5" customFormat="1" ht="16.5" customHeight="1">
      <c r="B36" s="50"/>
      <c r="C36" s="340"/>
      <c r="D36" s="340"/>
      <c r="E36" s="157"/>
      <c r="F36" s="442"/>
      <c r="G36" s="442"/>
      <c r="H36" s="443"/>
      <c r="I36" s="130">
        <f t="shared" si="0"/>
        <v>18.82</v>
      </c>
      <c r="J36" s="444"/>
      <c r="K36" s="155"/>
      <c r="L36" s="445">
        <f t="shared" si="1"/>
      </c>
      <c r="M36" s="446">
        <f t="shared" si="2"/>
      </c>
      <c r="N36" s="262"/>
      <c r="O36" s="263">
        <f t="shared" si="3"/>
      </c>
      <c r="P36" s="787">
        <f t="shared" si="4"/>
        <v>40</v>
      </c>
      <c r="Q36" s="940" t="str">
        <f t="shared" si="5"/>
        <v>--</v>
      </c>
      <c r="R36" s="194" t="str">
        <f t="shared" si="6"/>
        <v>--</v>
      </c>
      <c r="S36" s="439" t="str">
        <f t="shared" si="7"/>
        <v>--</v>
      </c>
      <c r="T36" s="440" t="str">
        <f t="shared" si="8"/>
        <v>--</v>
      </c>
      <c r="U36" s="263">
        <f t="shared" si="10"/>
      </c>
      <c r="V36" s="447">
        <f t="shared" si="9"/>
      </c>
      <c r="W36" s="6"/>
    </row>
    <row r="37" spans="2:23" s="5" customFormat="1" ht="16.5" customHeight="1">
      <c r="B37" s="50"/>
      <c r="C37" s="340"/>
      <c r="D37" s="340"/>
      <c r="E37" s="340"/>
      <c r="F37" s="442"/>
      <c r="G37" s="442"/>
      <c r="H37" s="443"/>
      <c r="I37" s="130">
        <f t="shared" si="0"/>
        <v>18.82</v>
      </c>
      <c r="J37" s="444"/>
      <c r="K37" s="155"/>
      <c r="L37" s="445">
        <f t="shared" si="1"/>
      </c>
      <c r="M37" s="446">
        <f t="shared" si="2"/>
      </c>
      <c r="N37" s="262"/>
      <c r="O37" s="263">
        <f t="shared" si="3"/>
      </c>
      <c r="P37" s="787">
        <f t="shared" si="4"/>
        <v>40</v>
      </c>
      <c r="Q37" s="940" t="str">
        <f t="shared" si="5"/>
        <v>--</v>
      </c>
      <c r="R37" s="194" t="str">
        <f t="shared" si="6"/>
        <v>--</v>
      </c>
      <c r="S37" s="439" t="str">
        <f t="shared" si="7"/>
        <v>--</v>
      </c>
      <c r="T37" s="440" t="str">
        <f t="shared" si="8"/>
        <v>--</v>
      </c>
      <c r="U37" s="263">
        <f t="shared" si="10"/>
      </c>
      <c r="V37" s="447">
        <f t="shared" si="9"/>
      </c>
      <c r="W37" s="6"/>
    </row>
    <row r="38" spans="2:23" s="5" customFormat="1" ht="16.5" customHeight="1">
      <c r="B38" s="50"/>
      <c r="C38" s="340"/>
      <c r="D38" s="340"/>
      <c r="E38" s="157"/>
      <c r="F38" s="442"/>
      <c r="G38" s="442"/>
      <c r="H38" s="443"/>
      <c r="I38" s="130">
        <f t="shared" si="0"/>
        <v>18.82</v>
      </c>
      <c r="J38" s="444"/>
      <c r="K38" s="155"/>
      <c r="L38" s="445">
        <f t="shared" si="1"/>
      </c>
      <c r="M38" s="446">
        <f t="shared" si="2"/>
      </c>
      <c r="N38" s="262"/>
      <c r="O38" s="263">
        <f t="shared" si="3"/>
      </c>
      <c r="P38" s="787">
        <f t="shared" si="4"/>
        <v>40</v>
      </c>
      <c r="Q38" s="940" t="str">
        <f t="shared" si="5"/>
        <v>--</v>
      </c>
      <c r="R38" s="194" t="str">
        <f t="shared" si="6"/>
        <v>--</v>
      </c>
      <c r="S38" s="439" t="str">
        <f t="shared" si="7"/>
        <v>--</v>
      </c>
      <c r="T38" s="440" t="str">
        <f t="shared" si="8"/>
        <v>--</v>
      </c>
      <c r="U38" s="263">
        <f t="shared" si="10"/>
      </c>
      <c r="V38" s="447">
        <f t="shared" si="9"/>
      </c>
      <c r="W38" s="6"/>
    </row>
    <row r="39" spans="2:23" s="5" customFormat="1" ht="16.5" customHeight="1">
      <c r="B39" s="50"/>
      <c r="C39" s="340"/>
      <c r="D39" s="340"/>
      <c r="E39" s="340"/>
      <c r="F39" s="442"/>
      <c r="G39" s="442"/>
      <c r="H39" s="443"/>
      <c r="I39" s="130">
        <f t="shared" si="0"/>
        <v>18.82</v>
      </c>
      <c r="J39" s="444"/>
      <c r="K39" s="155"/>
      <c r="L39" s="445">
        <f t="shared" si="1"/>
      </c>
      <c r="M39" s="446">
        <f t="shared" si="2"/>
      </c>
      <c r="N39" s="262"/>
      <c r="O39" s="263">
        <f t="shared" si="3"/>
      </c>
      <c r="P39" s="787">
        <f t="shared" si="4"/>
        <v>40</v>
      </c>
      <c r="Q39" s="940" t="str">
        <f t="shared" si="5"/>
        <v>--</v>
      </c>
      <c r="R39" s="194" t="str">
        <f t="shared" si="6"/>
        <v>--</v>
      </c>
      <c r="S39" s="439" t="str">
        <f t="shared" si="7"/>
        <v>--</v>
      </c>
      <c r="T39" s="440" t="str">
        <f t="shared" si="8"/>
        <v>--</v>
      </c>
      <c r="U39" s="263">
        <f t="shared" si="10"/>
      </c>
      <c r="V39" s="447">
        <f t="shared" si="9"/>
      </c>
      <c r="W39" s="6"/>
    </row>
    <row r="40" spans="2:23" s="5" customFormat="1" ht="16.5" customHeight="1">
      <c r="B40" s="50"/>
      <c r="C40" s="340"/>
      <c r="D40" s="340"/>
      <c r="E40" s="157"/>
      <c r="F40" s="442"/>
      <c r="G40" s="442"/>
      <c r="H40" s="443"/>
      <c r="I40" s="130">
        <f t="shared" si="0"/>
        <v>18.82</v>
      </c>
      <c r="J40" s="444"/>
      <c r="K40" s="155"/>
      <c r="L40" s="445">
        <f t="shared" si="1"/>
      </c>
      <c r="M40" s="446">
        <f t="shared" si="2"/>
      </c>
      <c r="N40" s="262"/>
      <c r="O40" s="263">
        <f t="shared" si="3"/>
      </c>
      <c r="P40" s="787">
        <f t="shared" si="4"/>
        <v>40</v>
      </c>
      <c r="Q40" s="940" t="str">
        <f t="shared" si="5"/>
        <v>--</v>
      </c>
      <c r="R40" s="194" t="str">
        <f t="shared" si="6"/>
        <v>--</v>
      </c>
      <c r="S40" s="439" t="str">
        <f t="shared" si="7"/>
        <v>--</v>
      </c>
      <c r="T40" s="440" t="str">
        <f t="shared" si="8"/>
        <v>--</v>
      </c>
      <c r="U40" s="263">
        <f t="shared" si="10"/>
      </c>
      <c r="V40" s="447">
        <f t="shared" si="9"/>
      </c>
      <c r="W40" s="6"/>
    </row>
    <row r="41" spans="2:23" s="5" customFormat="1" ht="16.5" customHeight="1">
      <c r="B41" s="50"/>
      <c r="C41" s="340"/>
      <c r="D41" s="340"/>
      <c r="E41" s="340"/>
      <c r="F41" s="442"/>
      <c r="G41" s="442"/>
      <c r="H41" s="443"/>
      <c r="I41" s="130">
        <f t="shared" si="0"/>
        <v>18.82</v>
      </c>
      <c r="J41" s="444"/>
      <c r="K41" s="155"/>
      <c r="L41" s="445">
        <f t="shared" si="1"/>
      </c>
      <c r="M41" s="446">
        <f t="shared" si="2"/>
      </c>
      <c r="N41" s="262"/>
      <c r="O41" s="263">
        <f t="shared" si="3"/>
      </c>
      <c r="P41" s="787">
        <f t="shared" si="4"/>
        <v>40</v>
      </c>
      <c r="Q41" s="940" t="str">
        <f t="shared" si="5"/>
        <v>--</v>
      </c>
      <c r="R41" s="194" t="str">
        <f t="shared" si="6"/>
        <v>--</v>
      </c>
      <c r="S41" s="439" t="str">
        <f t="shared" si="7"/>
        <v>--</v>
      </c>
      <c r="T41" s="440" t="str">
        <f t="shared" si="8"/>
        <v>--</v>
      </c>
      <c r="U41" s="263">
        <f t="shared" si="10"/>
      </c>
      <c r="V41" s="447">
        <f t="shared" si="9"/>
      </c>
      <c r="W41" s="6"/>
    </row>
    <row r="42" spans="2:23" s="5" customFormat="1" ht="16.5" customHeight="1" thickBot="1">
      <c r="B42" s="50"/>
      <c r="C42" s="277"/>
      <c r="D42" s="277"/>
      <c r="E42" s="277"/>
      <c r="F42" s="277"/>
      <c r="G42" s="277"/>
      <c r="H42" s="277"/>
      <c r="I42" s="131"/>
      <c r="J42" s="448"/>
      <c r="K42" s="448"/>
      <c r="L42" s="449"/>
      <c r="M42" s="449"/>
      <c r="N42" s="448"/>
      <c r="O42" s="156"/>
      <c r="P42" s="450"/>
      <c r="Q42" s="451"/>
      <c r="R42" s="452"/>
      <c r="S42" s="453"/>
      <c r="T42" s="162"/>
      <c r="U42" s="156"/>
      <c r="V42" s="454"/>
      <c r="W42" s="6"/>
    </row>
    <row r="43" spans="2:23" s="5" customFormat="1" ht="16.5" customHeight="1" thickBot="1" thickTop="1">
      <c r="B43" s="50"/>
      <c r="C43" s="127" t="s">
        <v>25</v>
      </c>
      <c r="D43" s="971" t="s">
        <v>361</v>
      </c>
      <c r="E43" s="127"/>
      <c r="F43" s="128"/>
      <c r="G43"/>
      <c r="H43" s="4"/>
      <c r="I43" s="4"/>
      <c r="J43" s="4"/>
      <c r="K43" s="4"/>
      <c r="L43" s="4"/>
      <c r="M43" s="4"/>
      <c r="N43" s="4"/>
      <c r="O43" s="4"/>
      <c r="P43" s="4"/>
      <c r="Q43" s="455">
        <f>SUM(Q20:Q42)</f>
        <v>6873.628599999999</v>
      </c>
      <c r="R43" s="456">
        <f>SUM(R20:R42)</f>
        <v>4705</v>
      </c>
      <c r="S43" s="457">
        <f>SUM(S20:S42)</f>
        <v>13973.85</v>
      </c>
      <c r="T43" s="458">
        <f>SUM(T20:T42)</f>
        <v>0</v>
      </c>
      <c r="U43" s="459"/>
      <c r="V43" s="100">
        <f>ROUND(SUM(V20:V42),2)</f>
        <v>25552.48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77"/>
      <c r="X45" s="177"/>
      <c r="Y45" s="177"/>
    </row>
    <row r="46" spans="23:25" ht="16.5" customHeight="1">
      <c r="W46" s="177"/>
      <c r="X46" s="177"/>
      <c r="Y46" s="177"/>
    </row>
    <row r="47" spans="23:25" ht="16.5" customHeight="1">
      <c r="W47" s="177"/>
      <c r="X47" s="177"/>
      <c r="Y47" s="177"/>
    </row>
    <row r="48" spans="23:25" ht="16.5" customHeight="1">
      <c r="W48" s="177"/>
      <c r="X48" s="177"/>
      <c r="Y48" s="177"/>
    </row>
    <row r="49" spans="23:25" ht="16.5" customHeight="1">
      <c r="W49" s="177"/>
      <c r="X49" s="177"/>
      <c r="Y49" s="177"/>
    </row>
    <row r="50" spans="6:25" ht="16.5" customHeight="1"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spans="6:25" ht="16.5" customHeight="1"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spans="6:25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6:25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6:25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6:25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6:25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6:25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6:25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6:25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6:25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6:25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6:25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6:25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6:25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6:25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6:25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6:25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6:25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6:25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6:25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6:25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6:25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6:25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6:25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6:25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6:25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6:25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6:25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6:25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6:25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6:25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</row>
    <row r="82" spans="6:25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</row>
    <row r="83" spans="6:25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</row>
    <row r="84" spans="6:25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</row>
    <row r="85" spans="6:25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</row>
    <row r="86" spans="6:25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</row>
    <row r="87" spans="6:25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</row>
    <row r="88" spans="6:25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</row>
    <row r="89" spans="6:25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</row>
    <row r="90" spans="6:25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</row>
    <row r="91" spans="6:25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</row>
    <row r="92" spans="6:25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</row>
    <row r="93" spans="6:25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</row>
    <row r="94" spans="6:25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</row>
    <row r="95" spans="6:25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</row>
    <row r="96" spans="6:25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</row>
    <row r="97" spans="6:25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</row>
    <row r="98" spans="6:25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</row>
    <row r="99" spans="6:25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</row>
    <row r="100" spans="6:25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</row>
    <row r="101" spans="6:25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</row>
    <row r="102" spans="6:25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</row>
    <row r="103" spans="6:25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</row>
    <row r="104" spans="6:25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</row>
    <row r="105" spans="6:25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</row>
    <row r="106" spans="6:25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</row>
    <row r="107" spans="6:25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</row>
    <row r="108" spans="6:25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</row>
    <row r="109" spans="6:25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</row>
    <row r="110" spans="6:25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</row>
    <row r="111" spans="6:25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</row>
    <row r="112" spans="6:25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</row>
    <row r="113" spans="6:25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</row>
    <row r="114" spans="6:25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</row>
    <row r="115" spans="6:25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</row>
    <row r="116" spans="6:25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</row>
    <row r="117" spans="6:25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</row>
    <row r="118" spans="6:25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</row>
    <row r="119" spans="6:25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</row>
    <row r="120" spans="6:25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</row>
    <row r="121" spans="6:25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</row>
    <row r="122" spans="6:25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</row>
    <row r="123" spans="6:25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</row>
    <row r="124" spans="6:25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</row>
    <row r="125" spans="6:25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</row>
    <row r="126" spans="6:25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</row>
    <row r="127" spans="6:25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</row>
    <row r="128" spans="6:25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</row>
    <row r="129" spans="6:25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</row>
    <row r="130" spans="6:25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</row>
    <row r="131" spans="6:25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</row>
    <row r="132" spans="6:25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</row>
    <row r="133" spans="6:25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</row>
    <row r="134" spans="6:25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</row>
    <row r="135" spans="6:25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</row>
    <row r="136" spans="6:25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</row>
    <row r="137" spans="6:25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</row>
    <row r="138" spans="6:25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</row>
    <row r="139" spans="6:25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</row>
    <row r="140" spans="6:25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</row>
    <row r="141" spans="6:25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</row>
    <row r="142" spans="6:25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</row>
    <row r="143" spans="6:25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</row>
    <row r="144" spans="6:25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</row>
    <row r="145" spans="6:25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</row>
    <row r="146" spans="6:25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</row>
    <row r="147" spans="6:25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</row>
    <row r="148" spans="6:25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</row>
    <row r="149" spans="6:25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</row>
    <row r="150" spans="6:25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</row>
    <row r="151" spans="6:25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</row>
    <row r="152" spans="6:25" ht="16.5" customHeight="1"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</row>
    <row r="153" spans="6:25" ht="16.5" customHeight="1"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</row>
    <row r="154" spans="6:25" ht="16.5" customHeight="1"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</row>
    <row r="155" spans="6:25" ht="16.5" customHeight="1"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</row>
    <row r="156" spans="6:25" ht="16.5" customHeight="1"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</row>
    <row r="157" spans="6:25" ht="16.5" customHeight="1"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/>
  <dimension ref="A1:AG76"/>
  <sheetViews>
    <sheetView zoomScale="50" zoomScaleNormal="50" workbookViewId="0" topLeftCell="A1">
      <selection activeCell="AC82" sqref="AC82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8.7109375" style="0" hidden="1" customWidth="1"/>
    <col min="9" max="9" width="11.0039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7109375" style="0" hidden="1" customWidth="1"/>
    <col min="23" max="27" width="8.42187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8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30" customFormat="1" ht="30.75">
      <c r="A3" s="527"/>
      <c r="B3" s="528" t="str">
        <f>+'TOT-0909'!B2</f>
        <v>ANEXO IV al Memorandum  D.T.E.E. N° 256/2011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AB3" s="529"/>
      <c r="AC3" s="529"/>
      <c r="AD3" s="529"/>
    </row>
    <row r="4" spans="1:2" s="25" customFormat="1" ht="11.25">
      <c r="A4" s="754" t="s">
        <v>2</v>
      </c>
      <c r="B4" s="755"/>
    </row>
    <row r="5" spans="1:2" s="25" customFormat="1" ht="12" thickBot="1">
      <c r="A5" s="754" t="s">
        <v>3</v>
      </c>
      <c r="B5" s="754"/>
    </row>
    <row r="6" spans="1:30" ht="16.5" customHeight="1" thickTop="1">
      <c r="A6" s="5"/>
      <c r="B6" s="69"/>
      <c r="C6" s="70"/>
      <c r="D6" s="70"/>
      <c r="E6" s="20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178"/>
      <c r="X6" s="178"/>
      <c r="Y6" s="178"/>
      <c r="Z6" s="178"/>
      <c r="AA6" s="178"/>
      <c r="AB6" s="178"/>
      <c r="AC6" s="178"/>
      <c r="AD6" s="94"/>
    </row>
    <row r="7" spans="1:30" ht="20.25">
      <c r="A7" s="5"/>
      <c r="B7" s="50"/>
      <c r="C7" s="4"/>
      <c r="D7" s="176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76" t="s">
        <v>98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203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76" t="s">
        <v>375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203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'TOT-0909'!B14</f>
        <v>Desde el 01 al 30 de septiembre de 2009</v>
      </c>
      <c r="C13" s="38"/>
      <c r="D13" s="40"/>
      <c r="E13" s="40"/>
      <c r="F13" s="40"/>
      <c r="G13" s="40"/>
      <c r="H13" s="40"/>
      <c r="I13" s="41"/>
      <c r="J13" s="17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/>
      <c r="X13" s="531"/>
      <c r="Y13" s="531"/>
      <c r="Z13" s="531"/>
      <c r="AA13" s="531"/>
      <c r="AB13" s="126"/>
      <c r="AC13" s="174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532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43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4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64" t="s">
        <v>99</v>
      </c>
      <c r="D17" s="54" t="s">
        <v>100</v>
      </c>
      <c r="E17" s="66"/>
      <c r="F17" s="66"/>
      <c r="G17" s="4"/>
      <c r="H17" s="4"/>
      <c r="I17" s="4"/>
      <c r="J17" s="532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533"/>
      <c r="C18" s="33"/>
      <c r="D18" s="534"/>
      <c r="E18" s="535"/>
      <c r="F18" s="536"/>
      <c r="G18" s="33"/>
      <c r="H18" s="33"/>
      <c r="I18" s="33"/>
      <c r="J18" s="537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538"/>
    </row>
    <row r="19" spans="2:30" s="32" customFormat="1" ht="16.5" customHeight="1">
      <c r="B19" s="533"/>
      <c r="C19" s="33"/>
      <c r="D19" s="539" t="s">
        <v>101</v>
      </c>
      <c r="F19" s="540">
        <v>117.179</v>
      </c>
      <c r="G19" s="539" t="s">
        <v>102</v>
      </c>
      <c r="H19" s="33"/>
      <c r="I19" s="33"/>
      <c r="J19" s="541"/>
      <c r="K19" s="542" t="s">
        <v>40</v>
      </c>
      <c r="L19" s="543">
        <v>0.04</v>
      </c>
      <c r="R19" s="33"/>
      <c r="S19" s="33"/>
      <c r="T19" s="33"/>
      <c r="U19" s="33"/>
      <c r="V19" s="33"/>
      <c r="W19"/>
      <c r="AD19" s="538"/>
    </row>
    <row r="20" spans="2:30" s="32" customFormat="1" ht="16.5" customHeight="1">
      <c r="B20" s="533"/>
      <c r="C20" s="33"/>
      <c r="D20" s="539" t="s">
        <v>115</v>
      </c>
      <c r="F20" s="540">
        <v>0.319</v>
      </c>
      <c r="G20" s="539" t="s">
        <v>116</v>
      </c>
      <c r="H20" s="33"/>
      <c r="I20" s="33"/>
      <c r="J20" s="33"/>
      <c r="K20" s="534" t="s">
        <v>38</v>
      </c>
      <c r="L20" s="33">
        <f>MID(B13,16,2)*24</f>
        <v>720</v>
      </c>
      <c r="M20" s="33" t="s">
        <v>39</v>
      </c>
      <c r="N20" s="33"/>
      <c r="O20" s="33"/>
      <c r="P20" s="756"/>
      <c r="Q20" s="33"/>
      <c r="R20" s="33"/>
      <c r="S20" s="33"/>
      <c r="T20" s="33"/>
      <c r="U20" s="33"/>
      <c r="V20" s="33"/>
      <c r="W20"/>
      <c r="AD20" s="538"/>
    </row>
    <row r="21" spans="2:30" s="32" customFormat="1" ht="16.5" customHeight="1">
      <c r="B21" s="533"/>
      <c r="C21" s="33"/>
      <c r="D21" s="539" t="s">
        <v>117</v>
      </c>
      <c r="F21" s="540">
        <v>51.126</v>
      </c>
      <c r="G21" s="539" t="s">
        <v>118</v>
      </c>
      <c r="H21" s="33"/>
      <c r="I21" s="33"/>
      <c r="J21" s="33"/>
      <c r="K21" s="214"/>
      <c r="L21" s="215"/>
      <c r="M21" s="33"/>
      <c r="N21" s="33"/>
      <c r="O21" s="33"/>
      <c r="P21" s="756"/>
      <c r="Q21" s="33"/>
      <c r="R21" s="33"/>
      <c r="S21" s="33"/>
      <c r="T21" s="33"/>
      <c r="U21" s="33"/>
      <c r="V21" s="33"/>
      <c r="W21"/>
      <c r="AD21" s="538"/>
    </row>
    <row r="22" spans="2:30" s="32" customFormat="1" ht="16.5" customHeight="1">
      <c r="B22" s="533"/>
      <c r="C22" s="33"/>
      <c r="D22" s="539" t="s">
        <v>119</v>
      </c>
      <c r="F22" s="540">
        <v>63.904</v>
      </c>
      <c r="G22" s="539" t="s">
        <v>118</v>
      </c>
      <c r="H22" s="33"/>
      <c r="I22" s="33"/>
      <c r="J22" s="33"/>
      <c r="K22" s="214"/>
      <c r="L22" s="215"/>
      <c r="M22" s="33"/>
      <c r="N22" s="33"/>
      <c r="O22" s="33"/>
      <c r="P22" s="756"/>
      <c r="Q22" s="33"/>
      <c r="R22" s="33"/>
      <c r="S22" s="33"/>
      <c r="T22" s="33"/>
      <c r="U22" s="33"/>
      <c r="V22" s="33"/>
      <c r="W22"/>
      <c r="AD22" s="538"/>
    </row>
    <row r="23" spans="2:30" s="32" customFormat="1" ht="8.25" customHeight="1">
      <c r="B23" s="533"/>
      <c r="C23" s="33"/>
      <c r="D23" s="33"/>
      <c r="E23" s="545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538"/>
    </row>
    <row r="24" spans="1:30" ht="16.5" customHeight="1">
      <c r="A24" s="5"/>
      <c r="B24" s="50"/>
      <c r="C24" s="164" t="s">
        <v>103</v>
      </c>
      <c r="D24" s="3" t="s">
        <v>145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533"/>
      <c r="C26" s="536"/>
      <c r="D26"/>
      <c r="E26"/>
      <c r="F26"/>
      <c r="G26"/>
      <c r="H26"/>
      <c r="I26"/>
      <c r="J26" s="546" t="s">
        <v>45</v>
      </c>
      <c r="K26" s="547">
        <f>L19*AC26</f>
        <v>42411.310752</v>
      </c>
      <c r="L26"/>
      <c r="S26"/>
      <c r="T26"/>
      <c r="U26"/>
      <c r="W26"/>
      <c r="AB26" s="976" t="s">
        <v>376</v>
      </c>
      <c r="AC26" s="977">
        <v>1060282.7688</v>
      </c>
      <c r="AD26" s="538"/>
    </row>
    <row r="27" spans="2:30" s="32" customFormat="1" ht="11.25" customHeight="1" thickTop="1">
      <c r="B27" s="533"/>
      <c r="C27" s="536"/>
      <c r="D27" s="33"/>
      <c r="E27" s="54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538"/>
    </row>
    <row r="28" spans="1:30" ht="16.5" customHeight="1">
      <c r="A28" s="5"/>
      <c r="B28" s="50"/>
      <c r="C28" s="164" t="s">
        <v>104</v>
      </c>
      <c r="D28" s="3" t="s">
        <v>146</v>
      </c>
      <c r="E28" s="21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2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13</v>
      </c>
      <c r="D30" s="219" t="s">
        <v>0</v>
      </c>
      <c r="E30" s="180" t="s">
        <v>14</v>
      </c>
      <c r="F30" s="87" t="s">
        <v>15</v>
      </c>
      <c r="G30" s="220" t="s">
        <v>78</v>
      </c>
      <c r="H30" s="221" t="s">
        <v>37</v>
      </c>
      <c r="I30" s="137" t="s">
        <v>16</v>
      </c>
      <c r="J30" s="85" t="s">
        <v>17</v>
      </c>
      <c r="K30" s="181" t="s">
        <v>18</v>
      </c>
      <c r="L30" s="88" t="s">
        <v>36</v>
      </c>
      <c r="M30" s="86" t="s">
        <v>31</v>
      </c>
      <c r="N30" s="88" t="s">
        <v>105</v>
      </c>
      <c r="O30" s="88" t="s">
        <v>58</v>
      </c>
      <c r="P30" s="181" t="s">
        <v>59</v>
      </c>
      <c r="Q30" s="85" t="s">
        <v>32</v>
      </c>
      <c r="R30" s="139" t="s">
        <v>20</v>
      </c>
      <c r="S30" s="548" t="s">
        <v>21</v>
      </c>
      <c r="T30" s="549" t="s">
        <v>79</v>
      </c>
      <c r="U30" s="550"/>
      <c r="V30" s="551"/>
      <c r="W30" s="552" t="s">
        <v>106</v>
      </c>
      <c r="X30" s="553"/>
      <c r="Y30" s="554"/>
      <c r="Z30" s="555" t="s">
        <v>22</v>
      </c>
      <c r="AA30" s="556" t="s">
        <v>23</v>
      </c>
      <c r="AB30" s="89" t="s">
        <v>82</v>
      </c>
      <c r="AC30" s="121" t="s">
        <v>24</v>
      </c>
      <c r="AD30" s="233"/>
      <c r="AE30"/>
    </row>
    <row r="31" spans="1:30" ht="16.5" customHeight="1" thickTop="1">
      <c r="A31" s="5"/>
      <c r="B31" s="50"/>
      <c r="C31" s="7"/>
      <c r="D31" s="557"/>
      <c r="E31" s="558"/>
      <c r="F31" s="559"/>
      <c r="G31" s="560"/>
      <c r="H31" s="561"/>
      <c r="I31" s="562"/>
      <c r="J31" s="563"/>
      <c r="K31" s="564"/>
      <c r="L31" s="7"/>
      <c r="M31" s="7"/>
      <c r="N31" s="188"/>
      <c r="O31" s="188"/>
      <c r="P31" s="7"/>
      <c r="Q31" s="185"/>
      <c r="R31" s="565"/>
      <c r="S31" s="566"/>
      <c r="T31" s="567"/>
      <c r="U31" s="568"/>
      <c r="V31" s="569"/>
      <c r="W31" s="570"/>
      <c r="X31" s="571"/>
      <c r="Y31" s="572"/>
      <c r="Z31" s="573"/>
      <c r="AA31" s="574"/>
      <c r="AB31" s="575"/>
      <c r="AC31" s="576"/>
      <c r="AD31" s="17"/>
    </row>
    <row r="32" spans="1:30" ht="16.5" customHeight="1">
      <c r="A32" s="5"/>
      <c r="B32" s="50"/>
      <c r="C32" s="881" t="s">
        <v>222</v>
      </c>
      <c r="D32" s="7" t="s">
        <v>308</v>
      </c>
      <c r="E32" s="525">
        <v>500</v>
      </c>
      <c r="F32" s="577">
        <v>506</v>
      </c>
      <c r="G32" s="578" t="s">
        <v>299</v>
      </c>
      <c r="H32" s="579">
        <f>IF(G32="A",200,IF(G32="B",60,20))</f>
        <v>20</v>
      </c>
      <c r="I32" s="580">
        <f>IF(F32&gt;100,F32,100)*$F$19/100</f>
        <v>592.92574</v>
      </c>
      <c r="J32" s="581">
        <v>40072.50486111111</v>
      </c>
      <c r="K32" s="526">
        <v>40072.52777777778</v>
      </c>
      <c r="L32" s="582">
        <f>IF(D32="","",(K32-J32)*24)</f>
        <v>0.5500000000465661</v>
      </c>
      <c r="M32" s="446">
        <f>IF(D32="","",ROUND((K32-J32)*24*60,0))</f>
        <v>33</v>
      </c>
      <c r="N32" s="583" t="s">
        <v>300</v>
      </c>
      <c r="O32" s="584" t="str">
        <f>IF(D32="","","--")</f>
        <v>--</v>
      </c>
      <c r="P32" s="263" t="str">
        <f>IF(D32="","","NO")</f>
        <v>NO</v>
      </c>
      <c r="Q32" s="263" t="str">
        <f>IF(D32="","",IF(OR(N32="P",N32="RP"),"--","NO"))</f>
        <v>NO</v>
      </c>
      <c r="R32" s="585" t="str">
        <f>IF(N32="P",+I32*H32*ROUND(M32/60,2)/100,"--")</f>
        <v>--</v>
      </c>
      <c r="S32" s="586" t="str">
        <f>IF(N32="RP",I32*H32*ROUND(M32/60,2)*0.01*O32/100,"--")</f>
        <v>--</v>
      </c>
      <c r="T32" s="587">
        <f>IF(AND(N32="F",Q32="NO"),IF(P32="SI",1.2,1)*I32*H32,"--")</f>
        <v>11858.5148</v>
      </c>
      <c r="U32" s="588">
        <f>IF(AND(M32&gt;10,N32="F"),IF(M32&lt;=300,ROUND(M32/60,2),5)*I32*H32*IF(P32="SI",1.2,1),"--")</f>
        <v>6522.183140000001</v>
      </c>
      <c r="V32" s="589" t="str">
        <f>IF(AND(N32="F",M32&gt;300),IF(P32="SI",1.2,1)*(ROUND(M32/60,2)-5)*I32*H32*0.1,"--")</f>
        <v>--</v>
      </c>
      <c r="W32" s="590" t="str">
        <f>IF(AND(N32="R",Q32="NO"),IF(P32="SI",1.2,1)*I32*H32*O32/100,"--")</f>
        <v>--</v>
      </c>
      <c r="X32" s="591" t="str">
        <f>IF(AND(M32&gt;10,N32="R"),IF(M32&lt;=300,ROUND(M32/60,2),5)*I32*H32*O32/100*IF(P32="SI",1.2,1),"--")</f>
        <v>--</v>
      </c>
      <c r="Y32" s="592" t="str">
        <f>IF(AND(N32="R",M32&gt;300),IF(P32="SI",1.2,1)*(ROUND(M32/60,2)-5)*I32*H32*O32/100*0.1,"--")</f>
        <v>--</v>
      </c>
      <c r="Z32" s="593" t="str">
        <f>IF(N32="RF",IF(P32="SI",1.2,1)*ROUND(M32/60,2)*I32*H32*0.1,"--")</f>
        <v>--</v>
      </c>
      <c r="AA32" s="594" t="str">
        <f>IF(N32="RR",IF(P32="SI",1.2,1)*ROUND(M32/60,2)*I32*H32*O32/100*0.1,"--")</f>
        <v>--</v>
      </c>
      <c r="AB32" s="595" t="s">
        <v>240</v>
      </c>
      <c r="AC32" s="16">
        <f>IF(D32="","",SUM(R32:AA32)*IF(AB32="SI",1,2))</f>
        <v>18380.697940000002</v>
      </c>
      <c r="AD32" s="17"/>
    </row>
    <row r="33" spans="1:30" ht="16.5" customHeight="1">
      <c r="A33" s="5"/>
      <c r="B33" s="50"/>
      <c r="C33" s="881" t="s">
        <v>223</v>
      </c>
      <c r="D33" s="7"/>
      <c r="E33" s="525"/>
      <c r="F33" s="577"/>
      <c r="G33" s="578"/>
      <c r="H33" s="579">
        <f>IF(G33="A",200,IF(G33="B",60,20))</f>
        <v>20</v>
      </c>
      <c r="I33" s="580">
        <f>IF(F33&gt;100,F33,100)*$F$19/100</f>
        <v>117.179</v>
      </c>
      <c r="J33" s="581"/>
      <c r="K33" s="526"/>
      <c r="L33" s="582">
        <f>IF(D33="","",(K33-J33)*24)</f>
      </c>
      <c r="M33" s="446">
        <f>IF(D33="","",ROUND((K33-J33)*24*60,0))</f>
      </c>
      <c r="N33" s="583"/>
      <c r="O33" s="584">
        <f>IF(D33="","","--")</f>
      </c>
      <c r="P33" s="263">
        <f>IF(D33="","","NO")</f>
      </c>
      <c r="Q33" s="263">
        <f>IF(D33="","",IF(OR(N33="P",N33="RP"),"--","NO"))</f>
      </c>
      <c r="R33" s="585" t="str">
        <f>IF(N33="P",+I33*H33*ROUND(M33/60,2)/100,"--")</f>
        <v>--</v>
      </c>
      <c r="S33" s="586" t="str">
        <f>IF(N33="RP",I33*H33*ROUND(M33/60,2)*0.01*O33/100,"--")</f>
        <v>--</v>
      </c>
      <c r="T33" s="587" t="str">
        <f>IF(AND(N33="F",Q33="NO"),IF(P33="SI",1.2,1)*I33*H33,"--")</f>
        <v>--</v>
      </c>
      <c r="U33" s="588" t="str">
        <f>IF(AND(M33&gt;10,N33="F"),IF(M33&lt;=300,ROUND(M33/60,2),5)*I33*H33*IF(P33="SI",1.2,1),"--")</f>
        <v>--</v>
      </c>
      <c r="V33" s="589" t="str">
        <f>IF(AND(N33="F",M33&gt;300),IF(P33="SI",1.2,1)*(ROUND(M33/60,2)-5)*I33*H33*0.1,"--")</f>
        <v>--</v>
      </c>
      <c r="W33" s="590" t="str">
        <f>IF(AND(N33="R",Q33="NO"),IF(P33="SI",1.2,1)*I33*H33*O33/100,"--")</f>
        <v>--</v>
      </c>
      <c r="X33" s="591" t="str">
        <f>IF(AND(M33&gt;10,N33="R"),IF(M33&lt;=300,ROUND(M33/60,2),5)*I33*H33*O33/100*IF(P33="SI",1.2,1),"--")</f>
        <v>--</v>
      </c>
      <c r="Y33" s="592" t="str">
        <f>IF(AND(N33="R",M33&gt;300),IF(P33="SI",1.2,1)*(ROUND(M33/60,2)-5)*I33*H33*O33/100*0.1,"--")</f>
        <v>--</v>
      </c>
      <c r="Z33" s="593" t="str">
        <f>IF(N33="RF",IF(P33="SI",1.2,1)*ROUND(M33/60,2)*I33*H33*0.1,"--")</f>
        <v>--</v>
      </c>
      <c r="AA33" s="594" t="str">
        <f>IF(N33="RR",IF(P33="SI",1.2,1)*ROUND(M33/60,2)*I33*H33*O33/100*0.1,"--")</f>
        <v>--</v>
      </c>
      <c r="AB33" s="595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881" t="s">
        <v>224</v>
      </c>
      <c r="D34" s="7"/>
      <c r="E34" s="525"/>
      <c r="F34" s="577"/>
      <c r="G34" s="578"/>
      <c r="H34" s="579">
        <f>IF(G34="A",200,IF(G34="B",60,20))</f>
        <v>20</v>
      </c>
      <c r="I34" s="580">
        <f>IF(F34&gt;100,F34,100)*$F$19/100</f>
        <v>117.179</v>
      </c>
      <c r="J34" s="581"/>
      <c r="K34" s="526"/>
      <c r="L34" s="582">
        <f>IF(D34="","",(K34-J34)*24)</f>
      </c>
      <c r="M34" s="446">
        <f>IF(D34="","",ROUND((K34-J34)*24*60,0))</f>
      </c>
      <c r="N34" s="583"/>
      <c r="O34" s="584">
        <f>IF(D34="","","--")</f>
      </c>
      <c r="P34" s="263">
        <f>IF(D34="","","NO")</f>
      </c>
      <c r="Q34" s="263">
        <f>IF(D34="","",IF(OR(N34="P",N34="RP"),"--","NO"))</f>
      </c>
      <c r="R34" s="585" t="str">
        <f>IF(N34="P",+I34*H34*ROUND(M34/60,2)/100,"--")</f>
        <v>--</v>
      </c>
      <c r="S34" s="586" t="str">
        <f>IF(N34="RP",I34*H34*ROUND(M34/60,2)*0.01*O34/100,"--")</f>
        <v>--</v>
      </c>
      <c r="T34" s="587" t="str">
        <f>IF(AND(N34="F",Q34="NO"),IF(P34="SI",1.2,1)*I34*H34,"--")</f>
        <v>--</v>
      </c>
      <c r="U34" s="588" t="str">
        <f>IF(AND(M34&gt;10,N34="F"),IF(M34&lt;=300,ROUND(M34/60,2),5)*I34*H34*IF(P34="SI",1.2,1),"--")</f>
        <v>--</v>
      </c>
      <c r="V34" s="589" t="str">
        <f>IF(AND(N34="F",M34&gt;300),IF(P34="SI",1.2,1)*(ROUND(M34/60,2)-5)*I34*H34*0.1,"--")</f>
        <v>--</v>
      </c>
      <c r="W34" s="590" t="str">
        <f>IF(AND(N34="R",Q34="NO"),IF(P34="SI",1.2,1)*I34*H34*O34/100,"--")</f>
        <v>--</v>
      </c>
      <c r="X34" s="591" t="str">
        <f>IF(AND(M34&gt;10,N34="R"),IF(M34&lt;=300,ROUND(M34/60,2),5)*I34*H34*O34/100*IF(P34="SI",1.2,1),"--")</f>
        <v>--</v>
      </c>
      <c r="Y34" s="592" t="str">
        <f>IF(AND(N34="R",M34&gt;300),IF(P34="SI",1.2,1)*(ROUND(M34/60,2)-5)*I34*H34*O34/100*0.1,"--")</f>
        <v>--</v>
      </c>
      <c r="Z34" s="593" t="str">
        <f>IF(N34="RF",IF(P34="SI",1.2,1)*ROUND(M34/60,2)*I34*H34*0.1,"--")</f>
        <v>--</v>
      </c>
      <c r="AA34" s="594" t="str">
        <f>IF(N34="RR",IF(P34="SI",1.2,1)*ROUND(M34/60,2)*I34*H34*O34/100*0.1,"--")</f>
        <v>--</v>
      </c>
      <c r="AB34" s="595">
        <f>IF(D34="","","SI")</f>
      </c>
      <c r="AC34" s="16">
        <f>IF(D34="","",SUM(R34:AA34)*IF(AB34="SI",1,2))</f>
      </c>
      <c r="AD34" s="17"/>
    </row>
    <row r="35" spans="1:30" ht="16.5" customHeight="1">
      <c r="A35" s="5"/>
      <c r="B35" s="50"/>
      <c r="C35" s="881" t="s">
        <v>235</v>
      </c>
      <c r="D35" s="7"/>
      <c r="E35" s="525"/>
      <c r="F35" s="577"/>
      <c r="G35" s="578"/>
      <c r="H35" s="579">
        <f>IF(G35="A",200,IF(G35="B",60,20))</f>
        <v>20</v>
      </c>
      <c r="I35" s="580">
        <f>IF(F35&gt;100,F35,100)*$F$19/100</f>
        <v>117.179</v>
      </c>
      <c r="J35" s="581"/>
      <c r="K35" s="526"/>
      <c r="L35" s="582">
        <f>IF(D35="","",(K35-J35)*24)</f>
      </c>
      <c r="M35" s="446">
        <f>IF(D35="","",ROUND((K35-J35)*24*60,0))</f>
      </c>
      <c r="N35" s="583"/>
      <c r="O35" s="584">
        <f>IF(D35="","","--")</f>
      </c>
      <c r="P35" s="263">
        <f>IF(D35="","","NO")</f>
      </c>
      <c r="Q35" s="263">
        <f>IF(D35="","",IF(OR(N35="P",N35="RP"),"--","NO"))</f>
      </c>
      <c r="R35" s="585" t="str">
        <f>IF(N35="P",+I35*H35*ROUND(M35/60,2)/100,"--")</f>
        <v>--</v>
      </c>
      <c r="S35" s="586" t="str">
        <f>IF(N35="RP",I35*H35*ROUND(M35/60,2)*0.01*O35/100,"--")</f>
        <v>--</v>
      </c>
      <c r="T35" s="587" t="str">
        <f>IF(AND(N35="F",Q35="NO"),IF(P35="SI",1.2,1)*I35*H35,"--")</f>
        <v>--</v>
      </c>
      <c r="U35" s="588" t="str">
        <f>IF(AND(M35&gt;10,N35="F"),IF(M35&lt;=300,ROUND(M35/60,2),5)*I35*H35*IF(P35="SI",1.2,1),"--")</f>
        <v>--</v>
      </c>
      <c r="V35" s="589" t="str">
        <f>IF(AND(N35="F",M35&gt;300),IF(P35="SI",1.2,1)*(ROUND(M35/60,2)-5)*I35*H35*0.1,"--")</f>
        <v>--</v>
      </c>
      <c r="W35" s="590" t="str">
        <f>IF(AND(N35="R",Q35="NO"),IF(P35="SI",1.2,1)*I35*H35*O35/100,"--")</f>
        <v>--</v>
      </c>
      <c r="X35" s="591" t="str">
        <f>IF(AND(M35&gt;10,N35="R"),IF(M35&lt;=300,ROUND(M35/60,2),5)*I35*H35*O35/100*IF(P35="SI",1.2,1),"--")</f>
        <v>--</v>
      </c>
      <c r="Y35" s="592" t="str">
        <f>IF(AND(N35="R",M35&gt;300),IF(P35="SI",1.2,1)*(ROUND(M35/60,2)-5)*I35*H35*O35/100*0.1,"--")</f>
        <v>--</v>
      </c>
      <c r="Z35" s="593" t="str">
        <f>IF(N35="RF",IF(P35="SI",1.2,1)*ROUND(M35/60,2)*I35*H35*0.1,"--")</f>
        <v>--</v>
      </c>
      <c r="AA35" s="594" t="str">
        <f>IF(N35="RR",IF(P35="SI",1.2,1)*ROUND(M35/60,2)*I35*H35*O35/100*0.1,"--")</f>
        <v>--</v>
      </c>
      <c r="AB35" s="595">
        <f>IF(D35="","","SI")</f>
      </c>
      <c r="AC35" s="16">
        <f>IF(D35="","",SUM(R35:AA35)*IF(AB35="SI",1,2))</f>
      </c>
      <c r="AD35" s="275"/>
    </row>
    <row r="36" spans="1:30" ht="16.5" customHeight="1" thickBot="1">
      <c r="A36" s="32"/>
      <c r="B36" s="50"/>
      <c r="C36" s="669"/>
      <c r="D36" s="596"/>
      <c r="E36" s="597"/>
      <c r="F36" s="598"/>
      <c r="G36" s="599"/>
      <c r="H36" s="600"/>
      <c r="I36" s="601"/>
      <c r="J36" s="602"/>
      <c r="K36" s="602"/>
      <c r="L36" s="9"/>
      <c r="M36" s="9"/>
      <c r="N36" s="9"/>
      <c r="O36" s="603"/>
      <c r="P36" s="9"/>
      <c r="Q36" s="9"/>
      <c r="R36" s="604"/>
      <c r="S36" s="605"/>
      <c r="T36" s="606"/>
      <c r="U36" s="607"/>
      <c r="V36" s="608"/>
      <c r="W36" s="609"/>
      <c r="X36" s="610"/>
      <c r="Y36" s="611"/>
      <c r="Z36" s="612"/>
      <c r="AA36" s="613"/>
      <c r="AB36" s="614"/>
      <c r="AC36" s="615"/>
      <c r="AD36" s="275"/>
    </row>
    <row r="37" spans="1:30" ht="16.5" customHeight="1" thickBot="1" thickTop="1">
      <c r="A37" s="32"/>
      <c r="B37" s="50"/>
      <c r="C37" s="536"/>
      <c r="D37" s="536"/>
      <c r="E37" s="616"/>
      <c r="F37" s="545"/>
      <c r="G37" s="617"/>
      <c r="H37" s="617"/>
      <c r="I37" s="618"/>
      <c r="J37" s="618"/>
      <c r="K37" s="618"/>
      <c r="L37" s="618"/>
      <c r="M37" s="618"/>
      <c r="N37" s="618"/>
      <c r="O37" s="619"/>
      <c r="P37" s="618"/>
      <c r="Q37" s="618"/>
      <c r="R37" s="620">
        <f aca="true" t="shared" si="0" ref="R37:AA37">SUM(R31:R36)</f>
        <v>0</v>
      </c>
      <c r="S37" s="621">
        <f t="shared" si="0"/>
        <v>0</v>
      </c>
      <c r="T37" s="622">
        <f t="shared" si="0"/>
        <v>11858.5148</v>
      </c>
      <c r="U37" s="622">
        <f t="shared" si="0"/>
        <v>6522.183140000001</v>
      </c>
      <c r="V37" s="622">
        <f t="shared" si="0"/>
        <v>0</v>
      </c>
      <c r="W37" s="623">
        <f t="shared" si="0"/>
        <v>0</v>
      </c>
      <c r="X37" s="623">
        <f t="shared" si="0"/>
        <v>0</v>
      </c>
      <c r="Y37" s="623">
        <f t="shared" si="0"/>
        <v>0</v>
      </c>
      <c r="Z37" s="624">
        <f t="shared" si="0"/>
        <v>0</v>
      </c>
      <c r="AA37" s="625">
        <f t="shared" si="0"/>
        <v>0</v>
      </c>
      <c r="AB37" s="626"/>
      <c r="AC37" s="627">
        <f>SUM(AC31:AC36)</f>
        <v>18380.697940000002</v>
      </c>
      <c r="AD37" s="275"/>
    </row>
    <row r="38" spans="1:30" ht="13.5" customHeight="1" thickBot="1" thickTop="1">
      <c r="A38" s="32"/>
      <c r="B38" s="50"/>
      <c r="C38" s="536"/>
      <c r="D38" s="536"/>
      <c r="E38" s="616"/>
      <c r="F38" s="545"/>
      <c r="G38" s="617"/>
      <c r="H38" s="617"/>
      <c r="I38" s="618"/>
      <c r="J38" s="618"/>
      <c r="K38" s="618"/>
      <c r="L38" s="618"/>
      <c r="M38" s="618"/>
      <c r="N38" s="618"/>
      <c r="O38" s="619"/>
      <c r="P38" s="618"/>
      <c r="Q38" s="618"/>
      <c r="R38" s="628"/>
      <c r="S38" s="629"/>
      <c r="T38" s="630"/>
      <c r="U38" s="630"/>
      <c r="V38" s="630"/>
      <c r="W38" s="628"/>
      <c r="X38" s="628"/>
      <c r="Y38" s="628"/>
      <c r="Z38" s="628"/>
      <c r="AA38" s="628"/>
      <c r="AB38" s="631"/>
      <c r="AC38" s="632"/>
      <c r="AD38" s="275"/>
    </row>
    <row r="39" spans="1:33" s="5" customFormat="1" ht="33.75" customHeight="1" thickBot="1" thickTop="1">
      <c r="A39" s="90"/>
      <c r="B39" s="95"/>
      <c r="C39" s="123" t="s">
        <v>13</v>
      </c>
      <c r="D39" s="119" t="s">
        <v>27</v>
      </c>
      <c r="E39" s="118" t="s">
        <v>28</v>
      </c>
      <c r="F39" s="120" t="s">
        <v>29</v>
      </c>
      <c r="G39" s="121" t="s">
        <v>14</v>
      </c>
      <c r="H39" s="129" t="s">
        <v>16</v>
      </c>
      <c r="I39" s="633"/>
      <c r="J39" s="118" t="s">
        <v>17</v>
      </c>
      <c r="K39" s="118" t="s">
        <v>18</v>
      </c>
      <c r="L39" s="119" t="s">
        <v>30</v>
      </c>
      <c r="M39" s="119" t="s">
        <v>31</v>
      </c>
      <c r="N39" s="88" t="s">
        <v>107</v>
      </c>
      <c r="O39" s="118" t="s">
        <v>32</v>
      </c>
      <c r="P39" s="634" t="s">
        <v>33</v>
      </c>
      <c r="Q39" s="635"/>
      <c r="R39" s="129" t="s">
        <v>34</v>
      </c>
      <c r="S39" s="636" t="s">
        <v>20</v>
      </c>
      <c r="T39" s="637" t="s">
        <v>108</v>
      </c>
      <c r="U39" s="638"/>
      <c r="V39" s="639" t="s">
        <v>22</v>
      </c>
      <c r="W39" s="640"/>
      <c r="X39" s="641"/>
      <c r="Y39" s="641"/>
      <c r="Z39" s="641"/>
      <c r="AA39" s="642"/>
      <c r="AB39" s="134" t="s">
        <v>82</v>
      </c>
      <c r="AC39" s="121" t="s">
        <v>24</v>
      </c>
      <c r="AD39" s="17"/>
      <c r="AF39"/>
      <c r="AG39"/>
    </row>
    <row r="40" spans="1:30" ht="16.5" customHeight="1" thickTop="1">
      <c r="A40" s="5"/>
      <c r="B40" s="50"/>
      <c r="C40" s="7"/>
      <c r="D40" s="10"/>
      <c r="E40" s="10"/>
      <c r="F40" s="10"/>
      <c r="G40" s="643"/>
      <c r="H40" s="644"/>
      <c r="I40" s="645"/>
      <c r="J40" s="10"/>
      <c r="K40" s="10"/>
      <c r="L40" s="10"/>
      <c r="M40" s="10"/>
      <c r="N40" s="10"/>
      <c r="O40" s="646"/>
      <c r="P40" s="1122"/>
      <c r="Q40" s="1123"/>
      <c r="R40" s="135"/>
      <c r="S40" s="647"/>
      <c r="T40" s="648"/>
      <c r="U40" s="649"/>
      <c r="V40" s="650"/>
      <c r="W40" s="651"/>
      <c r="X40" s="652"/>
      <c r="Y40" s="652"/>
      <c r="Z40" s="652"/>
      <c r="AA40" s="653"/>
      <c r="AB40" s="646"/>
      <c r="AC40" s="654"/>
      <c r="AD40" s="17"/>
    </row>
    <row r="41" spans="1:30" ht="16.5" customHeight="1">
      <c r="A41" s="5"/>
      <c r="B41" s="50"/>
      <c r="C41" s="881" t="s">
        <v>222</v>
      </c>
      <c r="D41" s="655"/>
      <c r="E41" s="656"/>
      <c r="F41" s="657"/>
      <c r="G41" s="658"/>
      <c r="H41" s="659">
        <f>F41*$F$20</f>
        <v>0</v>
      </c>
      <c r="I41" s="660"/>
      <c r="J41" s="661"/>
      <c r="K41" s="661"/>
      <c r="L41" s="358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1127">
        <f>IF(D41="","","NO")</f>
      </c>
      <c r="Q41" s="1128"/>
      <c r="R41" s="662">
        <f>200*IF(P41="SI",1,0.1)*IF(N41="P",0.1,1)</f>
        <v>20</v>
      </c>
      <c r="S41" s="663" t="str">
        <f>IF(N41="P",H41*R41*ROUND(M41/60,2),"--")</f>
        <v>--</v>
      </c>
      <c r="T41" s="664" t="str">
        <f>IF(AND(N41="F",O41="NO"),H41*R41,"--")</f>
        <v>--</v>
      </c>
      <c r="U41" s="665" t="str">
        <f>IF(N41="F",H41*R41*ROUND(M41/60,2),"--")</f>
        <v>--</v>
      </c>
      <c r="V41" s="440" t="str">
        <f>IF(N41="RF",H41*R41*ROUND(M41/60,2),"--")</f>
        <v>--</v>
      </c>
      <c r="W41" s="666"/>
      <c r="X41" s="667"/>
      <c r="Y41" s="667"/>
      <c r="Z41" s="667"/>
      <c r="AA41" s="668"/>
      <c r="AB41" s="368">
        <f>IF(D41="","","SI")</f>
      </c>
      <c r="AC41" s="369">
        <f>IF(D41="","",SUM(S41:V41)*IF(AB41="SI",1,2))</f>
      </c>
      <c r="AD41" s="17"/>
    </row>
    <row r="42" spans="1:30" ht="16.5" customHeight="1">
      <c r="A42" s="5"/>
      <c r="B42" s="50"/>
      <c r="C42" s="881" t="s">
        <v>223</v>
      </c>
      <c r="D42" s="655"/>
      <c r="E42" s="656"/>
      <c r="F42" s="657"/>
      <c r="G42" s="658"/>
      <c r="H42" s="659">
        <f>F42*$F$20</f>
        <v>0</v>
      </c>
      <c r="I42" s="660"/>
      <c r="J42" s="661"/>
      <c r="K42" s="661"/>
      <c r="L42" s="358">
        <f>IF(D42="","",(K42-J42)*24)</f>
      </c>
      <c r="M42" s="14">
        <f>IF(D42="","",(K42-J42)*24*60)</f>
      </c>
      <c r="N42" s="13"/>
      <c r="O42" s="8">
        <f>IF(D42="","",IF(OR(N42="P",N42="RP"),"--","NO"))</f>
      </c>
      <c r="P42" s="1127">
        <f>IF(D42="","","NO")</f>
      </c>
      <c r="Q42" s="1128"/>
      <c r="R42" s="662">
        <f>200*IF(P42="SI",1,0.1)*IF(N42="P",0.1,1)</f>
        <v>20</v>
      </c>
      <c r="S42" s="663" t="str">
        <f>IF(N42="P",H42*R42*ROUND(M42/60,2),"--")</f>
        <v>--</v>
      </c>
      <c r="T42" s="664" t="str">
        <f>IF(AND(N42="F",O42="NO"),H42*R42,"--")</f>
        <v>--</v>
      </c>
      <c r="U42" s="665" t="str">
        <f>IF(N42="F",H42*R42*ROUND(M42/60,2),"--")</f>
        <v>--</v>
      </c>
      <c r="V42" s="440" t="str">
        <f>IF(N42="RF",H42*R42*ROUND(M42/60,2),"--")</f>
        <v>--</v>
      </c>
      <c r="W42" s="666"/>
      <c r="X42" s="667"/>
      <c r="Y42" s="667"/>
      <c r="Z42" s="667"/>
      <c r="AA42" s="668"/>
      <c r="AB42" s="368">
        <f>IF(D42="","","SI")</f>
      </c>
      <c r="AC42" s="369">
        <f>IF(D42="","",SUM(S42:V42)*IF(AB42="SI",1,2))</f>
      </c>
      <c r="AD42" s="17"/>
    </row>
    <row r="43" spans="1:30" ht="16.5" customHeight="1">
      <c r="A43" s="5"/>
      <c r="B43" s="50"/>
      <c r="C43" s="881" t="s">
        <v>235</v>
      </c>
      <c r="D43" s="655"/>
      <c r="E43" s="656"/>
      <c r="F43" s="657"/>
      <c r="G43" s="658"/>
      <c r="H43" s="659">
        <f>F43*$F$20</f>
        <v>0</v>
      </c>
      <c r="I43" s="660"/>
      <c r="J43" s="661"/>
      <c r="K43" s="661"/>
      <c r="L43" s="358">
        <f>IF(D43="","",(K43-J43)*24)</f>
      </c>
      <c r="M43" s="14">
        <f>IF(D43="","",(K43-J43)*24*60)</f>
      </c>
      <c r="N43" s="13"/>
      <c r="O43" s="8">
        <f>IF(D43="","",IF(OR(N43="P",N43="RP"),"--","NO"))</f>
      </c>
      <c r="P43" s="1127">
        <f>IF(D43="","","NO")</f>
      </c>
      <c r="Q43" s="1128"/>
      <c r="R43" s="662">
        <f>200*IF(P43="SI",1,0.1)*IF(N43="P",0.1,1)</f>
        <v>20</v>
      </c>
      <c r="S43" s="663" t="str">
        <f>IF(N43="P",H43*R43*ROUND(M43/60,2),"--")</f>
        <v>--</v>
      </c>
      <c r="T43" s="664" t="str">
        <f>IF(AND(N43="F",O43="NO"),H43*R43,"--")</f>
        <v>--</v>
      </c>
      <c r="U43" s="665" t="str">
        <f>IF(N43="F",H43*R43*ROUND(M43/60,2),"--")</f>
        <v>--</v>
      </c>
      <c r="V43" s="440" t="str">
        <f>IF(N43="RF",H43*R43*ROUND(M43/60,2),"--")</f>
        <v>--</v>
      </c>
      <c r="W43" s="666"/>
      <c r="X43" s="667"/>
      <c r="Y43" s="667"/>
      <c r="Z43" s="667"/>
      <c r="AA43" s="668"/>
      <c r="AB43" s="368">
        <f>IF(D43="","","SI")</f>
      </c>
      <c r="AC43" s="369">
        <f>IF(D43="","",SUM(S43:V43)*IF(AB43="SI",1,2))</f>
      </c>
      <c r="AD43" s="17"/>
    </row>
    <row r="44" spans="1:30" ht="16.5" customHeight="1" thickBot="1">
      <c r="A44" s="32"/>
      <c r="B44" s="50"/>
      <c r="C44" s="669"/>
      <c r="D44" s="670"/>
      <c r="E44" s="671"/>
      <c r="F44" s="672"/>
      <c r="G44" s="673"/>
      <c r="H44" s="674"/>
      <c r="I44" s="675"/>
      <c r="J44" s="676"/>
      <c r="K44" s="677"/>
      <c r="L44" s="678"/>
      <c r="M44" s="679"/>
      <c r="N44" s="680"/>
      <c r="O44" s="9"/>
      <c r="P44" s="1124"/>
      <c r="Q44" s="1126"/>
      <c r="R44" s="681"/>
      <c r="S44" s="682"/>
      <c r="T44" s="683"/>
      <c r="U44" s="684"/>
      <c r="V44" s="685"/>
      <c r="W44" s="686"/>
      <c r="X44" s="687"/>
      <c r="Y44" s="687"/>
      <c r="Z44" s="687"/>
      <c r="AA44" s="688"/>
      <c r="AB44" s="689"/>
      <c r="AC44" s="690"/>
      <c r="AD44" s="275"/>
    </row>
    <row r="45" spans="1:30" ht="16.5" customHeight="1" thickBot="1" thickTop="1">
      <c r="A45" s="32"/>
      <c r="B45" s="50"/>
      <c r="C45" s="98"/>
      <c r="D45" s="218"/>
      <c r="E45" s="218"/>
      <c r="F45" s="471"/>
      <c r="G45" s="691"/>
      <c r="H45" s="692"/>
      <c r="I45" s="693"/>
      <c r="J45" s="694"/>
      <c r="K45" s="695"/>
      <c r="L45" s="696"/>
      <c r="M45" s="692"/>
      <c r="N45" s="697"/>
      <c r="O45" s="196"/>
      <c r="P45" s="930"/>
      <c r="Q45" s="931"/>
      <c r="R45" s="927"/>
      <c r="S45" s="927"/>
      <c r="T45" s="927"/>
      <c r="U45" s="928"/>
      <c r="V45" s="928"/>
      <c r="W45" s="928"/>
      <c r="X45" s="928"/>
      <c r="Y45" s="928"/>
      <c r="Z45" s="928"/>
      <c r="AA45" s="928"/>
      <c r="AB45" s="928"/>
      <c r="AC45" s="969">
        <f>SUM(AC40:AC44)</f>
        <v>0</v>
      </c>
      <c r="AD45" s="275"/>
    </row>
    <row r="46" spans="1:30" ht="13.5" customHeight="1" thickBot="1" thickTop="1">
      <c r="A46" s="32"/>
      <c r="B46" s="50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275"/>
    </row>
    <row r="47" spans="1:33" s="5" customFormat="1" ht="33.75" customHeight="1" thickBot="1" thickTop="1">
      <c r="A47" s="90"/>
      <c r="B47" s="95"/>
      <c r="C47" s="123" t="s">
        <v>13</v>
      </c>
      <c r="D47" s="119" t="s">
        <v>27</v>
      </c>
      <c r="E47" s="118" t="s">
        <v>28</v>
      </c>
      <c r="F47" s="1120" t="s">
        <v>14</v>
      </c>
      <c r="G47" s="1121"/>
      <c r="H47" s="129" t="s">
        <v>16</v>
      </c>
      <c r="I47" s="633"/>
      <c r="J47" s="118" t="s">
        <v>17</v>
      </c>
      <c r="K47" s="118" t="s">
        <v>18</v>
      </c>
      <c r="L47" s="119" t="s">
        <v>30</v>
      </c>
      <c r="M47" s="119" t="s">
        <v>31</v>
      </c>
      <c r="N47" s="88" t="s">
        <v>107</v>
      </c>
      <c r="O47" s="1129" t="s">
        <v>32</v>
      </c>
      <c r="P47" s="1130"/>
      <c r="Q47" s="1131"/>
      <c r="R47" s="137" t="s">
        <v>37</v>
      </c>
      <c r="S47" s="426" t="s">
        <v>70</v>
      </c>
      <c r="T47" s="183" t="s">
        <v>35</v>
      </c>
      <c r="U47" s="427"/>
      <c r="V47" s="136" t="s">
        <v>22</v>
      </c>
      <c r="W47" s="641"/>
      <c r="X47" s="641"/>
      <c r="Y47" s="641"/>
      <c r="Z47" s="641"/>
      <c r="AA47" s="642"/>
      <c r="AB47" s="134" t="s">
        <v>82</v>
      </c>
      <c r="AC47" s="121" t="s">
        <v>24</v>
      </c>
      <c r="AD47" s="17"/>
      <c r="AF47"/>
      <c r="AG47"/>
    </row>
    <row r="48" spans="1:30" ht="16.5" customHeight="1" thickTop="1">
      <c r="A48" s="5"/>
      <c r="B48" s="50"/>
      <c r="C48" s="7"/>
      <c r="D48" s="10"/>
      <c r="E48" s="10"/>
      <c r="F48" s="1122"/>
      <c r="G48" s="1123"/>
      <c r="H48" s="644"/>
      <c r="I48" s="645"/>
      <c r="J48" s="10"/>
      <c r="K48" s="10"/>
      <c r="L48" s="10"/>
      <c r="M48" s="10"/>
      <c r="N48" s="10"/>
      <c r="O48" s="1122"/>
      <c r="P48" s="1132"/>
      <c r="Q48" s="1123"/>
      <c r="R48" s="787"/>
      <c r="S48" s="430"/>
      <c r="T48" s="431"/>
      <c r="U48" s="432"/>
      <c r="V48" s="433"/>
      <c r="W48" s="652"/>
      <c r="X48" s="652"/>
      <c r="Y48" s="652"/>
      <c r="Z48" s="652"/>
      <c r="AA48" s="653"/>
      <c r="AB48" s="646"/>
      <c r="AC48" s="654"/>
      <c r="AD48" s="17"/>
    </row>
    <row r="49" spans="1:30" ht="15">
      <c r="A49" s="5"/>
      <c r="B49" s="50"/>
      <c r="C49" s="881" t="s">
        <v>222</v>
      </c>
      <c r="D49" s="655"/>
      <c r="E49" s="656"/>
      <c r="F49" s="1118"/>
      <c r="G49" s="1119"/>
      <c r="H49" s="659">
        <f>IF(F49=132,$F$21,IF(F49=500,$F$22,0))</f>
        <v>0</v>
      </c>
      <c r="I49" s="660"/>
      <c r="J49" s="444"/>
      <c r="K49" s="191"/>
      <c r="L49" s="358">
        <f>IF(D49="","",(K49-J49)*24)</f>
      </c>
      <c r="M49" s="14">
        <f>IF(D49="","",(K49-J49)*24*60)</f>
      </c>
      <c r="N49" s="13"/>
      <c r="O49" s="1113">
        <f>IF(D49="","",IF(N49="P","--","NO"))</f>
      </c>
      <c r="P49" s="1114"/>
      <c r="Q49" s="1115"/>
      <c r="R49" s="787">
        <f>IF(F49=500,200,IF(F49=132,40,0))</f>
        <v>0</v>
      </c>
      <c r="S49" s="940" t="str">
        <f>IF(N49="P",H49*R49*ROUND(M49/60,2)*0.1,"--")</f>
        <v>--</v>
      </c>
      <c r="T49" s="194" t="str">
        <f>IF(AND(N49="F",O49="NO"),H49*R49,"--")</f>
        <v>--</v>
      </c>
      <c r="U49" s="439" t="str">
        <f>IF(N49="F",H49*R49*ROUND(M49/60,2),"--")</f>
        <v>--</v>
      </c>
      <c r="V49" s="440" t="str">
        <f>IF(N49="RF",H49*R49*ROUND(M49/60,2),"--")</f>
        <v>--</v>
      </c>
      <c r="W49" s="667"/>
      <c r="X49" s="667"/>
      <c r="Y49" s="667"/>
      <c r="Z49" s="667"/>
      <c r="AA49" s="668"/>
      <c r="AB49" s="368">
        <f>IF(D49="","","SI")</f>
      </c>
      <c r="AC49" s="447">
        <f>IF(D49="","",SUM(S49:V49)*IF(AB49="SI",1,2))</f>
      </c>
      <c r="AD49" s="275"/>
    </row>
    <row r="50" spans="1:30" ht="16.5" customHeight="1">
      <c r="A50" s="5"/>
      <c r="B50" s="50"/>
      <c r="C50" s="881" t="s">
        <v>223</v>
      </c>
      <c r="D50" s="655"/>
      <c r="E50" s="656"/>
      <c r="F50" s="1118"/>
      <c r="G50" s="1119"/>
      <c r="H50" s="659">
        <f>IF(F50=132,$F$21,IF(F50=500,$F$22,0))</f>
        <v>0</v>
      </c>
      <c r="I50" s="660"/>
      <c r="J50" s="661"/>
      <c r="K50" s="661"/>
      <c r="L50" s="358">
        <f>IF(D50="","",(K50-J50)*24)</f>
      </c>
      <c r="M50" s="14">
        <f>IF(D50="","",(K50-J50)*24*60)</f>
      </c>
      <c r="N50" s="13"/>
      <c r="O50" s="1113">
        <f>IF(D50="","",IF(N50="P","--","NO"))</f>
      </c>
      <c r="P50" s="1114"/>
      <c r="Q50" s="1115"/>
      <c r="R50" s="787">
        <f>IF(F50=500,200,IF(F50=132,40,0))</f>
        <v>0</v>
      </c>
      <c r="S50" s="940" t="str">
        <f>IF(N50="P",H50*R50*ROUND(M50/60,2)*0.1,"--")</f>
        <v>--</v>
      </c>
      <c r="T50" s="194" t="str">
        <f>IF(AND(N50="F",O50="NO"),H50*R50,"--")</f>
        <v>--</v>
      </c>
      <c r="U50" s="439" t="str">
        <f>IF(N50="F",H50*R50*ROUND(M50/60,2),"--")</f>
        <v>--</v>
      </c>
      <c r="V50" s="440" t="str">
        <f>IF(N50="RF",H50*R50*ROUND(M50/60,2),"--")</f>
        <v>--</v>
      </c>
      <c r="W50" s="667"/>
      <c r="X50" s="667"/>
      <c r="Y50" s="667"/>
      <c r="Z50" s="667"/>
      <c r="AA50" s="668"/>
      <c r="AB50" s="368">
        <f>IF(D50="","","SI")</f>
      </c>
      <c r="AC50" s="447">
        <f>IF(D50="","",SUM(S50:V50)*IF(AB50="SI",1,2))</f>
      </c>
      <c r="AD50" s="17"/>
    </row>
    <row r="51" spans="1:30" ht="16.5" customHeight="1">
      <c r="A51" s="5"/>
      <c r="B51" s="50"/>
      <c r="C51" s="881" t="s">
        <v>231</v>
      </c>
      <c r="D51" s="655"/>
      <c r="E51" s="656"/>
      <c r="F51" s="1118"/>
      <c r="G51" s="1119"/>
      <c r="H51" s="659">
        <f>IF(F51=132,$F$21,IF(F51=500,$F$22,0))</f>
        <v>0</v>
      </c>
      <c r="I51" s="660"/>
      <c r="J51" s="661"/>
      <c r="K51" s="661"/>
      <c r="L51" s="358">
        <f>IF(D51="","",(K51-J51)*24)</f>
      </c>
      <c r="M51" s="14">
        <f>IF(D51="","",(K51-J51)*24*60)</f>
      </c>
      <c r="N51" s="13"/>
      <c r="O51" s="1113">
        <f>IF(D51="","",IF(N51="P","--","NO"))</f>
      </c>
      <c r="P51" s="1114"/>
      <c r="Q51" s="1115"/>
      <c r="R51" s="787">
        <f>IF(F51=500,200,IF(F51=132,40,0))</f>
        <v>0</v>
      </c>
      <c r="S51" s="940" t="str">
        <f>IF(N51="P",H51*R51*ROUND(M51/60,2)*0.1,"--")</f>
        <v>--</v>
      </c>
      <c r="T51" s="194" t="str">
        <f>IF(AND(N51="F",O51="NO"),H51*R51,"--")</f>
        <v>--</v>
      </c>
      <c r="U51" s="439" t="str">
        <f>IF(N51="F",H51*R51*ROUND(M51/60,2),"--")</f>
        <v>--</v>
      </c>
      <c r="V51" s="440" t="str">
        <f>IF(N51="RF",H51*R51*ROUND(M51/60,2),"--")</f>
        <v>--</v>
      </c>
      <c r="W51" s="667"/>
      <c r="X51" s="667"/>
      <c r="Y51" s="667"/>
      <c r="Z51" s="667"/>
      <c r="AA51" s="668"/>
      <c r="AB51" s="368">
        <f>IF(D51="","","SI")</f>
      </c>
      <c r="AC51" s="447">
        <f>IF(D51="","",SUM(S51:V51)*IF(AB51="SI",1,2))</f>
      </c>
      <c r="AD51" s="17"/>
    </row>
    <row r="52" spans="1:30" ht="16.5" customHeight="1" thickBot="1">
      <c r="A52" s="32"/>
      <c r="B52" s="50"/>
      <c r="C52" s="669"/>
      <c r="D52" s="670"/>
      <c r="E52" s="671"/>
      <c r="F52" s="1116"/>
      <c r="G52" s="1117"/>
      <c r="H52" s="674"/>
      <c r="I52" s="675"/>
      <c r="J52" s="676"/>
      <c r="K52" s="677"/>
      <c r="L52" s="678"/>
      <c r="M52" s="679"/>
      <c r="N52" s="680"/>
      <c r="O52" s="1124"/>
      <c r="P52" s="1125"/>
      <c r="Q52" s="1126"/>
      <c r="R52" s="787">
        <f>IF(F52=500,200,IF(F52=132,40,0))</f>
        <v>0</v>
      </c>
      <c r="S52" s="940" t="str">
        <f>IF(N52="P",H52*R52*ROUND(M52/60,2)*0.1,"--")</f>
        <v>--</v>
      </c>
      <c r="T52" s="194" t="str">
        <f>IF(AND(N52="F",O52="NO"),H52*R52,"--")</f>
        <v>--</v>
      </c>
      <c r="U52" s="439" t="str">
        <f>IF(N52="F",H52*R52*ROUND(M52/60,2),"--")</f>
        <v>--</v>
      </c>
      <c r="V52" s="440" t="str">
        <f>IF(N52="RF",H52*R52*ROUND(M52/60,2),"--")</f>
        <v>--</v>
      </c>
      <c r="W52" s="687"/>
      <c r="X52" s="687"/>
      <c r="Y52" s="687"/>
      <c r="Z52" s="687"/>
      <c r="AA52" s="688"/>
      <c r="AB52" s="689"/>
      <c r="AC52" s="447">
        <f>IF(D52="","",SUM(S52:V52)*IF(AB52="SI",1,2))</f>
      </c>
      <c r="AD52" s="275"/>
    </row>
    <row r="53" spans="1:30" ht="16.5" customHeight="1" thickBot="1" thickTop="1">
      <c r="A53" s="32"/>
      <c r="B53" s="50"/>
      <c r="C53" s="98"/>
      <c r="D53" s="218"/>
      <c r="E53" s="218"/>
      <c r="F53" s="471"/>
      <c r="G53" s="691"/>
      <c r="H53" s="692"/>
      <c r="I53" s="693"/>
      <c r="J53" s="694"/>
      <c r="K53" s="695"/>
      <c r="L53" s="696"/>
      <c r="M53" s="692"/>
      <c r="N53" s="697"/>
      <c r="O53" s="196"/>
      <c r="P53" s="698"/>
      <c r="Q53" s="699"/>
      <c r="R53" s="700"/>
      <c r="S53" s="700"/>
      <c r="T53" s="700"/>
      <c r="U53" s="198"/>
      <c r="V53" s="198"/>
      <c r="W53" s="198"/>
      <c r="X53" s="198"/>
      <c r="Y53" s="198"/>
      <c r="Z53" s="198"/>
      <c r="AA53" s="198"/>
      <c r="AB53" s="198"/>
      <c r="AC53" s="969">
        <f>SUM(AC48:AC52)</f>
        <v>0</v>
      </c>
      <c r="AD53" s="275"/>
    </row>
    <row r="54" spans="1:30" ht="16.5" customHeight="1" thickBot="1" thickTop="1">
      <c r="A54" s="32"/>
      <c r="B54" s="50"/>
      <c r="C54" s="98"/>
      <c r="D54" s="218"/>
      <c r="E54" s="218"/>
      <c r="F54" s="471"/>
      <c r="G54" s="691"/>
      <c r="H54" s="692"/>
      <c r="I54" s="693"/>
      <c r="J54" s="546" t="s">
        <v>42</v>
      </c>
      <c r="K54" s="547">
        <f>+AC45+AC37+AC53</f>
        <v>18380.697940000002</v>
      </c>
      <c r="L54" s="696"/>
      <c r="M54" s="692"/>
      <c r="N54" s="702"/>
      <c r="O54" s="703"/>
      <c r="P54" s="698"/>
      <c r="Q54" s="699"/>
      <c r="R54" s="700"/>
      <c r="S54" s="700"/>
      <c r="T54" s="700"/>
      <c r="U54" s="198"/>
      <c r="V54" s="198"/>
      <c r="W54" s="198"/>
      <c r="X54" s="198"/>
      <c r="Y54" s="198"/>
      <c r="Z54" s="198"/>
      <c r="AA54" s="198"/>
      <c r="AB54" s="198"/>
      <c r="AC54" s="704"/>
      <c r="AD54" s="275"/>
    </row>
    <row r="55" spans="1:30" ht="13.5" customHeight="1" thickTop="1">
      <c r="A55" s="32"/>
      <c r="B55" s="533"/>
      <c r="C55" s="536"/>
      <c r="D55" s="705"/>
      <c r="E55" s="706"/>
      <c r="F55" s="707"/>
      <c r="G55" s="708"/>
      <c r="H55" s="708"/>
      <c r="I55" s="706"/>
      <c r="J55" s="521"/>
      <c r="K55" s="521"/>
      <c r="L55" s="706"/>
      <c r="M55" s="706"/>
      <c r="N55" s="706"/>
      <c r="O55" s="709"/>
      <c r="P55" s="706"/>
      <c r="Q55" s="706"/>
      <c r="R55" s="710"/>
      <c r="S55" s="711"/>
      <c r="T55" s="711"/>
      <c r="U55" s="712"/>
      <c r="AC55" s="712"/>
      <c r="AD55" s="713"/>
    </row>
    <row r="56" spans="1:30" ht="16.5" customHeight="1">
      <c r="A56" s="32"/>
      <c r="B56" s="533"/>
      <c r="C56" s="714" t="s">
        <v>109</v>
      </c>
      <c r="D56" s="715" t="s">
        <v>147</v>
      </c>
      <c r="E56" s="706"/>
      <c r="F56" s="707"/>
      <c r="G56" s="708"/>
      <c r="H56" s="708"/>
      <c r="I56" s="706"/>
      <c r="J56" s="521"/>
      <c r="K56" s="521"/>
      <c r="L56" s="706"/>
      <c r="M56" s="706"/>
      <c r="N56" s="706"/>
      <c r="O56" s="709"/>
      <c r="P56" s="706"/>
      <c r="Q56" s="706"/>
      <c r="R56" s="710"/>
      <c r="S56" s="711"/>
      <c r="T56" s="711"/>
      <c r="U56" s="712"/>
      <c r="AC56" s="712"/>
      <c r="AD56" s="713"/>
    </row>
    <row r="57" spans="1:30" ht="16.5" customHeight="1">
      <c r="A57" s="32"/>
      <c r="B57" s="533"/>
      <c r="C57" s="714"/>
      <c r="D57" s="705"/>
      <c r="E57" s="706"/>
      <c r="F57" s="707"/>
      <c r="G57" s="708"/>
      <c r="H57" s="708"/>
      <c r="I57" s="706"/>
      <c r="J57" s="521"/>
      <c r="K57" s="521"/>
      <c r="L57" s="706"/>
      <c r="M57" s="706"/>
      <c r="N57" s="706"/>
      <c r="O57" s="709"/>
      <c r="P57" s="706"/>
      <c r="Q57" s="706"/>
      <c r="R57" s="706"/>
      <c r="S57" s="710"/>
      <c r="T57" s="711"/>
      <c r="AD57" s="713"/>
    </row>
    <row r="58" spans="2:30" s="32" customFormat="1" ht="16.5" customHeight="1">
      <c r="B58" s="533"/>
      <c r="C58" s="536"/>
      <c r="D58" s="716" t="s">
        <v>0</v>
      </c>
      <c r="E58" s="618" t="s">
        <v>110</v>
      </c>
      <c r="F58" s="618" t="s">
        <v>43</v>
      </c>
      <c r="G58" s="717" t="s">
        <v>148</v>
      </c>
      <c r="H58" s="619"/>
      <c r="I58" s="618"/>
      <c r="J58"/>
      <c r="K58"/>
      <c r="L58" s="718" t="s">
        <v>149</v>
      </c>
      <c r="M58"/>
      <c r="N58"/>
      <c r="O58"/>
      <c r="P58"/>
      <c r="Q58" s="721"/>
      <c r="R58" s="721"/>
      <c r="S58" s="33"/>
      <c r="T58"/>
      <c r="U58"/>
      <c r="V58"/>
      <c r="W58"/>
      <c r="X58" s="33"/>
      <c r="Y58" s="33"/>
      <c r="Z58" s="33"/>
      <c r="AA58" s="33"/>
      <c r="AB58" s="33"/>
      <c r="AC58" s="722" t="s">
        <v>151</v>
      </c>
      <c r="AD58" s="713"/>
    </row>
    <row r="59" spans="2:30" s="32" customFormat="1" ht="16.5" customHeight="1">
      <c r="B59" s="533"/>
      <c r="C59" s="536"/>
      <c r="D59" s="618" t="s">
        <v>120</v>
      </c>
      <c r="E59" s="723">
        <v>506</v>
      </c>
      <c r="F59" s="723">
        <v>500</v>
      </c>
      <c r="G59" s="724">
        <f>E59*$F$19*$L$20/100</f>
        <v>426906.5328</v>
      </c>
      <c r="H59" s="724"/>
      <c r="I59" s="724"/>
      <c r="J59" s="174"/>
      <c r="K59"/>
      <c r="L59" s="725">
        <v>534477</v>
      </c>
      <c r="M59" s="174"/>
      <c r="N59" s="726" t="str">
        <f>"(DTE "&amp;DATO!$G$14&amp;DATO!$H$14&amp;")"</f>
        <v>(DTE 0909)</v>
      </c>
      <c r="O59"/>
      <c r="P59"/>
      <c r="Q59" s="721"/>
      <c r="R59" s="721"/>
      <c r="S59" s="33"/>
      <c r="T59"/>
      <c r="U59"/>
      <c r="V59"/>
      <c r="W59"/>
      <c r="X59" s="33"/>
      <c r="Y59" s="33"/>
      <c r="Z59" s="33"/>
      <c r="AA59" s="33"/>
      <c r="AB59" s="727"/>
      <c r="AC59" s="544">
        <f>L59+G59</f>
        <v>961383.5327999999</v>
      </c>
      <c r="AD59" s="713"/>
    </row>
    <row r="60" spans="2:30" s="32" customFormat="1" ht="16.5" customHeight="1">
      <c r="B60" s="533"/>
      <c r="C60" s="536"/>
      <c r="D60" s="728" t="s">
        <v>121</v>
      </c>
      <c r="E60" s="723">
        <v>85</v>
      </c>
      <c r="F60" s="723">
        <v>500</v>
      </c>
      <c r="G60" s="724">
        <f>E60*$F$19*$L$20/100</f>
        <v>71713.548</v>
      </c>
      <c r="H60" s="728"/>
      <c r="I60" s="729"/>
      <c r="J60" s="174"/>
      <c r="K60"/>
      <c r="L60" s="724">
        <v>0</v>
      </c>
      <c r="M60" s="174"/>
      <c r="N60" s="726" t="str">
        <f>"(DTE "&amp;DATO!$G$14&amp;DATO!$H$14&amp;")"</f>
        <v>(DTE 0909)</v>
      </c>
      <c r="O60" s="730"/>
      <c r="P60"/>
      <c r="Q60" s="721"/>
      <c r="R60" s="721"/>
      <c r="S60" s="33"/>
      <c r="T60"/>
      <c r="U60"/>
      <c r="V60"/>
      <c r="W60"/>
      <c r="X60" s="33"/>
      <c r="Y60" s="33"/>
      <c r="Z60" s="33"/>
      <c r="AA60" s="33"/>
      <c r="AB60" s="33"/>
      <c r="AC60" s="544">
        <f>L60+G60</f>
        <v>71713.548</v>
      </c>
      <c r="AD60" s="713"/>
    </row>
    <row r="61" spans="2:30" s="32" customFormat="1" ht="16.5" customHeight="1">
      <c r="B61" s="533"/>
      <c r="C61" s="536"/>
      <c r="E61" s="541"/>
      <c r="F61" s="618"/>
      <c r="G61" s="619"/>
      <c r="H61"/>
      <c r="I61" s="618"/>
      <c r="J61" s="618"/>
      <c r="K61"/>
      <c r="L61" s="544"/>
      <c r="M61" s="720"/>
      <c r="N61" s="720"/>
      <c r="O61" s="721"/>
      <c r="P61" s="721"/>
      <c r="Q61" s="721"/>
      <c r="R61" s="721"/>
      <c r="S61" s="33"/>
      <c r="T61"/>
      <c r="U61"/>
      <c r="V61"/>
      <c r="W61"/>
      <c r="X61" s="33"/>
      <c r="Y61" s="33"/>
      <c r="Z61" s="33"/>
      <c r="AA61" s="33"/>
      <c r="AB61" s="33"/>
      <c r="AC61" s="544"/>
      <c r="AD61" s="713"/>
    </row>
    <row r="62" spans="1:30" ht="16.5" customHeight="1">
      <c r="A62" s="32"/>
      <c r="B62" s="533"/>
      <c r="C62" s="536"/>
      <c r="D62" s="716" t="s">
        <v>122</v>
      </c>
      <c r="E62" s="618" t="s">
        <v>123</v>
      </c>
      <c r="F62" s="618" t="s">
        <v>43</v>
      </c>
      <c r="G62" s="717" t="s">
        <v>152</v>
      </c>
      <c r="I62" s="719"/>
      <c r="J62" s="618"/>
      <c r="L62" s="718" t="s">
        <v>150</v>
      </c>
      <c r="M62" s="719"/>
      <c r="N62" s="720"/>
      <c r="O62" s="721"/>
      <c r="P62" s="721"/>
      <c r="Q62" s="721"/>
      <c r="R62" s="721"/>
      <c r="S62" s="721"/>
      <c r="AC62" s="544"/>
      <c r="AD62" s="713"/>
    </row>
    <row r="63" spans="1:30" ht="16.5" customHeight="1">
      <c r="A63" s="32"/>
      <c r="B63" s="533"/>
      <c r="C63" s="536"/>
      <c r="D63" s="618" t="s">
        <v>124</v>
      </c>
      <c r="E63" s="723">
        <v>300</v>
      </c>
      <c r="F63" s="723" t="s">
        <v>125</v>
      </c>
      <c r="G63" s="724">
        <f>E63*F20*L20</f>
        <v>68904</v>
      </c>
      <c r="H63" s="174"/>
      <c r="I63" s="174"/>
      <c r="J63" s="725"/>
      <c r="L63" s="725">
        <v>0</v>
      </c>
      <c r="M63" s="174"/>
      <c r="N63" s="726" t="str">
        <f>"(DTE "&amp;DATO!$G$14&amp;DATO!$H$14&amp;")"</f>
        <v>(DTE 0909)</v>
      </c>
      <c r="O63" s="757"/>
      <c r="P63" s="757"/>
      <c r="Q63" s="757"/>
      <c r="R63" s="757"/>
      <c r="S63" s="757"/>
      <c r="AC63" s="758">
        <f>G63</f>
        <v>68904</v>
      </c>
      <c r="AD63" s="713"/>
    </row>
    <row r="64" spans="1:30" ht="16.5" customHeight="1">
      <c r="A64" s="32"/>
      <c r="B64" s="533"/>
      <c r="C64" s="536"/>
      <c r="D64" s="618" t="s">
        <v>126</v>
      </c>
      <c r="E64" s="723">
        <v>150</v>
      </c>
      <c r="F64" s="723" t="s">
        <v>127</v>
      </c>
      <c r="G64" s="724">
        <f>E64*F20*L20</f>
        <v>34452</v>
      </c>
      <c r="H64" s="174"/>
      <c r="I64" s="174"/>
      <c r="J64" s="725"/>
      <c r="L64" s="725">
        <v>0</v>
      </c>
      <c r="M64" s="174"/>
      <c r="N64" s="726" t="str">
        <f>"(DTE "&amp;DATO!$G$14&amp;DATO!$H$14&amp;")"</f>
        <v>(DTE 0909)</v>
      </c>
      <c r="O64" s="757"/>
      <c r="P64" s="757"/>
      <c r="Q64" s="757"/>
      <c r="R64" s="757"/>
      <c r="S64" s="757"/>
      <c r="AC64" s="758">
        <f>G64</f>
        <v>34452</v>
      </c>
      <c r="AD64" s="713"/>
    </row>
    <row r="65" spans="1:30" ht="16.5" customHeight="1">
      <c r="A65" s="32"/>
      <c r="B65" s="533"/>
      <c r="C65" s="536"/>
      <c r="D65" s="618"/>
      <c r="E65" s="723"/>
      <c r="F65" s="723"/>
      <c r="G65" s="724"/>
      <c r="H65" s="174"/>
      <c r="I65" s="174"/>
      <c r="J65" s="725"/>
      <c r="L65" s="725"/>
      <c r="M65" s="174"/>
      <c r="N65" s="726"/>
      <c r="O65" s="757"/>
      <c r="P65" s="757"/>
      <c r="Q65" s="757"/>
      <c r="R65" s="757"/>
      <c r="S65" s="757"/>
      <c r="AC65" s="758"/>
      <c r="AD65" s="713"/>
    </row>
    <row r="66" spans="1:30" ht="16.5" customHeight="1">
      <c r="A66" s="32"/>
      <c r="B66" s="533"/>
      <c r="C66" s="536"/>
      <c r="D66" s="716" t="s">
        <v>61</v>
      </c>
      <c r="E66" s="729" t="s">
        <v>1</v>
      </c>
      <c r="F66" s="729"/>
      <c r="G66" s="618" t="s">
        <v>43</v>
      </c>
      <c r="I66" s="719"/>
      <c r="J66" s="717" t="s">
        <v>153</v>
      </c>
      <c r="L66" s="718"/>
      <c r="M66" s="719"/>
      <c r="N66" s="720"/>
      <c r="O66" s="721"/>
      <c r="P66" s="721"/>
      <c r="Q66" s="721"/>
      <c r="R66" s="721"/>
      <c r="S66" s="721"/>
      <c r="AC66" s="544"/>
      <c r="AD66" s="713"/>
    </row>
    <row r="67" spans="1:30" ht="16.5" customHeight="1">
      <c r="A67" s="32"/>
      <c r="B67" s="533"/>
      <c r="C67" s="536"/>
      <c r="D67" s="618" t="s">
        <v>128</v>
      </c>
      <c r="E67" s="759" t="s">
        <v>129</v>
      </c>
      <c r="F67" s="760"/>
      <c r="G67" s="723">
        <v>132</v>
      </c>
      <c r="H67" s="174"/>
      <c r="I67" s="174"/>
      <c r="J67" s="724">
        <f>F21*L20</f>
        <v>36810.72</v>
      </c>
      <c r="L67" s="725"/>
      <c r="M67" s="174"/>
      <c r="N67" s="726"/>
      <c r="O67" s="757"/>
      <c r="P67" s="757"/>
      <c r="Q67" s="757"/>
      <c r="R67" s="757"/>
      <c r="S67" s="757"/>
      <c r="AC67" s="758">
        <f>J67</f>
        <v>36810.72</v>
      </c>
      <c r="AD67" s="713"/>
    </row>
    <row r="68" spans="1:30" ht="16.5" customHeight="1">
      <c r="A68" s="32"/>
      <c r="B68" s="533"/>
      <c r="C68" s="536"/>
      <c r="D68" s="618" t="s">
        <v>130</v>
      </c>
      <c r="E68" s="759" t="s">
        <v>131</v>
      </c>
      <c r="F68" s="760"/>
      <c r="G68" s="723">
        <v>500</v>
      </c>
      <c r="H68" s="174"/>
      <c r="I68" s="174"/>
      <c r="J68" s="724">
        <f>F22*L20</f>
        <v>46010.880000000005</v>
      </c>
      <c r="L68" s="725"/>
      <c r="M68" s="174"/>
      <c r="N68" s="726"/>
      <c r="O68" s="757"/>
      <c r="P68" s="757"/>
      <c r="Q68" s="757"/>
      <c r="R68" s="757"/>
      <c r="S68" s="757"/>
      <c r="AC68" s="761">
        <f>J68</f>
        <v>46010.880000000005</v>
      </c>
      <c r="AD68" s="713"/>
    </row>
    <row r="69" spans="1:30" ht="16.5" customHeight="1">
      <c r="A69" s="32"/>
      <c r="B69" s="533"/>
      <c r="C69" s="536"/>
      <c r="D69" s="521"/>
      <c r="E69" s="541"/>
      <c r="F69" s="618"/>
      <c r="G69" s="618"/>
      <c r="H69" s="619"/>
      <c r="J69" s="618"/>
      <c r="L69" s="731"/>
      <c r="M69" s="720"/>
      <c r="N69" s="720"/>
      <c r="O69" s="721"/>
      <c r="P69" s="721"/>
      <c r="Q69" s="721"/>
      <c r="R69" s="721"/>
      <c r="S69" s="721"/>
      <c r="AC69" s="535">
        <f>SUM(AC59:AC68)</f>
        <v>1219274.6807999997</v>
      </c>
      <c r="AD69" s="713"/>
    </row>
    <row r="70" spans="2:30" ht="16.5" customHeight="1">
      <c r="B70" s="533"/>
      <c r="C70" s="714" t="s">
        <v>111</v>
      </c>
      <c r="D70" s="732" t="s">
        <v>112</v>
      </c>
      <c r="E70" s="618"/>
      <c r="F70" s="733"/>
      <c r="G70" s="617"/>
      <c r="H70" s="521"/>
      <c r="I70" s="521"/>
      <c r="J70" s="521"/>
      <c r="K70" s="618"/>
      <c r="L70" s="618"/>
      <c r="M70" s="521"/>
      <c r="N70" s="618"/>
      <c r="O70" s="521"/>
      <c r="P70" s="521"/>
      <c r="Q70" s="521"/>
      <c r="R70" s="521"/>
      <c r="S70" s="521"/>
      <c r="T70" s="521"/>
      <c r="U70" s="521"/>
      <c r="AC70" s="521"/>
      <c r="AD70" s="713"/>
    </row>
    <row r="71" spans="2:30" s="32" customFormat="1" ht="16.5" customHeight="1">
      <c r="B71" s="533"/>
      <c r="C71" s="536"/>
      <c r="D71" s="716" t="s">
        <v>113</v>
      </c>
      <c r="E71" s="734">
        <f>10*K54*K26/AC69</f>
        <v>6393.551054964107</v>
      </c>
      <c r="G71" s="617"/>
      <c r="L71" s="618"/>
      <c r="N71" s="618"/>
      <c r="O71" s="619"/>
      <c r="V71"/>
      <c r="W71"/>
      <c r="AD71" s="713"/>
    </row>
    <row r="72" spans="2:30" s="32" customFormat="1" ht="16.5" customHeight="1">
      <c r="B72" s="533"/>
      <c r="C72" s="536"/>
      <c r="E72" s="735"/>
      <c r="F72" s="545"/>
      <c r="G72" s="617"/>
      <c r="J72" s="617"/>
      <c r="K72" s="632"/>
      <c r="L72" s="618"/>
      <c r="M72" s="618"/>
      <c r="N72" s="618"/>
      <c r="O72" s="619"/>
      <c r="P72" s="618"/>
      <c r="Q72" s="618"/>
      <c r="R72" s="631"/>
      <c r="S72" s="631"/>
      <c r="T72" s="631"/>
      <c r="U72" s="736"/>
      <c r="V72"/>
      <c r="W72"/>
      <c r="AC72" s="736"/>
      <c r="AD72" s="713"/>
    </row>
    <row r="73" spans="2:30" ht="16.5" customHeight="1" thickBot="1">
      <c r="B73" s="533"/>
      <c r="C73" s="536"/>
      <c r="D73" s="737" t="s">
        <v>132</v>
      </c>
      <c r="E73" s="738"/>
      <c r="F73" s="545"/>
      <c r="G73" s="617"/>
      <c r="H73" s="521"/>
      <c r="I73" s="521"/>
      <c r="N73" s="618"/>
      <c r="O73" s="619"/>
      <c r="P73" s="618"/>
      <c r="Q73" s="618"/>
      <c r="R73" s="719"/>
      <c r="S73" s="719"/>
      <c r="T73" s="719"/>
      <c r="U73" s="720"/>
      <c r="AC73" s="720"/>
      <c r="AD73" s="713"/>
    </row>
    <row r="74" spans="2:30" ht="16.5" customHeight="1" thickBot="1" thickTop="1">
      <c r="B74" s="533"/>
      <c r="C74" s="536"/>
      <c r="D74" s="737"/>
      <c r="E74" s="738"/>
      <c r="F74" s="545"/>
      <c r="G74" s="617"/>
      <c r="H74" s="521"/>
      <c r="I74" s="521"/>
      <c r="J74" s="746" t="s">
        <v>114</v>
      </c>
      <c r="K74" s="747">
        <f>IF(E71&gt;3*K26,K26*3,E71)</f>
        <v>6393.551054964107</v>
      </c>
      <c r="L74" s="739"/>
      <c r="M74" s="748"/>
      <c r="N74" s="748" t="s">
        <v>377</v>
      </c>
      <c r="O74" s="978" t="s">
        <v>378</v>
      </c>
      <c r="P74" s="748"/>
      <c r="Q74" s="748"/>
      <c r="R74" s="750"/>
      <c r="S74" s="750"/>
      <c r="T74" s="750"/>
      <c r="U74" s="751"/>
      <c r="X74" s="739"/>
      <c r="Y74" s="739"/>
      <c r="Z74" s="739"/>
      <c r="AA74" s="739"/>
      <c r="AB74" s="739"/>
      <c r="AC74" s="751"/>
      <c r="AD74" s="713"/>
    </row>
    <row r="75" spans="2:30" s="739" customFormat="1" ht="21" thickBot="1" thickTop="1">
      <c r="B75" s="57"/>
      <c r="C75" s="59"/>
      <c r="D75" s="59"/>
      <c r="E75" s="59"/>
      <c r="F75" s="59"/>
      <c r="G75" s="59"/>
      <c r="I75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199"/>
      <c r="W75" s="199"/>
      <c r="X75" s="199"/>
      <c r="Y75" s="199"/>
      <c r="Z75" s="199"/>
      <c r="AA75" s="199"/>
      <c r="AB75" s="199"/>
      <c r="AC75" s="59"/>
      <c r="AD75" s="753"/>
    </row>
    <row r="76" spans="2:23" ht="16.5" customHeight="1" thickBot="1" thickTop="1">
      <c r="B76" s="1"/>
      <c r="C76" s="73"/>
      <c r="H76" s="59"/>
      <c r="I76" s="59"/>
      <c r="W76" s="1"/>
    </row>
    <row r="77" ht="16.5" customHeight="1" thickTop="1"/>
  </sheetData>
  <sheetProtection password="CC12"/>
  <mergeCells count="17">
    <mergeCell ref="P44:Q44"/>
    <mergeCell ref="O49:Q49"/>
    <mergeCell ref="O47:Q47"/>
    <mergeCell ref="O48:Q48"/>
    <mergeCell ref="P40:Q40"/>
    <mergeCell ref="P41:Q41"/>
    <mergeCell ref="P42:Q42"/>
    <mergeCell ref="P43:Q43"/>
    <mergeCell ref="O50:Q50"/>
    <mergeCell ref="F52:G52"/>
    <mergeCell ref="F51:G51"/>
    <mergeCell ref="F47:G47"/>
    <mergeCell ref="F48:G48"/>
    <mergeCell ref="F50:G50"/>
    <mergeCell ref="F49:G49"/>
    <mergeCell ref="O51:Q51"/>
    <mergeCell ref="O52:Q52"/>
  </mergeCells>
  <printOptions horizontalCentered="1"/>
  <pageMargins left="0.3937007874015748" right="0.1968503937007874" top="0.25" bottom="0.28" header="0.22" footer="0.18"/>
  <pageSetup orientation="landscape" paperSize="9" scale="43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4"/>
  <sheetViews>
    <sheetView zoomScale="75" zoomScaleNormal="75" workbookViewId="0" topLeftCell="A34">
      <selection activeCell="J63" sqref="J63"/>
    </sheetView>
  </sheetViews>
  <sheetFormatPr defaultColWidth="11.421875" defaultRowHeight="12.75"/>
  <cols>
    <col min="1" max="1" width="16.0039062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8.7109375" style="0" hidden="1" customWidth="1"/>
    <col min="9" max="9" width="18.7109375" style="0" customWidth="1"/>
    <col min="10" max="10" width="20.71093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9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8"/>
      <c r="AD1" s="762"/>
    </row>
    <row r="2" spans="1:23" ht="27" customHeight="1">
      <c r="A2" s="9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30" customFormat="1" ht="30.75">
      <c r="A3" s="527"/>
      <c r="B3" s="528" t="str">
        <f>+'TOT-0909'!B2</f>
        <v>ANEXO IV al Memorandum  D.T.E.E. N° 256/2011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AB3" s="529"/>
      <c r="AC3" s="529"/>
      <c r="AD3" s="529"/>
    </row>
    <row r="4" spans="1:2" s="25" customFormat="1" ht="11.25">
      <c r="A4" s="754" t="s">
        <v>2</v>
      </c>
      <c r="B4" s="755"/>
    </row>
    <row r="5" spans="1:2" s="25" customFormat="1" ht="12" thickBot="1">
      <c r="A5" s="754" t="s">
        <v>3</v>
      </c>
      <c r="B5" s="754"/>
    </row>
    <row r="6" spans="1:23" ht="16.5" customHeight="1" thickTop="1">
      <c r="A6" s="5"/>
      <c r="B6" s="69"/>
      <c r="C6" s="70"/>
      <c r="D6" s="70"/>
      <c r="E6" s="20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4"/>
    </row>
    <row r="7" spans="1:23" ht="20.25">
      <c r="A7" s="5"/>
      <c r="B7" s="50"/>
      <c r="C7" s="4"/>
      <c r="D7" s="176" t="s">
        <v>97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76" t="s">
        <v>98</v>
      </c>
      <c r="E9" s="43"/>
      <c r="F9" s="43"/>
      <c r="G9" s="43"/>
      <c r="H9" s="43"/>
      <c r="N9" s="43"/>
      <c r="O9" s="43"/>
      <c r="P9" s="202"/>
      <c r="Q9" s="202"/>
      <c r="R9" s="43"/>
      <c r="S9" s="43"/>
      <c r="T9" s="43"/>
      <c r="U9" s="43"/>
      <c r="V9" s="43"/>
      <c r="W9" s="203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76" t="s">
        <v>256</v>
      </c>
      <c r="E11" s="43"/>
      <c r="F11" s="43"/>
      <c r="G11" s="43"/>
      <c r="H11" s="43"/>
      <c r="N11" s="43"/>
      <c r="O11" s="43"/>
      <c r="P11" s="202"/>
      <c r="Q11" s="202"/>
      <c r="R11" s="43"/>
      <c r="S11" s="43"/>
      <c r="T11" s="43"/>
      <c r="U11" s="43"/>
      <c r="V11" s="43"/>
      <c r="W11" s="203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'TOT-0909'!B14</f>
        <v>Desde el 01 al 30 de septiembre de 2009</v>
      </c>
      <c r="C13" s="38"/>
      <c r="D13" s="40"/>
      <c r="E13" s="40"/>
      <c r="F13" s="40"/>
      <c r="G13" s="40"/>
      <c r="H13" s="40"/>
      <c r="I13" s="41"/>
      <c r="J13" s="17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6"/>
      <c r="V13" s="126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532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43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43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64" t="s">
        <v>99</v>
      </c>
      <c r="D17" s="54" t="s">
        <v>100</v>
      </c>
      <c r="E17" s="66"/>
      <c r="F17" s="66"/>
      <c r="G17" s="4"/>
      <c r="H17" s="4"/>
      <c r="I17" s="4"/>
      <c r="J17" s="532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533"/>
      <c r="C18" s="33"/>
      <c r="D18" s="534"/>
      <c r="E18" s="542" t="s">
        <v>260</v>
      </c>
      <c r="F18" s="724">
        <v>482383</v>
      </c>
      <c r="G18" s="726" t="str">
        <f>"(DTE "&amp;DATO!$G$14&amp;DATO!$H$14&amp;")"</f>
        <v>(DTE 0909)</v>
      </c>
      <c r="H18" s="33"/>
      <c r="I18" s="33"/>
      <c r="J18" s="537"/>
      <c r="K18" s="33"/>
      <c r="L18" s="33"/>
      <c r="M18" s="33"/>
      <c r="N18" s="763" t="s">
        <v>37</v>
      </c>
      <c r="P18" s="33"/>
      <c r="Q18" s="33"/>
      <c r="R18" s="33"/>
      <c r="S18" s="33"/>
      <c r="T18" s="33"/>
      <c r="U18" s="33"/>
      <c r="V18" s="33"/>
      <c r="W18" s="538"/>
    </row>
    <row r="19" spans="2:23" s="32" customFormat="1" ht="16.5" customHeight="1">
      <c r="B19" s="533"/>
      <c r="C19" s="33"/>
      <c r="D19" s="929"/>
      <c r="E19" s="542" t="s">
        <v>40</v>
      </c>
      <c r="F19" s="543">
        <v>0.025</v>
      </c>
      <c r="G19" s="540"/>
      <c r="H19" s="33"/>
      <c r="I19" s="214"/>
      <c r="J19" s="215"/>
      <c r="K19" s="764" t="s">
        <v>133</v>
      </c>
      <c r="L19" s="765"/>
      <c r="M19" s="766">
        <v>63.904</v>
      </c>
      <c r="N19" s="767">
        <v>200</v>
      </c>
      <c r="R19" s="33"/>
      <c r="S19" s="33"/>
      <c r="T19" s="33"/>
      <c r="U19" s="33"/>
      <c r="V19" s="33"/>
      <c r="W19" s="538"/>
    </row>
    <row r="20" spans="2:23" s="32" customFormat="1" ht="16.5" customHeight="1">
      <c r="B20" s="533"/>
      <c r="C20" s="33"/>
      <c r="D20" s="929"/>
      <c r="E20" s="534" t="s">
        <v>38</v>
      </c>
      <c r="F20" s="33">
        <f>MID(B13,16,2)*24</f>
        <v>720</v>
      </c>
      <c r="G20" s="33" t="s">
        <v>39</v>
      </c>
      <c r="H20" s="33"/>
      <c r="I20" s="33"/>
      <c r="J20" s="33"/>
      <c r="K20" s="768" t="s">
        <v>90</v>
      </c>
      <c r="L20" s="769"/>
      <c r="M20" s="770">
        <v>57.511</v>
      </c>
      <c r="N20" s="771">
        <v>100</v>
      </c>
      <c r="O20" s="33"/>
      <c r="P20" s="756"/>
      <c r="Q20" s="33"/>
      <c r="R20" s="33"/>
      <c r="S20" s="33"/>
      <c r="T20" s="33"/>
      <c r="U20" s="33"/>
      <c r="V20" s="33"/>
      <c r="W20" s="538"/>
    </row>
    <row r="21" spans="2:23" s="32" customFormat="1" ht="16.5" customHeight="1" thickBot="1">
      <c r="B21" s="533"/>
      <c r="C21" s="33"/>
      <c r="D21" s="929"/>
      <c r="E21" s="534" t="s">
        <v>41</v>
      </c>
      <c r="F21" s="33">
        <v>0.319</v>
      </c>
      <c r="G21" s="32" t="s">
        <v>116</v>
      </c>
      <c r="H21" s="33"/>
      <c r="I21" s="33"/>
      <c r="J21" s="33"/>
      <c r="K21" s="772" t="s">
        <v>134</v>
      </c>
      <c r="L21" s="773"/>
      <c r="M21" s="774">
        <v>51.126</v>
      </c>
      <c r="N21" s="775">
        <v>40</v>
      </c>
      <c r="O21" s="33"/>
      <c r="P21" s="756"/>
      <c r="Q21" s="33"/>
      <c r="R21" s="33"/>
      <c r="S21" s="33"/>
      <c r="T21" s="33"/>
      <c r="U21" s="33"/>
      <c r="V21" s="33"/>
      <c r="W21" s="538"/>
    </row>
    <row r="22" spans="2:23" s="32" customFormat="1" ht="16.5" customHeight="1">
      <c r="B22" s="533"/>
      <c r="C22" s="33"/>
      <c r="D22" s="33"/>
      <c r="E22" s="54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38"/>
    </row>
    <row r="23" spans="1:23" ht="16.5" customHeight="1">
      <c r="A23" s="5"/>
      <c r="B23" s="50"/>
      <c r="C23" s="164" t="s">
        <v>103</v>
      </c>
      <c r="D23" s="3" t="s">
        <v>145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533"/>
      <c r="C25" s="536"/>
      <c r="D25"/>
      <c r="E25"/>
      <c r="F25"/>
      <c r="G25"/>
      <c r="H25"/>
      <c r="I25" s="546" t="s">
        <v>45</v>
      </c>
      <c r="J25" s="776">
        <f>+F18*F19</f>
        <v>12059.575</v>
      </c>
      <c r="L25"/>
      <c r="S25"/>
      <c r="T25"/>
      <c r="U25"/>
      <c r="W25" s="538"/>
    </row>
    <row r="26" spans="2:23" s="32" customFormat="1" ht="11.25" customHeight="1" thickTop="1">
      <c r="B26" s="533"/>
      <c r="C26" s="536"/>
      <c r="D26" s="33"/>
      <c r="E26" s="54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538"/>
    </row>
    <row r="27" spans="1:23" ht="16.5" customHeight="1">
      <c r="A27" s="5"/>
      <c r="B27" s="50"/>
      <c r="C27" s="164" t="s">
        <v>104</v>
      </c>
      <c r="D27" s="3" t="s">
        <v>146</v>
      </c>
      <c r="E27" s="2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536"/>
      <c r="D28" s="536"/>
      <c r="E28" s="616"/>
      <c r="F28" s="545"/>
      <c r="G28" s="617"/>
      <c r="H28" s="617"/>
      <c r="I28" s="618"/>
      <c r="J28" s="618"/>
      <c r="K28" s="618"/>
      <c r="L28" s="618"/>
      <c r="M28" s="618"/>
      <c r="N28" s="618"/>
      <c r="O28" s="619"/>
      <c r="P28" s="618"/>
      <c r="Q28" s="618"/>
      <c r="R28" s="777"/>
      <c r="S28" s="778"/>
      <c r="T28" s="779"/>
      <c r="U28" s="779"/>
      <c r="V28" s="779"/>
      <c r="W28" s="275"/>
    </row>
    <row r="29" spans="1:26" s="5" customFormat="1" ht="33.75" customHeight="1" thickBot="1" thickTop="1">
      <c r="A29" s="90"/>
      <c r="B29" s="95"/>
      <c r="C29" s="123" t="s">
        <v>13</v>
      </c>
      <c r="D29" s="119" t="s">
        <v>27</v>
      </c>
      <c r="E29" s="118" t="s">
        <v>28</v>
      </c>
      <c r="F29" s="120" t="s">
        <v>29</v>
      </c>
      <c r="G29" s="121" t="s">
        <v>14</v>
      </c>
      <c r="H29" s="129" t="s">
        <v>16</v>
      </c>
      <c r="I29" s="118" t="s">
        <v>17</v>
      </c>
      <c r="J29" s="118" t="s">
        <v>18</v>
      </c>
      <c r="K29" s="119" t="s">
        <v>30</v>
      </c>
      <c r="L29" s="119" t="s">
        <v>31</v>
      </c>
      <c r="M29" s="88" t="s">
        <v>107</v>
      </c>
      <c r="N29" s="118" t="s">
        <v>32</v>
      </c>
      <c r="O29" s="634" t="s">
        <v>33</v>
      </c>
      <c r="P29" s="129" t="s">
        <v>34</v>
      </c>
      <c r="Q29" s="636" t="s">
        <v>20</v>
      </c>
      <c r="R29" s="637" t="s">
        <v>108</v>
      </c>
      <c r="S29" s="638"/>
      <c r="T29" s="639" t="s">
        <v>22</v>
      </c>
      <c r="U29" s="134" t="s">
        <v>82</v>
      </c>
      <c r="V29" s="121" t="s">
        <v>24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643"/>
      <c r="H30" s="644"/>
      <c r="I30" s="10"/>
      <c r="J30" s="10"/>
      <c r="K30" s="10"/>
      <c r="L30" s="10"/>
      <c r="M30" s="10"/>
      <c r="N30" s="646"/>
      <c r="O30" s="780"/>
      <c r="P30" s="135"/>
      <c r="Q30" s="647"/>
      <c r="R30" s="648"/>
      <c r="S30" s="649"/>
      <c r="T30" s="650"/>
      <c r="U30" s="646"/>
      <c r="V30" s="654"/>
      <c r="W30" s="17"/>
    </row>
    <row r="31" spans="1:23" ht="16.5" customHeight="1">
      <c r="A31" s="5"/>
      <c r="B31" s="50"/>
      <c r="C31" s="881" t="s">
        <v>222</v>
      </c>
      <c r="D31" s="655" t="s">
        <v>364</v>
      </c>
      <c r="E31" s="656" t="s">
        <v>319</v>
      </c>
      <c r="F31" s="657">
        <v>300</v>
      </c>
      <c r="G31" s="975" t="s">
        <v>311</v>
      </c>
      <c r="H31" s="659">
        <f>F31*$F$21</f>
        <v>95.7</v>
      </c>
      <c r="I31" s="661">
        <v>40063.35902777778</v>
      </c>
      <c r="J31" s="661">
        <v>40063.56527777778</v>
      </c>
      <c r="K31" s="358">
        <f>IF(D31="","",(J31-I31)*24)</f>
        <v>4.950000000069849</v>
      </c>
      <c r="L31" s="14">
        <f>IF(D31="","",(J31-I31)*24*60)</f>
        <v>297.00000000419095</v>
      </c>
      <c r="M31" s="13" t="s">
        <v>303</v>
      </c>
      <c r="N31" s="8" t="str">
        <f>IF(D31="","",IF(OR(M31="P",M31="RP"),"--","NO"))</f>
        <v>--</v>
      </c>
      <c r="O31" s="781" t="str">
        <f>IF(D31="","","NO")</f>
        <v>NO</v>
      </c>
      <c r="P31" s="662">
        <f>200*IF(O31="SI",1,0.1)*IF(M31="P",0.1,1)</f>
        <v>2</v>
      </c>
      <c r="Q31" s="663">
        <f>IF(M31="P",H31*P31*ROUND(L31/60,2),"--")</f>
        <v>947.4300000000001</v>
      </c>
      <c r="R31" s="664" t="str">
        <f>IF(AND(M31="F",N31="NO"),H31*P31,"--")</f>
        <v>--</v>
      </c>
      <c r="S31" s="665" t="str">
        <f>IF(M31="F",H31*P31*ROUND(L31/60,2),"--")</f>
        <v>--</v>
      </c>
      <c r="T31" s="440" t="str">
        <f>IF(M31="RF",H31*P31*ROUND(L31/60,2),"--")</f>
        <v>--</v>
      </c>
      <c r="U31" s="368" t="str">
        <f>IF(D31="","","SI")</f>
        <v>SI</v>
      </c>
      <c r="V31" s="369">
        <f>IF(D31="","",SUM(Q31:T31)*IF(U31="SI",1,2))</f>
        <v>947.4300000000001</v>
      </c>
      <c r="W31" s="275"/>
    </row>
    <row r="32" spans="1:23" ht="16.5" customHeight="1">
      <c r="A32" s="5"/>
      <c r="B32" s="50"/>
      <c r="C32" s="881" t="s">
        <v>223</v>
      </c>
      <c r="D32" s="655"/>
      <c r="E32" s="656"/>
      <c r="F32" s="657"/>
      <c r="G32" s="658"/>
      <c r="H32" s="659">
        <f>F32*$F$21</f>
        <v>0</v>
      </c>
      <c r="I32" s="661"/>
      <c r="J32" s="661"/>
      <c r="K32" s="358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781">
        <f>IF(D32="","","NO")</f>
      </c>
      <c r="P32" s="662">
        <f>200*IF(O32="SI",1,0.1)*IF(M32="P",0.1,1)</f>
        <v>20</v>
      </c>
      <c r="Q32" s="663" t="str">
        <f>IF(M32="P",H32*P32*ROUND(L32/60,2),"--")</f>
        <v>--</v>
      </c>
      <c r="R32" s="664" t="str">
        <f>IF(AND(M32="F",N32="NO"),H32*P32,"--")</f>
        <v>--</v>
      </c>
      <c r="S32" s="665" t="str">
        <f>IF(M32="F",H32*P32*ROUND(L32/60,2),"--")</f>
        <v>--</v>
      </c>
      <c r="T32" s="440" t="str">
        <f>IF(M32="RF",H32*P32*ROUND(L32/60,2),"--")</f>
        <v>--</v>
      </c>
      <c r="U32" s="368">
        <f>IF(D32="","","SI")</f>
      </c>
      <c r="V32" s="369">
        <f>IF(D32="","",SUM(Q32:T32)*IF(U32="SI",1,2))</f>
      </c>
      <c r="W32" s="275"/>
    </row>
    <row r="33" spans="1:23" ht="16.5" customHeight="1" thickBot="1">
      <c r="A33" s="32"/>
      <c r="B33" s="50"/>
      <c r="C33" s="669"/>
      <c r="D33" s="670"/>
      <c r="E33" s="671"/>
      <c r="F33" s="672"/>
      <c r="G33" s="673"/>
      <c r="H33" s="674"/>
      <c r="I33" s="676"/>
      <c r="J33" s="677"/>
      <c r="K33" s="678"/>
      <c r="L33" s="679"/>
      <c r="M33" s="680"/>
      <c r="N33" s="9"/>
      <c r="O33" s="782"/>
      <c r="P33" s="681"/>
      <c r="Q33" s="682"/>
      <c r="R33" s="683"/>
      <c r="S33" s="684"/>
      <c r="T33" s="685"/>
      <c r="U33" s="689"/>
      <c r="V33" s="690"/>
      <c r="W33" s="275"/>
    </row>
    <row r="34" spans="1:23" ht="16.5" customHeight="1" thickBot="1" thickTop="1">
      <c r="A34" s="32"/>
      <c r="B34" s="50"/>
      <c r="C34" s="98"/>
      <c r="D34" s="218"/>
      <c r="E34" s="218"/>
      <c r="F34" s="471"/>
      <c r="G34" s="691"/>
      <c r="H34" s="692"/>
      <c r="I34" s="693"/>
      <c r="J34" s="694"/>
      <c r="K34" s="695"/>
      <c r="L34" s="696"/>
      <c r="M34" s="692"/>
      <c r="N34" s="697"/>
      <c r="O34" s="196"/>
      <c r="P34" s="698"/>
      <c r="Q34" s="699"/>
      <c r="R34" s="700"/>
      <c r="S34" s="700"/>
      <c r="T34" s="700"/>
      <c r="U34" s="198"/>
      <c r="V34" s="701">
        <f>SUM(V30:V33)</f>
        <v>947.4300000000001</v>
      </c>
      <c r="W34" s="275"/>
    </row>
    <row r="35" spans="1:23" ht="16.5" customHeight="1" thickBot="1" thickTop="1">
      <c r="A35" s="32"/>
      <c r="B35" s="50"/>
      <c r="C35" s="98"/>
      <c r="D35" s="218"/>
      <c r="E35" s="218"/>
      <c r="F35" s="471"/>
      <c r="G35" s="691"/>
      <c r="H35" s="692"/>
      <c r="I35" s="693"/>
      <c r="L35" s="696"/>
      <c r="M35" s="692"/>
      <c r="N35" s="702"/>
      <c r="O35" s="703"/>
      <c r="P35" s="698"/>
      <c r="Q35" s="699"/>
      <c r="R35" s="700"/>
      <c r="S35" s="700"/>
      <c r="T35" s="700"/>
      <c r="U35" s="198"/>
      <c r="V35" s="198"/>
      <c r="W35" s="275"/>
    </row>
    <row r="36" spans="2:23" s="5" customFormat="1" ht="33.75" customHeight="1" thickBot="1" thickTop="1">
      <c r="B36" s="50"/>
      <c r="C36" s="84" t="s">
        <v>13</v>
      </c>
      <c r="D36" s="86" t="s">
        <v>27</v>
      </c>
      <c r="E36" s="1088" t="s">
        <v>28</v>
      </c>
      <c r="F36" s="1134"/>
      <c r="G36" s="134" t="s">
        <v>14</v>
      </c>
      <c r="H36" s="129" t="s">
        <v>16</v>
      </c>
      <c r="I36" s="85" t="s">
        <v>17</v>
      </c>
      <c r="J36" s="423" t="s">
        <v>18</v>
      </c>
      <c r="K36" s="425" t="s">
        <v>36</v>
      </c>
      <c r="L36" s="425" t="s">
        <v>31</v>
      </c>
      <c r="M36" s="88" t="s">
        <v>19</v>
      </c>
      <c r="N36" s="1088" t="s">
        <v>32</v>
      </c>
      <c r="O36" s="1133"/>
      <c r="P36" s="137" t="s">
        <v>37</v>
      </c>
      <c r="Q36" s="426" t="s">
        <v>70</v>
      </c>
      <c r="R36" s="183" t="s">
        <v>35</v>
      </c>
      <c r="S36" s="427"/>
      <c r="T36" s="136" t="s">
        <v>22</v>
      </c>
      <c r="U36" s="134" t="s">
        <v>82</v>
      </c>
      <c r="V36" s="121" t="s">
        <v>24</v>
      </c>
      <c r="W36" s="6"/>
    </row>
    <row r="37" spans="2:23" s="5" customFormat="1" ht="16.5" customHeight="1" thickTop="1">
      <c r="B37" s="50"/>
      <c r="C37" s="7"/>
      <c r="D37" s="435"/>
      <c r="E37" s="1097"/>
      <c r="F37" s="1098"/>
      <c r="G37" s="435"/>
      <c r="H37" s="436"/>
      <c r="I37" s="435"/>
      <c r="J37" s="435"/>
      <c r="K37" s="435"/>
      <c r="L37" s="435"/>
      <c r="M37" s="435"/>
      <c r="N37" s="435"/>
      <c r="O37" s="783"/>
      <c r="P37" s="437"/>
      <c r="Q37" s="438"/>
      <c r="R37" s="194"/>
      <c r="S37" s="439"/>
      <c r="T37" s="440"/>
      <c r="U37" s="435"/>
      <c r="V37" s="441"/>
      <c r="W37" s="6"/>
    </row>
    <row r="38" spans="2:23" s="5" customFormat="1" ht="16.5" customHeight="1">
      <c r="B38" s="50"/>
      <c r="C38" s="881" t="s">
        <v>222</v>
      </c>
      <c r="D38" s="435" t="s">
        <v>345</v>
      </c>
      <c r="E38" s="1097" t="s">
        <v>346</v>
      </c>
      <c r="F38" s="1098"/>
      <c r="G38" s="784">
        <v>132</v>
      </c>
      <c r="H38" s="130">
        <f>IF(G38=500,$M$19,IF(G38=220,$M$20,$M$21))</f>
        <v>51.126</v>
      </c>
      <c r="I38" s="785">
        <v>40058.376388888886</v>
      </c>
      <c r="J38" s="786">
        <v>40058.38888888889</v>
      </c>
      <c r="K38" s="445">
        <f>IF(D38="","",(J38-I38)*24)</f>
        <v>0.3000000001047738</v>
      </c>
      <c r="L38" s="446">
        <f>IF(D38="","",ROUND((J38-I38)*24*60,0))</f>
        <v>18</v>
      </c>
      <c r="M38" s="583" t="s">
        <v>303</v>
      </c>
      <c r="N38" s="519" t="str">
        <f>IF(D38="","",IF(OR(M38="P",M38="RP"),"--","NO"))</f>
        <v>--</v>
      </c>
      <c r="O38" s="496"/>
      <c r="P38" s="787">
        <f>IF(G38=500,$N$19,IF(G38=220,$N$20,$N$21))</f>
        <v>40</v>
      </c>
      <c r="Q38" s="788">
        <f>IF(M38="P",H38*P38*ROUND(L38/60,2)*0.1,"--")</f>
        <v>61.3512</v>
      </c>
      <c r="R38" s="194" t="str">
        <f>IF(AND(M38="F",N38="NO"),H38*P38,"--")</f>
        <v>--</v>
      </c>
      <c r="S38" s="439" t="str">
        <f>IF(M38="F",H38*P38*ROUND(L38/60,2),"--")</f>
        <v>--</v>
      </c>
      <c r="T38" s="440" t="str">
        <f>IF(M38="RF",H38*P38*ROUND(L38/60,2),"--")</f>
        <v>--</v>
      </c>
      <c r="U38" s="789" t="str">
        <f>IF(D38="","","SI")</f>
        <v>SI</v>
      </c>
      <c r="V38" s="447">
        <f>IF(D38="","",SUM(Q38:T38)*IF(U38="SI",1,2))</f>
        <v>61.3512</v>
      </c>
      <c r="W38" s="6"/>
    </row>
    <row r="39" spans="2:23" s="5" customFormat="1" ht="16.5" customHeight="1">
      <c r="B39" s="50"/>
      <c r="C39" s="881" t="s">
        <v>223</v>
      </c>
      <c r="D39" s="435" t="s">
        <v>347</v>
      </c>
      <c r="E39" s="1097" t="s">
        <v>348</v>
      </c>
      <c r="F39" s="1098"/>
      <c r="G39" s="784">
        <v>132</v>
      </c>
      <c r="H39" s="130">
        <f aca="true" t="shared" si="0" ref="H39:H50">IF(G39=500,$M$19,IF(G39=220,$M$20,$M$21))</f>
        <v>51.126</v>
      </c>
      <c r="I39" s="785">
        <v>40061.393055555556</v>
      </c>
      <c r="J39" s="786">
        <v>40061.53055555555</v>
      </c>
      <c r="K39" s="445">
        <f aca="true" t="shared" si="1" ref="K39:K50">IF(D39="","",(J39-I39)*24)</f>
        <v>3.299999999930151</v>
      </c>
      <c r="L39" s="446">
        <f aca="true" t="shared" si="2" ref="L39:L50">IF(D39="","",ROUND((J39-I39)*24*60,0))</f>
        <v>198</v>
      </c>
      <c r="M39" s="583" t="s">
        <v>303</v>
      </c>
      <c r="N39" s="519" t="str">
        <f aca="true" t="shared" si="3" ref="N39:N50">IF(D39="","",IF(OR(M39="P",M39="RP"),"--","NO"))</f>
        <v>--</v>
      </c>
      <c r="O39" s="496"/>
      <c r="P39" s="787">
        <f aca="true" t="shared" si="4" ref="P39:P50">IF(G39=500,$N$19,IF(G39=220,$N$20,$N$21))</f>
        <v>40</v>
      </c>
      <c r="Q39" s="788">
        <f aca="true" t="shared" si="5" ref="Q39:Q50">IF(M39="P",H39*P39*ROUND(L39/60,2)*0.1,"--")</f>
        <v>674.8632</v>
      </c>
      <c r="R39" s="194" t="str">
        <f aca="true" t="shared" si="6" ref="R39:R50">IF(AND(M39="F",N39="NO"),H39*P39,"--")</f>
        <v>--</v>
      </c>
      <c r="S39" s="439" t="str">
        <f aca="true" t="shared" si="7" ref="S39:S50">IF(M39="F",H39*P39*ROUND(L39/60,2),"--")</f>
        <v>--</v>
      </c>
      <c r="T39" s="440" t="str">
        <f aca="true" t="shared" si="8" ref="T39:T50">IF(M39="RF",H39*P39*ROUND(L39/60,2),"--")</f>
        <v>--</v>
      </c>
      <c r="U39" s="789" t="str">
        <f aca="true" t="shared" si="9" ref="U39:U50">IF(D39="","","SI")</f>
        <v>SI</v>
      </c>
      <c r="V39" s="447">
        <f aca="true" t="shared" si="10" ref="V39:V50">IF(D39="","",SUM(Q39:T39)*IF(U39="SI",1,2))</f>
        <v>674.8632</v>
      </c>
      <c r="W39" s="6"/>
    </row>
    <row r="40" spans="2:23" s="5" customFormat="1" ht="16.5" customHeight="1">
      <c r="B40" s="50"/>
      <c r="C40" s="881" t="s">
        <v>224</v>
      </c>
      <c r="D40" s="435" t="s">
        <v>349</v>
      </c>
      <c r="E40" s="1097" t="s">
        <v>350</v>
      </c>
      <c r="F40" s="1098"/>
      <c r="G40" s="784">
        <v>132</v>
      </c>
      <c r="H40" s="130">
        <f t="shared" si="0"/>
        <v>51.126</v>
      </c>
      <c r="I40" s="785">
        <v>40063.4</v>
      </c>
      <c r="J40" s="786">
        <v>40063.63611111111</v>
      </c>
      <c r="K40" s="445">
        <f t="shared" si="1"/>
        <v>5.666666666627862</v>
      </c>
      <c r="L40" s="446">
        <f t="shared" si="2"/>
        <v>340</v>
      </c>
      <c r="M40" s="583" t="s">
        <v>303</v>
      </c>
      <c r="N40" s="519" t="str">
        <f t="shared" si="3"/>
        <v>--</v>
      </c>
      <c r="O40" s="496"/>
      <c r="P40" s="787">
        <f t="shared" si="4"/>
        <v>40</v>
      </c>
      <c r="Q40" s="788">
        <f t="shared" si="5"/>
        <v>1159.5376800000001</v>
      </c>
      <c r="R40" s="194" t="str">
        <f t="shared" si="6"/>
        <v>--</v>
      </c>
      <c r="S40" s="439" t="str">
        <f t="shared" si="7"/>
        <v>--</v>
      </c>
      <c r="T40" s="440" t="str">
        <f t="shared" si="8"/>
        <v>--</v>
      </c>
      <c r="U40" s="789" t="str">
        <f t="shared" si="9"/>
        <v>SI</v>
      </c>
      <c r="V40" s="447">
        <f t="shared" si="10"/>
        <v>1159.5376800000001</v>
      </c>
      <c r="W40" s="6"/>
    </row>
    <row r="41" spans="2:23" s="5" customFormat="1" ht="16.5" customHeight="1">
      <c r="B41" s="50"/>
      <c r="C41" s="881" t="s">
        <v>225</v>
      </c>
      <c r="D41" s="435" t="s">
        <v>347</v>
      </c>
      <c r="E41" s="1097" t="s">
        <v>351</v>
      </c>
      <c r="F41" s="1098"/>
      <c r="G41" s="784">
        <v>132</v>
      </c>
      <c r="H41" s="130">
        <f t="shared" si="0"/>
        <v>51.126</v>
      </c>
      <c r="I41" s="785">
        <v>40063.45694444444</v>
      </c>
      <c r="J41" s="786">
        <v>40063.60486111111</v>
      </c>
      <c r="K41" s="445">
        <f t="shared" si="1"/>
        <v>3.550000000046566</v>
      </c>
      <c r="L41" s="446">
        <f t="shared" si="2"/>
        <v>213</v>
      </c>
      <c r="M41" s="583" t="s">
        <v>303</v>
      </c>
      <c r="N41" s="519" t="str">
        <f t="shared" si="3"/>
        <v>--</v>
      </c>
      <c r="O41" s="496"/>
      <c r="P41" s="787">
        <f t="shared" si="4"/>
        <v>40</v>
      </c>
      <c r="Q41" s="788">
        <f t="shared" si="5"/>
        <v>725.9892</v>
      </c>
      <c r="R41" s="194" t="str">
        <f t="shared" si="6"/>
        <v>--</v>
      </c>
      <c r="S41" s="439" t="str">
        <f t="shared" si="7"/>
        <v>--</v>
      </c>
      <c r="T41" s="440" t="str">
        <f t="shared" si="8"/>
        <v>--</v>
      </c>
      <c r="U41" s="789" t="str">
        <f t="shared" si="9"/>
        <v>SI</v>
      </c>
      <c r="V41" s="447">
        <f t="shared" si="10"/>
        <v>725.9892</v>
      </c>
      <c r="W41" s="6"/>
    </row>
    <row r="42" spans="2:23" s="5" customFormat="1" ht="16.5" customHeight="1">
      <c r="B42" s="50"/>
      <c r="C42" s="881" t="s">
        <v>226</v>
      </c>
      <c r="D42" s="435" t="s">
        <v>347</v>
      </c>
      <c r="E42" s="1097" t="s">
        <v>352</v>
      </c>
      <c r="F42" s="1098"/>
      <c r="G42" s="784">
        <v>132</v>
      </c>
      <c r="H42" s="130">
        <f t="shared" si="0"/>
        <v>51.126</v>
      </c>
      <c r="I42" s="785">
        <v>40073.509722222225</v>
      </c>
      <c r="J42" s="786">
        <v>40073.51736111111</v>
      </c>
      <c r="K42" s="445">
        <f t="shared" si="1"/>
        <v>0.18333333323244005</v>
      </c>
      <c r="L42" s="446">
        <f t="shared" si="2"/>
        <v>11</v>
      </c>
      <c r="M42" s="583" t="s">
        <v>303</v>
      </c>
      <c r="N42" s="519" t="str">
        <f t="shared" si="3"/>
        <v>--</v>
      </c>
      <c r="O42" s="496"/>
      <c r="P42" s="787">
        <f t="shared" si="4"/>
        <v>40</v>
      </c>
      <c r="Q42" s="788">
        <f t="shared" si="5"/>
        <v>36.810719999999996</v>
      </c>
      <c r="R42" s="194" t="str">
        <f t="shared" si="6"/>
        <v>--</v>
      </c>
      <c r="S42" s="439" t="str">
        <f t="shared" si="7"/>
        <v>--</v>
      </c>
      <c r="T42" s="440" t="str">
        <f t="shared" si="8"/>
        <v>--</v>
      </c>
      <c r="U42" s="789" t="str">
        <f t="shared" si="9"/>
        <v>SI</v>
      </c>
      <c r="V42" s="447">
        <f t="shared" si="10"/>
        <v>36.810719999999996</v>
      </c>
      <c r="W42" s="6"/>
    </row>
    <row r="43" spans="2:23" s="5" customFormat="1" ht="16.5" customHeight="1">
      <c r="B43" s="50"/>
      <c r="C43" s="881" t="s">
        <v>227</v>
      </c>
      <c r="D43" s="435" t="s">
        <v>347</v>
      </c>
      <c r="E43" s="1097" t="s">
        <v>353</v>
      </c>
      <c r="F43" s="1098"/>
      <c r="G43" s="784">
        <v>132</v>
      </c>
      <c r="H43" s="130">
        <f t="shared" si="0"/>
        <v>51.126</v>
      </c>
      <c r="I43" s="785">
        <v>40073.51180555556</v>
      </c>
      <c r="J43" s="786">
        <v>40073.51736111111</v>
      </c>
      <c r="K43" s="445">
        <f t="shared" si="1"/>
        <v>0.1333333332440816</v>
      </c>
      <c r="L43" s="446">
        <f t="shared" si="2"/>
        <v>8</v>
      </c>
      <c r="M43" s="583" t="s">
        <v>303</v>
      </c>
      <c r="N43" s="519" t="str">
        <f t="shared" si="3"/>
        <v>--</v>
      </c>
      <c r="O43" s="496"/>
      <c r="P43" s="787">
        <f t="shared" si="4"/>
        <v>40</v>
      </c>
      <c r="Q43" s="788">
        <f t="shared" si="5"/>
        <v>26.585520000000002</v>
      </c>
      <c r="R43" s="194" t="str">
        <f t="shared" si="6"/>
        <v>--</v>
      </c>
      <c r="S43" s="439" t="str">
        <f t="shared" si="7"/>
        <v>--</v>
      </c>
      <c r="T43" s="440" t="str">
        <f t="shared" si="8"/>
        <v>--</v>
      </c>
      <c r="U43" s="789" t="str">
        <f t="shared" si="9"/>
        <v>SI</v>
      </c>
      <c r="V43" s="447">
        <f t="shared" si="10"/>
        <v>26.585520000000002</v>
      </c>
      <c r="W43" s="6"/>
    </row>
    <row r="44" spans="2:23" s="5" customFormat="1" ht="16.5" customHeight="1">
      <c r="B44" s="50"/>
      <c r="C44" s="881" t="s">
        <v>228</v>
      </c>
      <c r="D44" s="435" t="s">
        <v>347</v>
      </c>
      <c r="E44" s="1097" t="s">
        <v>354</v>
      </c>
      <c r="F44" s="1098"/>
      <c r="G44" s="784">
        <v>500</v>
      </c>
      <c r="H44" s="130">
        <f t="shared" si="0"/>
        <v>63.904</v>
      </c>
      <c r="I44" s="785">
        <v>40077.32916666667</v>
      </c>
      <c r="J44" s="786">
        <v>40077.760416666664</v>
      </c>
      <c r="K44" s="445">
        <f t="shared" si="1"/>
        <v>10.349999999860302</v>
      </c>
      <c r="L44" s="446">
        <f t="shared" si="2"/>
        <v>621</v>
      </c>
      <c r="M44" s="583" t="s">
        <v>303</v>
      </c>
      <c r="N44" s="519" t="str">
        <f t="shared" si="3"/>
        <v>--</v>
      </c>
      <c r="O44" s="496"/>
      <c r="P44" s="787">
        <f t="shared" si="4"/>
        <v>200</v>
      </c>
      <c r="Q44" s="788">
        <f t="shared" si="5"/>
        <v>13228.128</v>
      </c>
      <c r="R44" s="194" t="str">
        <f t="shared" si="6"/>
        <v>--</v>
      </c>
      <c r="S44" s="439" t="str">
        <f t="shared" si="7"/>
        <v>--</v>
      </c>
      <c r="T44" s="440" t="str">
        <f t="shared" si="8"/>
        <v>--</v>
      </c>
      <c r="U44" s="789" t="str">
        <f t="shared" si="9"/>
        <v>SI</v>
      </c>
      <c r="V44" s="447">
        <f t="shared" si="10"/>
        <v>13228.128</v>
      </c>
      <c r="W44" s="6"/>
    </row>
    <row r="45" spans="2:23" s="5" customFormat="1" ht="16.5" customHeight="1">
      <c r="B45" s="50"/>
      <c r="C45" s="881" t="s">
        <v>229</v>
      </c>
      <c r="D45" s="435" t="s">
        <v>347</v>
      </c>
      <c r="E45" s="1097" t="s">
        <v>351</v>
      </c>
      <c r="F45" s="1098"/>
      <c r="G45" s="784">
        <v>132</v>
      </c>
      <c r="H45" s="130">
        <f t="shared" si="0"/>
        <v>51.126</v>
      </c>
      <c r="I45" s="785">
        <v>40079.39236111111</v>
      </c>
      <c r="J45" s="786">
        <v>40079.64027777778</v>
      </c>
      <c r="K45" s="445">
        <f t="shared" si="1"/>
        <v>5.9500000000116415</v>
      </c>
      <c r="L45" s="446">
        <f t="shared" si="2"/>
        <v>357</v>
      </c>
      <c r="M45" s="583" t="s">
        <v>303</v>
      </c>
      <c r="N45" s="519" t="str">
        <f t="shared" si="3"/>
        <v>--</v>
      </c>
      <c r="O45" s="496"/>
      <c r="P45" s="787">
        <f t="shared" si="4"/>
        <v>40</v>
      </c>
      <c r="Q45" s="788">
        <f t="shared" si="5"/>
        <v>1216.7988</v>
      </c>
      <c r="R45" s="194" t="str">
        <f t="shared" si="6"/>
        <v>--</v>
      </c>
      <c r="S45" s="439" t="str">
        <f t="shared" si="7"/>
        <v>--</v>
      </c>
      <c r="T45" s="440" t="str">
        <f t="shared" si="8"/>
        <v>--</v>
      </c>
      <c r="U45" s="789" t="str">
        <f t="shared" si="9"/>
        <v>SI</v>
      </c>
      <c r="V45" s="447">
        <f t="shared" si="10"/>
        <v>1216.7988</v>
      </c>
      <c r="W45" s="6"/>
    </row>
    <row r="46" spans="2:23" s="5" customFormat="1" ht="16.5" customHeight="1">
      <c r="B46" s="50"/>
      <c r="C46" s="881" t="s">
        <v>230</v>
      </c>
      <c r="D46" s="435" t="s">
        <v>345</v>
      </c>
      <c r="E46" s="1097" t="s">
        <v>346</v>
      </c>
      <c r="F46" s="1098"/>
      <c r="G46" s="784">
        <v>132</v>
      </c>
      <c r="H46" s="130">
        <f t="shared" si="0"/>
        <v>51.126</v>
      </c>
      <c r="I46" s="785">
        <v>40079.44027777778</v>
      </c>
      <c r="J46" s="786">
        <v>40079.45972222222</v>
      </c>
      <c r="K46" s="445">
        <f t="shared" si="1"/>
        <v>0.46666666661622</v>
      </c>
      <c r="L46" s="446">
        <f t="shared" si="2"/>
        <v>28</v>
      </c>
      <c r="M46" s="583" t="s">
        <v>303</v>
      </c>
      <c r="N46" s="519" t="str">
        <f t="shared" si="3"/>
        <v>--</v>
      </c>
      <c r="O46" s="496"/>
      <c r="P46" s="787">
        <f t="shared" si="4"/>
        <v>40</v>
      </c>
      <c r="Q46" s="788">
        <f t="shared" si="5"/>
        <v>96.11688</v>
      </c>
      <c r="R46" s="194" t="str">
        <f t="shared" si="6"/>
        <v>--</v>
      </c>
      <c r="S46" s="439" t="str">
        <f t="shared" si="7"/>
        <v>--</v>
      </c>
      <c r="T46" s="440" t="str">
        <f t="shared" si="8"/>
        <v>--</v>
      </c>
      <c r="U46" s="789" t="str">
        <f t="shared" si="9"/>
        <v>SI</v>
      </c>
      <c r="V46" s="447">
        <f t="shared" si="10"/>
        <v>96.11688</v>
      </c>
      <c r="W46" s="6"/>
    </row>
    <row r="47" spans="2:23" s="5" customFormat="1" ht="16.5" customHeight="1">
      <c r="B47" s="50"/>
      <c r="C47" s="881" t="s">
        <v>231</v>
      </c>
      <c r="D47" s="435" t="s">
        <v>347</v>
      </c>
      <c r="E47" s="1097" t="s">
        <v>348</v>
      </c>
      <c r="F47" s="1098"/>
      <c r="G47" s="784">
        <v>132</v>
      </c>
      <c r="H47" s="130">
        <f t="shared" si="0"/>
        <v>51.126</v>
      </c>
      <c r="I47" s="785">
        <v>40084.43402777778</v>
      </c>
      <c r="J47" s="786">
        <v>40084.728472222225</v>
      </c>
      <c r="K47" s="445">
        <f t="shared" si="1"/>
        <v>7.066666666651145</v>
      </c>
      <c r="L47" s="446">
        <f t="shared" si="2"/>
        <v>424</v>
      </c>
      <c r="M47" s="583" t="s">
        <v>303</v>
      </c>
      <c r="N47" s="519" t="str">
        <f t="shared" si="3"/>
        <v>--</v>
      </c>
      <c r="O47" s="496"/>
      <c r="P47" s="787">
        <f t="shared" si="4"/>
        <v>40</v>
      </c>
      <c r="Q47" s="788">
        <f t="shared" si="5"/>
        <v>1445.84328</v>
      </c>
      <c r="R47" s="194" t="str">
        <f t="shared" si="6"/>
        <v>--</v>
      </c>
      <c r="S47" s="439" t="str">
        <f t="shared" si="7"/>
        <v>--</v>
      </c>
      <c r="T47" s="440" t="str">
        <f t="shared" si="8"/>
        <v>--</v>
      </c>
      <c r="U47" s="789" t="str">
        <f t="shared" si="9"/>
        <v>SI</v>
      </c>
      <c r="V47" s="447">
        <f t="shared" si="10"/>
        <v>1445.84328</v>
      </c>
      <c r="W47" s="6"/>
    </row>
    <row r="48" spans="2:23" s="5" customFormat="1" ht="16.5" customHeight="1">
      <c r="B48" s="50"/>
      <c r="C48" s="881" t="s">
        <v>232</v>
      </c>
      <c r="D48" s="435" t="s">
        <v>347</v>
      </c>
      <c r="E48" s="1097" t="s">
        <v>355</v>
      </c>
      <c r="F48" s="1098"/>
      <c r="G48" s="784">
        <v>500</v>
      </c>
      <c r="H48" s="130">
        <f t="shared" si="0"/>
        <v>63.904</v>
      </c>
      <c r="I48" s="785">
        <v>40086.532638888886</v>
      </c>
      <c r="J48" s="786">
        <v>40086.65625</v>
      </c>
      <c r="K48" s="445">
        <f t="shared" si="1"/>
        <v>2.9666666667326353</v>
      </c>
      <c r="L48" s="446">
        <f t="shared" si="2"/>
        <v>178</v>
      </c>
      <c r="M48" s="583" t="s">
        <v>300</v>
      </c>
      <c r="N48" s="519" t="str">
        <f t="shared" si="3"/>
        <v>NO</v>
      </c>
      <c r="O48" s="496"/>
      <c r="P48" s="787">
        <f t="shared" si="4"/>
        <v>200</v>
      </c>
      <c r="Q48" s="788" t="str">
        <f t="shared" si="5"/>
        <v>--</v>
      </c>
      <c r="R48" s="194">
        <f t="shared" si="6"/>
        <v>12780.800000000001</v>
      </c>
      <c r="S48" s="439">
        <f t="shared" si="7"/>
        <v>37958.976</v>
      </c>
      <c r="T48" s="440" t="str">
        <f t="shared" si="8"/>
        <v>--</v>
      </c>
      <c r="U48" s="789" t="str">
        <f t="shared" si="9"/>
        <v>SI</v>
      </c>
      <c r="V48" s="447">
        <f t="shared" si="10"/>
        <v>50739.776000000005</v>
      </c>
      <c r="W48" s="6"/>
    </row>
    <row r="49" spans="2:23" s="5" customFormat="1" ht="16.5" customHeight="1">
      <c r="B49" s="50"/>
      <c r="C49" s="881" t="s">
        <v>233</v>
      </c>
      <c r="D49" s="435"/>
      <c r="E49" s="1097"/>
      <c r="F49" s="1098"/>
      <c r="G49" s="784"/>
      <c r="H49" s="130">
        <f t="shared" si="0"/>
        <v>51.126</v>
      </c>
      <c r="I49" s="785"/>
      <c r="J49" s="786"/>
      <c r="K49" s="445">
        <f t="shared" si="1"/>
      </c>
      <c r="L49" s="446">
        <f t="shared" si="2"/>
      </c>
      <c r="M49" s="583"/>
      <c r="N49" s="519">
        <f t="shared" si="3"/>
      </c>
      <c r="O49" s="496"/>
      <c r="P49" s="787">
        <f t="shared" si="4"/>
        <v>40</v>
      </c>
      <c r="Q49" s="788" t="str">
        <f t="shared" si="5"/>
        <v>--</v>
      </c>
      <c r="R49" s="194" t="str">
        <f t="shared" si="6"/>
        <v>--</v>
      </c>
      <c r="S49" s="439" t="str">
        <f t="shared" si="7"/>
        <v>--</v>
      </c>
      <c r="T49" s="440" t="str">
        <f t="shared" si="8"/>
        <v>--</v>
      </c>
      <c r="U49" s="789">
        <f t="shared" si="9"/>
      </c>
      <c r="V49" s="447">
        <f t="shared" si="10"/>
      </c>
      <c r="W49" s="6"/>
    </row>
    <row r="50" spans="2:23" s="5" customFormat="1" ht="16.5" customHeight="1">
      <c r="B50" s="50"/>
      <c r="C50" s="881" t="s">
        <v>234</v>
      </c>
      <c r="D50" s="435"/>
      <c r="E50" s="1097"/>
      <c r="F50" s="1098"/>
      <c r="G50" s="784"/>
      <c r="H50" s="130">
        <f t="shared" si="0"/>
        <v>51.126</v>
      </c>
      <c r="I50" s="785"/>
      <c r="J50" s="786"/>
      <c r="K50" s="445">
        <f t="shared" si="1"/>
      </c>
      <c r="L50" s="446">
        <f t="shared" si="2"/>
      </c>
      <c r="M50" s="583"/>
      <c r="N50" s="519">
        <f t="shared" si="3"/>
      </c>
      <c r="O50" s="496"/>
      <c r="P50" s="787">
        <f t="shared" si="4"/>
        <v>40</v>
      </c>
      <c r="Q50" s="788" t="str">
        <f t="shared" si="5"/>
        <v>--</v>
      </c>
      <c r="R50" s="194" t="str">
        <f t="shared" si="6"/>
        <v>--</v>
      </c>
      <c r="S50" s="439" t="str">
        <f t="shared" si="7"/>
        <v>--</v>
      </c>
      <c r="T50" s="440" t="str">
        <f t="shared" si="8"/>
        <v>--</v>
      </c>
      <c r="U50" s="789">
        <f t="shared" si="9"/>
      </c>
      <c r="V50" s="447">
        <f t="shared" si="10"/>
      </c>
      <c r="W50" s="6"/>
    </row>
    <row r="51" spans="2:28" s="5" customFormat="1" ht="16.5" customHeight="1" thickBot="1">
      <c r="B51" s="50"/>
      <c r="C51" s="669"/>
      <c r="D51" s="790"/>
      <c r="E51" s="1086"/>
      <c r="F51" s="1087"/>
      <c r="G51" s="791"/>
      <c r="H51" s="792"/>
      <c r="I51" s="793"/>
      <c r="J51" s="794"/>
      <c r="K51" s="795"/>
      <c r="L51" s="796"/>
      <c r="M51" s="797"/>
      <c r="N51" s="798"/>
      <c r="O51" s="797"/>
      <c r="P51" s="799"/>
      <c r="Q51" s="800"/>
      <c r="R51" s="801"/>
      <c r="S51" s="802"/>
      <c r="T51" s="803"/>
      <c r="U51" s="804"/>
      <c r="V51" s="805"/>
      <c r="W51" s="6"/>
      <c r="X51"/>
      <c r="Y51"/>
      <c r="Z51"/>
      <c r="AA51"/>
      <c r="AB51"/>
    </row>
    <row r="52" spans="1:23" ht="17.25" thickBot="1" thickTop="1">
      <c r="A52" s="32"/>
      <c r="B52" s="533"/>
      <c r="C52" s="536"/>
      <c r="D52" s="705"/>
      <c r="E52" s="706"/>
      <c r="F52" s="707"/>
      <c r="G52" s="708"/>
      <c r="H52" s="708"/>
      <c r="I52" s="706"/>
      <c r="J52" s="521"/>
      <c r="K52" s="521"/>
      <c r="L52" s="706"/>
      <c r="M52" s="706"/>
      <c r="N52" s="706"/>
      <c r="O52" s="709"/>
      <c r="P52" s="706"/>
      <c r="Q52" s="706"/>
      <c r="R52" s="710"/>
      <c r="S52" s="711"/>
      <c r="T52" s="711"/>
      <c r="U52" s="712"/>
      <c r="V52" s="701">
        <f>SUM(V38:V51)</f>
        <v>69411.80048</v>
      </c>
      <c r="W52" s="713"/>
    </row>
    <row r="53" spans="1:23" ht="17.25" thickBot="1" thickTop="1">
      <c r="A53" s="32"/>
      <c r="B53" s="533"/>
      <c r="C53" s="536"/>
      <c r="D53" s="705"/>
      <c r="E53" s="706"/>
      <c r="F53" s="707"/>
      <c r="G53" s="708"/>
      <c r="H53" s="708"/>
      <c r="I53" s="546" t="s">
        <v>42</v>
      </c>
      <c r="J53" s="776">
        <f>+V52+V34</f>
        <v>70359.23048</v>
      </c>
      <c r="L53" s="706"/>
      <c r="M53" s="706"/>
      <c r="N53" s="706"/>
      <c r="O53" s="709"/>
      <c r="P53" s="706"/>
      <c r="Q53" s="706"/>
      <c r="R53" s="710"/>
      <c r="S53" s="711"/>
      <c r="T53" s="711"/>
      <c r="U53" s="712"/>
      <c r="W53" s="713"/>
    </row>
    <row r="54" spans="1:23" ht="13.5" customHeight="1" thickTop="1">
      <c r="A54" s="32"/>
      <c r="B54" s="533"/>
      <c r="C54" s="536"/>
      <c r="D54" s="705"/>
      <c r="E54" s="706"/>
      <c r="F54" s="707"/>
      <c r="G54" s="708"/>
      <c r="H54" s="708"/>
      <c r="I54" s="706"/>
      <c r="J54" s="521"/>
      <c r="K54" s="521"/>
      <c r="L54" s="706"/>
      <c r="M54" s="706"/>
      <c r="N54" s="706"/>
      <c r="O54" s="709"/>
      <c r="P54" s="706"/>
      <c r="Q54" s="706"/>
      <c r="R54" s="710"/>
      <c r="S54" s="711"/>
      <c r="T54" s="711"/>
      <c r="U54" s="712"/>
      <c r="W54" s="713"/>
    </row>
    <row r="55" spans="1:23" ht="16.5" customHeight="1">
      <c r="A55" s="32"/>
      <c r="B55" s="533"/>
      <c r="C55" s="714" t="s">
        <v>109</v>
      </c>
      <c r="D55" s="715" t="s">
        <v>147</v>
      </c>
      <c r="E55" s="706"/>
      <c r="F55" s="707"/>
      <c r="G55" s="708"/>
      <c r="H55" s="708"/>
      <c r="I55" s="706"/>
      <c r="J55" s="521"/>
      <c r="K55" s="521"/>
      <c r="L55" s="706"/>
      <c r="M55" s="706"/>
      <c r="N55" s="706"/>
      <c r="O55" s="709"/>
      <c r="P55" s="706"/>
      <c r="Q55" s="706"/>
      <c r="R55" s="710"/>
      <c r="S55" s="711"/>
      <c r="T55" s="711"/>
      <c r="U55" s="712"/>
      <c r="W55" s="713"/>
    </row>
    <row r="56" spans="1:23" ht="16.5" customHeight="1">
      <c r="A56" s="32"/>
      <c r="B56" s="533"/>
      <c r="C56" s="714"/>
      <c r="D56" s="705"/>
      <c r="E56" s="706"/>
      <c r="F56" s="707"/>
      <c r="G56" s="708"/>
      <c r="H56" s="708"/>
      <c r="I56" s="706"/>
      <c r="J56" s="521"/>
      <c r="K56" s="521"/>
      <c r="L56" s="706"/>
      <c r="M56" s="706"/>
      <c r="N56" s="706"/>
      <c r="O56" s="709"/>
      <c r="P56" s="706"/>
      <c r="Q56" s="706"/>
      <c r="R56" s="706"/>
      <c r="S56" s="710"/>
      <c r="T56" s="711"/>
      <c r="W56" s="713"/>
    </row>
    <row r="57" spans="2:23" s="32" customFormat="1" ht="16.5" customHeight="1">
      <c r="B57" s="533"/>
      <c r="C57" s="536"/>
      <c r="D57" s="716" t="s">
        <v>122</v>
      </c>
      <c r="E57" s="618" t="s">
        <v>123</v>
      </c>
      <c r="F57" s="618" t="s">
        <v>43</v>
      </c>
      <c r="G57" s="717" t="s">
        <v>152</v>
      </c>
      <c r="H57"/>
      <c r="I57" s="142"/>
      <c r="J57" s="728" t="s">
        <v>61</v>
      </c>
      <c r="K57" s="728"/>
      <c r="L57" s="618" t="s">
        <v>43</v>
      </c>
      <c r="M57" t="s">
        <v>135</v>
      </c>
      <c r="O57" s="717" t="s">
        <v>154</v>
      </c>
      <c r="P57"/>
      <c r="Q57" s="721"/>
      <c r="R57" s="721"/>
      <c r="S57" s="33"/>
      <c r="T57"/>
      <c r="U57"/>
      <c r="V57"/>
      <c r="W57" s="713"/>
    </row>
    <row r="58" spans="2:23" s="32" customFormat="1" ht="16.5" customHeight="1">
      <c r="B58" s="533"/>
      <c r="C58" s="536"/>
      <c r="D58" s="147" t="s">
        <v>136</v>
      </c>
      <c r="E58" s="147">
        <v>300</v>
      </c>
      <c r="F58" s="806">
        <v>500</v>
      </c>
      <c r="G58" s="1099">
        <f>+E58*$F$20*$F$21</f>
        <v>68904</v>
      </c>
      <c r="H58" s="1099"/>
      <c r="I58" s="1099"/>
      <c r="J58" s="807" t="s">
        <v>137</v>
      </c>
      <c r="K58" s="807"/>
      <c r="L58" s="147">
        <v>500</v>
      </c>
      <c r="M58" s="147">
        <v>2</v>
      </c>
      <c r="O58" s="1099">
        <f>+M58*$F$20*$M$19</f>
        <v>92021.76000000001</v>
      </c>
      <c r="P58" s="1099"/>
      <c r="Q58" s="1099"/>
      <c r="R58" s="1099"/>
      <c r="S58" s="1099"/>
      <c r="T58" s="1099"/>
      <c r="U58" s="1099"/>
      <c r="V58"/>
      <c r="W58" s="713"/>
    </row>
    <row r="59" spans="2:23" s="32" customFormat="1" ht="16.5" customHeight="1">
      <c r="B59" s="533"/>
      <c r="C59" s="536"/>
      <c r="D59" s="147" t="s">
        <v>138</v>
      </c>
      <c r="E59" s="146">
        <v>300</v>
      </c>
      <c r="F59" s="806">
        <v>500</v>
      </c>
      <c r="G59" s="1099">
        <f>+E59*$F$20*$F$21</f>
        <v>68904</v>
      </c>
      <c r="H59" s="1099"/>
      <c r="I59" s="1099"/>
      <c r="J59" s="807" t="s">
        <v>137</v>
      </c>
      <c r="K59" s="807"/>
      <c r="L59" s="147">
        <v>132</v>
      </c>
      <c r="M59" s="147">
        <v>9</v>
      </c>
      <c r="O59" s="1099">
        <f>+M59*$F$20*$M$19</f>
        <v>414097.92000000004</v>
      </c>
      <c r="P59" s="1099"/>
      <c r="Q59" s="1099"/>
      <c r="R59" s="1099"/>
      <c r="S59" s="1099"/>
      <c r="T59" s="1099"/>
      <c r="U59" s="1099"/>
      <c r="V59"/>
      <c r="W59" s="713"/>
    </row>
    <row r="60" spans="2:23" s="32" customFormat="1" ht="16.5" customHeight="1">
      <c r="B60" s="533"/>
      <c r="C60" s="536"/>
      <c r="D60" s="145" t="s">
        <v>139</v>
      </c>
      <c r="E60" s="146">
        <v>300</v>
      </c>
      <c r="F60" s="806">
        <v>500</v>
      </c>
      <c r="G60" s="1099">
        <f>+E60*$F$20*$F$21</f>
        <v>68904</v>
      </c>
      <c r="H60" s="1099"/>
      <c r="I60" s="1099"/>
      <c r="J60" s="807" t="s">
        <v>140</v>
      </c>
      <c r="K60" s="807"/>
      <c r="L60" s="147">
        <v>132</v>
      </c>
      <c r="M60" s="147">
        <v>8</v>
      </c>
      <c r="O60" s="1099">
        <f>+M60*$F$20*$M$19</f>
        <v>368087.04000000004</v>
      </c>
      <c r="P60" s="1099"/>
      <c r="Q60" s="1099"/>
      <c r="R60" s="1099"/>
      <c r="S60" s="1099"/>
      <c r="T60" s="1099"/>
      <c r="U60" s="1099"/>
      <c r="V60"/>
      <c r="W60" s="713"/>
    </row>
    <row r="61" spans="1:23" ht="16.5" customHeight="1">
      <c r="A61" s="32"/>
      <c r="B61" s="533"/>
      <c r="C61" s="536"/>
      <c r="D61" s="145" t="s">
        <v>141</v>
      </c>
      <c r="E61" s="146">
        <v>300</v>
      </c>
      <c r="F61" s="806">
        <v>500</v>
      </c>
      <c r="G61" s="1099">
        <f>+E61*$F$20*$F$21</f>
        <v>68904</v>
      </c>
      <c r="H61" s="1099"/>
      <c r="I61" s="1099"/>
      <c r="J61" s="807" t="s">
        <v>142</v>
      </c>
      <c r="K61" s="807"/>
      <c r="L61" s="147">
        <v>132</v>
      </c>
      <c r="M61" s="147">
        <v>5</v>
      </c>
      <c r="O61" s="1100">
        <f>+M61*$F$20*$M$19</f>
        <v>230054.40000000002</v>
      </c>
      <c r="P61" s="1100"/>
      <c r="Q61" s="1100"/>
      <c r="R61" s="1100"/>
      <c r="S61" s="1100"/>
      <c r="T61" s="1100"/>
      <c r="U61" s="1100"/>
      <c r="W61" s="713"/>
    </row>
    <row r="62" spans="1:23" ht="16.5" customHeight="1">
      <c r="A62" s="32"/>
      <c r="B62" s="533"/>
      <c r="C62" s="536"/>
      <c r="D62" s="145" t="s">
        <v>261</v>
      </c>
      <c r="E62" s="146">
        <v>600</v>
      </c>
      <c r="F62" s="806">
        <v>500</v>
      </c>
      <c r="G62" s="1100">
        <f>+E62*$F$20*$F$21</f>
        <v>137808</v>
      </c>
      <c r="H62" s="1100"/>
      <c r="I62" s="1100"/>
      <c r="M62" s="147"/>
      <c r="O62" s="1099">
        <f>SUM(O58:P61)</f>
        <v>1104261.12</v>
      </c>
      <c r="P62" s="1099"/>
      <c r="Q62" s="1099"/>
      <c r="R62" s="1099"/>
      <c r="S62" s="1099"/>
      <c r="T62" s="1099"/>
      <c r="U62" s="1099"/>
      <c r="W62" s="713"/>
    </row>
    <row r="63" spans="1:23" ht="16.5" customHeight="1">
      <c r="A63" s="32"/>
      <c r="B63" s="533"/>
      <c r="C63" s="536"/>
      <c r="D63" s="145"/>
      <c r="E63" s="146"/>
      <c r="F63" s="806"/>
      <c r="G63" s="1099">
        <f>SUM(G58:G62)</f>
        <v>413424</v>
      </c>
      <c r="H63" s="1099"/>
      <c r="I63" s="1099"/>
      <c r="M63" s="147"/>
      <c r="N63" s="142"/>
      <c r="O63" s="142"/>
      <c r="P63" s="757"/>
      <c r="Q63" s="757"/>
      <c r="R63" s="757"/>
      <c r="S63" s="757"/>
      <c r="W63" s="713"/>
    </row>
    <row r="64" spans="1:23" ht="16.5" customHeight="1" thickBot="1">
      <c r="A64" s="32"/>
      <c r="B64" s="533"/>
      <c r="C64" s="536"/>
      <c r="D64" s="1082" t="s">
        <v>392</v>
      </c>
      <c r="E64" s="146" t="s">
        <v>393</v>
      </c>
      <c r="F64" s="1083">
        <v>5176</v>
      </c>
      <c r="G64" s="1081" t="s">
        <v>394</v>
      </c>
      <c r="I64" s="719"/>
      <c r="J64" s="717"/>
      <c r="L64" s="718"/>
      <c r="M64" s="719"/>
      <c r="N64" s="720"/>
      <c r="O64" s="721"/>
      <c r="P64" s="721"/>
      <c r="Q64" s="721"/>
      <c r="R64" s="721"/>
      <c r="S64" s="721"/>
      <c r="W64" s="713"/>
    </row>
    <row r="65" spans="1:23" ht="16.5" customHeight="1" thickBot="1" thickTop="1">
      <c r="A65" s="32"/>
      <c r="B65" s="533"/>
      <c r="C65" s="536"/>
      <c r="D65" s="618"/>
      <c r="E65" s="760"/>
      <c r="F65" s="760"/>
      <c r="G65" s="723"/>
      <c r="H65" s="174"/>
      <c r="I65" s="546" t="s">
        <v>44</v>
      </c>
      <c r="J65" s="776">
        <f>+G63+O62+F64</f>
        <v>1522861.12</v>
      </c>
      <c r="L65" s="725"/>
      <c r="M65" s="174"/>
      <c r="N65" s="979"/>
      <c r="O65" s="1084"/>
      <c r="P65" s="1084"/>
      <c r="Q65" s="1084"/>
      <c r="R65" s="1084"/>
      <c r="S65" s="1084"/>
      <c r="T65" s="1084"/>
      <c r="U65" s="1085"/>
      <c r="W65" s="713"/>
    </row>
    <row r="66" spans="1:23" ht="16.5" customHeight="1" thickTop="1">
      <c r="A66" s="32"/>
      <c r="B66" s="533"/>
      <c r="C66" s="536"/>
      <c r="D66" s="521"/>
      <c r="E66" s="541"/>
      <c r="F66" s="618"/>
      <c r="G66" s="618"/>
      <c r="H66" s="619"/>
      <c r="J66" s="618"/>
      <c r="L66" s="731"/>
      <c r="M66" s="720"/>
      <c r="N66" s="720"/>
      <c r="O66" s="721"/>
      <c r="P66" s="721"/>
      <c r="Q66" s="721"/>
      <c r="R66" s="721"/>
      <c r="S66" s="721"/>
      <c r="W66" s="713"/>
    </row>
    <row r="67" spans="2:23" ht="16.5" customHeight="1">
      <c r="B67" s="533"/>
      <c r="C67" s="714" t="s">
        <v>111</v>
      </c>
      <c r="D67" s="732" t="s">
        <v>112</v>
      </c>
      <c r="E67" s="618"/>
      <c r="F67" s="733"/>
      <c r="G67" s="617"/>
      <c r="H67" s="521"/>
      <c r="I67" s="521"/>
      <c r="J67" s="521"/>
      <c r="K67" s="618"/>
      <c r="L67" s="618"/>
      <c r="M67" s="521"/>
      <c r="N67" s="618"/>
      <c r="O67" s="521"/>
      <c r="P67" s="521"/>
      <c r="Q67" s="521"/>
      <c r="R67" s="521"/>
      <c r="S67" s="521"/>
      <c r="T67" s="521"/>
      <c r="U67" s="521"/>
      <c r="W67" s="713"/>
    </row>
    <row r="68" spans="2:23" s="32" customFormat="1" ht="16.5" customHeight="1">
      <c r="B68" s="533"/>
      <c r="C68" s="536"/>
      <c r="D68" s="716" t="s">
        <v>113</v>
      </c>
      <c r="E68" s="734">
        <f>10*J53*J25/J65</f>
        <v>5571.764921779906</v>
      </c>
      <c r="G68" s="617"/>
      <c r="L68" s="618"/>
      <c r="N68" s="618"/>
      <c r="O68" s="619"/>
      <c r="V68"/>
      <c r="W68" s="713"/>
    </row>
    <row r="69" spans="2:23" s="32" customFormat="1" ht="12.75" customHeight="1">
      <c r="B69" s="533"/>
      <c r="C69" s="536"/>
      <c r="E69" s="735"/>
      <c r="F69" s="545"/>
      <c r="G69" s="617"/>
      <c r="J69" s="617"/>
      <c r="K69" s="632"/>
      <c r="L69" s="618"/>
      <c r="M69" s="618"/>
      <c r="N69" s="618"/>
      <c r="O69" s="619"/>
      <c r="P69" s="618"/>
      <c r="Q69" s="618"/>
      <c r="R69" s="631"/>
      <c r="S69" s="631"/>
      <c r="T69" s="631"/>
      <c r="U69" s="736"/>
      <c r="V69"/>
      <c r="W69" s="713"/>
    </row>
    <row r="70" spans="2:23" ht="16.5" customHeight="1">
      <c r="B70" s="533"/>
      <c r="C70" s="536"/>
      <c r="D70" s="737" t="s">
        <v>143</v>
      </c>
      <c r="E70" s="738"/>
      <c r="F70" s="545"/>
      <c r="G70" s="617"/>
      <c r="H70" s="521"/>
      <c r="I70" s="521"/>
      <c r="N70" s="618"/>
      <c r="O70" s="619"/>
      <c r="P70" s="618"/>
      <c r="Q70" s="618"/>
      <c r="R70" s="719"/>
      <c r="S70" s="719"/>
      <c r="T70" s="719"/>
      <c r="U70" s="720"/>
      <c r="W70" s="713"/>
    </row>
    <row r="71" spans="2:23" ht="13.5" customHeight="1" thickBot="1">
      <c r="B71" s="533"/>
      <c r="C71" s="536"/>
      <c r="D71" s="737"/>
      <c r="E71" s="738"/>
      <c r="F71" s="545"/>
      <c r="G71" s="617"/>
      <c r="H71" s="521"/>
      <c r="I71" s="521"/>
      <c r="N71" s="618"/>
      <c r="O71" s="619"/>
      <c r="P71" s="618"/>
      <c r="Q71" s="618"/>
      <c r="R71" s="719"/>
      <c r="S71" s="719"/>
      <c r="T71" s="719"/>
      <c r="U71" s="720"/>
      <c r="W71" s="713"/>
    </row>
    <row r="72" spans="2:23" s="739" customFormat="1" ht="21" thickBot="1" thickTop="1">
      <c r="B72" s="740"/>
      <c r="C72" s="741"/>
      <c r="D72" s="742"/>
      <c r="E72" s="743"/>
      <c r="F72" s="744"/>
      <c r="G72" s="745"/>
      <c r="I72" s="746" t="s">
        <v>114</v>
      </c>
      <c r="J72" s="747">
        <f>IF(E68&gt;3*J25,J25*3,E68)</f>
        <v>5571.764921779906</v>
      </c>
      <c r="M72" s="748"/>
      <c r="N72" s="748"/>
      <c r="O72" s="749"/>
      <c r="P72" s="748"/>
      <c r="Q72" s="748"/>
      <c r="R72" s="750"/>
      <c r="S72" s="750"/>
      <c r="T72" s="750"/>
      <c r="U72" s="751"/>
      <c r="V72"/>
      <c r="W72" s="752"/>
    </row>
    <row r="73" spans="2:23" ht="16.5" customHeight="1" thickBot="1" thickTop="1">
      <c r="B73" s="5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199"/>
      <c r="W73" s="753"/>
    </row>
    <row r="74" spans="2:23" ht="16.5" customHeight="1" thickTop="1">
      <c r="B74" s="1"/>
      <c r="C74" s="73"/>
      <c r="W74" s="1"/>
    </row>
  </sheetData>
  <sheetProtection password="CC12"/>
  <mergeCells count="29">
    <mergeCell ref="O65:U65"/>
    <mergeCell ref="O58:U58"/>
    <mergeCell ref="E51:F51"/>
    <mergeCell ref="N36:O36"/>
    <mergeCell ref="E36:F36"/>
    <mergeCell ref="E37:F37"/>
    <mergeCell ref="E38:F38"/>
    <mergeCell ref="E39:F39"/>
    <mergeCell ref="E40:F40"/>
    <mergeCell ref="E41:F41"/>
    <mergeCell ref="E42:F42"/>
    <mergeCell ref="O61:U61"/>
    <mergeCell ref="O62:U62"/>
    <mergeCell ref="O59:U59"/>
    <mergeCell ref="O60:U60"/>
    <mergeCell ref="G62:I62"/>
    <mergeCell ref="E43:F43"/>
    <mergeCell ref="E44:F44"/>
    <mergeCell ref="E45:F45"/>
    <mergeCell ref="E46:F46"/>
    <mergeCell ref="G63:I63"/>
    <mergeCell ref="G58:I58"/>
    <mergeCell ref="G59:I59"/>
    <mergeCell ref="G60:I60"/>
    <mergeCell ref="G61:I61"/>
    <mergeCell ref="E47:F47"/>
    <mergeCell ref="E48:F48"/>
    <mergeCell ref="E49:F49"/>
    <mergeCell ref="E50:F50"/>
  </mergeCells>
  <printOptions horizontalCentered="1"/>
  <pageMargins left="0.3937007874015748" right="0.1968503937007874" top="0.3" bottom="0.4" header="0.2" footer="0.18"/>
  <pageSetup fitToHeight="1" fitToWidth="1" orientation="landscape" paperSize="9" scale="44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A10" sqref="A10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980"/>
      <c r="V1" s="981"/>
    </row>
    <row r="2" spans="2:22" s="18" customFormat="1" ht="26.25">
      <c r="B2" s="461" t="str">
        <f>'TOT-0909'!B2</f>
        <v>ANEXO IV al Memorandum  D.T.E.E. N° 256/2011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982"/>
    </row>
    <row r="3" spans="1:22" s="25" customFormat="1" ht="11.25">
      <c r="A3" s="23" t="s">
        <v>2</v>
      </c>
      <c r="B3" s="124"/>
      <c r="U3" s="983"/>
      <c r="V3" s="983"/>
    </row>
    <row r="4" spans="1:22" s="25" customFormat="1" ht="11.25">
      <c r="A4" s="23" t="s">
        <v>3</v>
      </c>
      <c r="B4" s="124"/>
      <c r="U4" s="124"/>
      <c r="V4" s="983"/>
    </row>
    <row r="5" spans="21:22" ht="9.75" customHeight="1">
      <c r="U5" s="22"/>
      <c r="V5" s="981"/>
    </row>
    <row r="6" spans="2:178" s="984" customFormat="1" ht="23.25">
      <c r="B6" s="520" t="s">
        <v>379</v>
      </c>
      <c r="C6" s="520"/>
      <c r="D6" s="985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986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0"/>
      <c r="BW6" s="520"/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0"/>
      <c r="CO6" s="520"/>
      <c r="CP6" s="520"/>
      <c r="CQ6" s="520"/>
      <c r="CR6" s="520"/>
      <c r="CS6" s="520"/>
      <c r="CT6" s="520"/>
      <c r="CU6" s="520"/>
      <c r="CV6" s="520"/>
      <c r="CW6" s="520"/>
      <c r="CX6" s="520"/>
      <c r="CY6" s="520"/>
      <c r="CZ6" s="520"/>
      <c r="DA6" s="520"/>
      <c r="DB6" s="520"/>
      <c r="DC6" s="520"/>
      <c r="DD6" s="520"/>
      <c r="DE6" s="520"/>
      <c r="DF6" s="520"/>
      <c r="DG6" s="520"/>
      <c r="DH6" s="520"/>
      <c r="DI6" s="520"/>
      <c r="DJ6" s="520"/>
      <c r="DK6" s="520"/>
      <c r="DL6" s="520"/>
      <c r="DM6" s="520"/>
      <c r="DN6" s="520"/>
      <c r="DO6" s="520"/>
      <c r="DP6" s="520"/>
      <c r="DQ6" s="520"/>
      <c r="DR6" s="520"/>
      <c r="DS6" s="520"/>
      <c r="DT6" s="520"/>
      <c r="DU6" s="520"/>
      <c r="DV6" s="520"/>
      <c r="DW6" s="520"/>
      <c r="DX6" s="520"/>
      <c r="DY6" s="520"/>
      <c r="DZ6" s="520"/>
      <c r="EA6" s="520"/>
      <c r="EB6" s="520"/>
      <c r="EC6" s="520"/>
      <c r="ED6" s="520"/>
      <c r="EE6" s="520"/>
      <c r="EF6" s="520"/>
      <c r="EG6" s="520"/>
      <c r="EH6" s="520"/>
      <c r="EI6" s="520"/>
      <c r="EJ6" s="520"/>
      <c r="EK6" s="520"/>
      <c r="EL6" s="520"/>
      <c r="EM6" s="520"/>
      <c r="EN6" s="520"/>
      <c r="EO6" s="520"/>
      <c r="EP6" s="520"/>
      <c r="EQ6" s="520"/>
      <c r="ER6" s="520"/>
      <c r="ES6" s="520"/>
      <c r="ET6" s="520"/>
      <c r="EU6" s="520"/>
      <c r="EV6" s="520"/>
      <c r="EW6" s="520"/>
      <c r="EX6" s="520"/>
      <c r="EY6" s="520"/>
      <c r="EZ6" s="520"/>
      <c r="FA6" s="520"/>
      <c r="FB6" s="520"/>
      <c r="FC6" s="520"/>
      <c r="FD6" s="520"/>
      <c r="FE6" s="520"/>
      <c r="FF6" s="520"/>
      <c r="FG6" s="520"/>
      <c r="FH6" s="520"/>
      <c r="FI6" s="520"/>
      <c r="FJ6" s="520"/>
      <c r="FK6" s="520"/>
      <c r="FL6" s="520"/>
      <c r="FM6" s="520"/>
      <c r="FN6" s="520"/>
      <c r="FO6" s="520"/>
      <c r="FP6" s="520"/>
      <c r="FQ6" s="520"/>
      <c r="FR6" s="520"/>
      <c r="FS6" s="520"/>
      <c r="FT6" s="520"/>
      <c r="FU6" s="520"/>
      <c r="FV6" s="520"/>
    </row>
    <row r="7" spans="2:178" s="32" customFormat="1" ht="9.75" customHeight="1"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929"/>
      <c r="V7" s="929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  <c r="AX7" s="728"/>
      <c r="AY7" s="728"/>
      <c r="AZ7" s="728"/>
      <c r="BA7" s="728"/>
      <c r="BB7" s="728"/>
      <c r="BC7" s="728"/>
      <c r="BD7" s="728"/>
      <c r="BE7" s="728"/>
      <c r="BF7" s="728"/>
      <c r="BG7" s="728"/>
      <c r="BH7" s="728"/>
      <c r="BI7" s="728"/>
      <c r="BJ7" s="728"/>
      <c r="BK7" s="728"/>
      <c r="BL7" s="728"/>
      <c r="BM7" s="728"/>
      <c r="BN7" s="728"/>
      <c r="BO7" s="728"/>
      <c r="BP7" s="728"/>
      <c r="BQ7" s="728"/>
      <c r="BR7" s="728"/>
      <c r="BS7" s="728"/>
      <c r="BT7" s="728"/>
      <c r="BU7" s="728"/>
      <c r="BV7" s="728"/>
      <c r="BW7" s="728"/>
      <c r="BX7" s="728"/>
      <c r="BY7" s="728"/>
      <c r="BZ7" s="728"/>
      <c r="CA7" s="728"/>
      <c r="CB7" s="728"/>
      <c r="CC7" s="728"/>
      <c r="CD7" s="728"/>
      <c r="CE7" s="728"/>
      <c r="CF7" s="728"/>
      <c r="CG7" s="728"/>
      <c r="CH7" s="728"/>
      <c r="CI7" s="728"/>
      <c r="CJ7" s="728"/>
      <c r="CK7" s="728"/>
      <c r="CL7" s="728"/>
      <c r="CM7" s="728"/>
      <c r="CN7" s="728"/>
      <c r="CO7" s="728"/>
      <c r="CP7" s="728"/>
      <c r="CQ7" s="728"/>
      <c r="CR7" s="728"/>
      <c r="CS7" s="728"/>
      <c r="CT7" s="728"/>
      <c r="CU7" s="728"/>
      <c r="CV7" s="728"/>
      <c r="CW7" s="728"/>
      <c r="CX7" s="728"/>
      <c r="CY7" s="728"/>
      <c r="CZ7" s="728"/>
      <c r="DA7" s="728"/>
      <c r="DB7" s="728"/>
      <c r="DC7" s="728"/>
      <c r="DD7" s="728"/>
      <c r="DE7" s="728"/>
      <c r="DF7" s="728"/>
      <c r="DG7" s="728"/>
      <c r="DH7" s="728"/>
      <c r="DI7" s="728"/>
      <c r="DJ7" s="728"/>
      <c r="DK7" s="728"/>
      <c r="DL7" s="728"/>
      <c r="DM7" s="728"/>
      <c r="DN7" s="728"/>
      <c r="DO7" s="728"/>
      <c r="DP7" s="728"/>
      <c r="DQ7" s="728"/>
      <c r="DR7" s="728"/>
      <c r="DS7" s="728"/>
      <c r="DT7" s="728"/>
      <c r="DU7" s="728"/>
      <c r="DV7" s="728"/>
      <c r="DW7" s="728"/>
      <c r="DX7" s="728"/>
      <c r="DY7" s="728"/>
      <c r="DZ7" s="728"/>
      <c r="EA7" s="728"/>
      <c r="EB7" s="728"/>
      <c r="EC7" s="728"/>
      <c r="ED7" s="728"/>
      <c r="EE7" s="728"/>
      <c r="EF7" s="728"/>
      <c r="EG7" s="728"/>
      <c r="EH7" s="728"/>
      <c r="EI7" s="728"/>
      <c r="EJ7" s="728"/>
      <c r="EK7" s="728"/>
      <c r="EL7" s="728"/>
      <c r="EM7" s="728"/>
      <c r="EN7" s="728"/>
      <c r="EO7" s="728"/>
      <c r="EP7" s="728"/>
      <c r="EQ7" s="728"/>
      <c r="ER7" s="728"/>
      <c r="ES7" s="728"/>
      <c r="ET7" s="728"/>
      <c r="EU7" s="728"/>
      <c r="EV7" s="728"/>
      <c r="EW7" s="728"/>
      <c r="EX7" s="728"/>
      <c r="EY7" s="728"/>
      <c r="EZ7" s="728"/>
      <c r="FA7" s="728"/>
      <c r="FB7" s="728"/>
      <c r="FC7" s="728"/>
      <c r="FD7" s="728"/>
      <c r="FE7" s="728"/>
      <c r="FF7" s="728"/>
      <c r="FG7" s="728"/>
      <c r="FH7" s="728"/>
      <c r="FI7" s="728"/>
      <c r="FJ7" s="728"/>
      <c r="FK7" s="728"/>
      <c r="FL7" s="728"/>
      <c r="FM7" s="728"/>
      <c r="FN7" s="728"/>
      <c r="FO7" s="728"/>
      <c r="FP7" s="728"/>
      <c r="FQ7" s="728"/>
      <c r="FR7" s="728"/>
      <c r="FS7" s="728"/>
      <c r="FT7" s="728"/>
      <c r="FU7" s="728"/>
      <c r="FV7" s="728"/>
    </row>
    <row r="8" spans="2:178" s="987" customFormat="1" ht="23.25">
      <c r="B8" s="520" t="s">
        <v>62</v>
      </c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8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85"/>
      <c r="BK8" s="985"/>
      <c r="BL8" s="985"/>
      <c r="BM8" s="985"/>
      <c r="BN8" s="985"/>
      <c r="BO8" s="985"/>
      <c r="BP8" s="985"/>
      <c r="BQ8" s="985"/>
      <c r="BR8" s="985"/>
      <c r="BS8" s="985"/>
      <c r="BT8" s="985"/>
      <c r="BU8" s="985"/>
      <c r="BV8" s="985"/>
      <c r="BW8" s="985"/>
      <c r="BX8" s="985"/>
      <c r="BY8" s="985"/>
      <c r="BZ8" s="985"/>
      <c r="CA8" s="985"/>
      <c r="CB8" s="985"/>
      <c r="CC8" s="985"/>
      <c r="CD8" s="985"/>
      <c r="CE8" s="985"/>
      <c r="CF8" s="985"/>
      <c r="CG8" s="985"/>
      <c r="CH8" s="985"/>
      <c r="CI8" s="985"/>
      <c r="CJ8" s="985"/>
      <c r="CK8" s="985"/>
      <c r="CL8" s="985"/>
      <c r="CM8" s="985"/>
      <c r="CN8" s="985"/>
      <c r="CO8" s="985"/>
      <c r="CP8" s="985"/>
      <c r="CQ8" s="985"/>
      <c r="CR8" s="985"/>
      <c r="CS8" s="985"/>
      <c r="CT8" s="985"/>
      <c r="CU8" s="985"/>
      <c r="CV8" s="985"/>
      <c r="CW8" s="985"/>
      <c r="CX8" s="985"/>
      <c r="CY8" s="985"/>
      <c r="CZ8" s="985"/>
      <c r="DA8" s="985"/>
      <c r="DB8" s="985"/>
      <c r="DC8" s="985"/>
      <c r="DD8" s="985"/>
      <c r="DE8" s="985"/>
      <c r="DF8" s="985"/>
      <c r="DG8" s="985"/>
      <c r="DH8" s="985"/>
      <c r="DI8" s="985"/>
      <c r="DJ8" s="985"/>
      <c r="DK8" s="985"/>
      <c r="DL8" s="985"/>
      <c r="DM8" s="985"/>
      <c r="DN8" s="985"/>
      <c r="DO8" s="985"/>
      <c r="DP8" s="985"/>
      <c r="DQ8" s="985"/>
      <c r="DR8" s="985"/>
      <c r="DS8" s="985"/>
      <c r="DT8" s="985"/>
      <c r="DU8" s="985"/>
      <c r="DV8" s="985"/>
      <c r="DW8" s="985"/>
      <c r="DX8" s="985"/>
      <c r="DY8" s="985"/>
      <c r="DZ8" s="985"/>
      <c r="EA8" s="985"/>
      <c r="EB8" s="985"/>
      <c r="EC8" s="985"/>
      <c r="ED8" s="985"/>
      <c r="EE8" s="985"/>
      <c r="EF8" s="985"/>
      <c r="EG8" s="985"/>
      <c r="EH8" s="985"/>
      <c r="EI8" s="985"/>
      <c r="EJ8" s="985"/>
      <c r="EK8" s="985"/>
      <c r="EL8" s="985"/>
      <c r="EM8" s="985"/>
      <c r="EN8" s="985"/>
      <c r="EO8" s="985"/>
      <c r="EP8" s="985"/>
      <c r="EQ8" s="985"/>
      <c r="ER8" s="985"/>
      <c r="ES8" s="985"/>
      <c r="ET8" s="985"/>
      <c r="EU8" s="985"/>
      <c r="EV8" s="985"/>
      <c r="EW8" s="985"/>
      <c r="EX8" s="985"/>
      <c r="EY8" s="985"/>
      <c r="EZ8" s="985"/>
      <c r="FA8" s="985"/>
      <c r="FB8" s="985"/>
      <c r="FC8" s="985"/>
      <c r="FD8" s="985"/>
      <c r="FE8" s="985"/>
      <c r="FF8" s="985"/>
      <c r="FG8" s="985"/>
      <c r="FH8" s="985"/>
      <c r="FI8" s="985"/>
      <c r="FJ8" s="985"/>
      <c r="FK8" s="985"/>
      <c r="FL8" s="985"/>
      <c r="FM8" s="985"/>
      <c r="FN8" s="985"/>
      <c r="FO8" s="985"/>
      <c r="FP8" s="985"/>
      <c r="FQ8" s="985"/>
      <c r="FR8" s="985"/>
      <c r="FS8" s="985"/>
      <c r="FT8" s="985"/>
      <c r="FU8" s="985"/>
      <c r="FV8" s="985"/>
    </row>
    <row r="9" spans="2:178" s="32" customFormat="1" ht="9.75" customHeight="1"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8"/>
      <c r="Q9" s="728"/>
      <c r="R9" s="728"/>
      <c r="S9" s="728"/>
      <c r="T9" s="728"/>
      <c r="U9" s="929"/>
      <c r="V9" s="929"/>
      <c r="W9" s="728"/>
      <c r="X9" s="728"/>
      <c r="Y9" s="728"/>
      <c r="Z9" s="728"/>
      <c r="AA9" s="728"/>
      <c r="AB9" s="728"/>
      <c r="AC9" s="728"/>
      <c r="AD9" s="728"/>
      <c r="AE9" s="728"/>
      <c r="AF9" s="728"/>
      <c r="AG9" s="728"/>
      <c r="AH9" s="728"/>
      <c r="AI9" s="728"/>
      <c r="AJ9" s="728"/>
      <c r="AK9" s="728"/>
      <c r="AL9" s="728"/>
      <c r="AM9" s="728"/>
      <c r="AN9" s="728"/>
      <c r="AO9" s="728"/>
      <c r="AP9" s="728"/>
      <c r="AQ9" s="728"/>
      <c r="AR9" s="728"/>
      <c r="AS9" s="728"/>
      <c r="AT9" s="728"/>
      <c r="AU9" s="728"/>
      <c r="AV9" s="728"/>
      <c r="AW9" s="728"/>
      <c r="AX9" s="728"/>
      <c r="AY9" s="728"/>
      <c r="AZ9" s="728"/>
      <c r="BA9" s="728"/>
      <c r="BB9" s="728"/>
      <c r="BC9" s="728"/>
      <c r="BD9" s="728"/>
      <c r="BE9" s="728"/>
      <c r="BF9" s="728"/>
      <c r="BG9" s="728"/>
      <c r="BH9" s="728"/>
      <c r="BI9" s="728"/>
      <c r="BJ9" s="728"/>
      <c r="BK9" s="728"/>
      <c r="BL9" s="728"/>
      <c r="BM9" s="728"/>
      <c r="BN9" s="728"/>
      <c r="BO9" s="728"/>
      <c r="BP9" s="728"/>
      <c r="BQ9" s="728"/>
      <c r="BR9" s="728"/>
      <c r="BS9" s="728"/>
      <c r="BT9" s="728"/>
      <c r="BU9" s="728"/>
      <c r="BV9" s="728"/>
      <c r="BW9" s="728"/>
      <c r="BX9" s="728"/>
      <c r="BY9" s="728"/>
      <c r="BZ9" s="728"/>
      <c r="CA9" s="728"/>
      <c r="CB9" s="728"/>
      <c r="CC9" s="728"/>
      <c r="CD9" s="728"/>
      <c r="CE9" s="728"/>
      <c r="CF9" s="728"/>
      <c r="CG9" s="728"/>
      <c r="CH9" s="728"/>
      <c r="CI9" s="728"/>
      <c r="CJ9" s="728"/>
      <c r="CK9" s="728"/>
      <c r="CL9" s="728"/>
      <c r="CM9" s="728"/>
      <c r="CN9" s="728"/>
      <c r="CO9" s="728"/>
      <c r="CP9" s="728"/>
      <c r="CQ9" s="728"/>
      <c r="CR9" s="728"/>
      <c r="CS9" s="728"/>
      <c r="CT9" s="728"/>
      <c r="CU9" s="728"/>
      <c r="CV9" s="728"/>
      <c r="CW9" s="728"/>
      <c r="CX9" s="728"/>
      <c r="CY9" s="728"/>
      <c r="CZ9" s="728"/>
      <c r="DA9" s="728"/>
      <c r="DB9" s="728"/>
      <c r="DC9" s="728"/>
      <c r="DD9" s="728"/>
      <c r="DE9" s="728"/>
      <c r="DF9" s="728"/>
      <c r="DG9" s="728"/>
      <c r="DH9" s="728"/>
      <c r="DI9" s="728"/>
      <c r="DJ9" s="728"/>
      <c r="DK9" s="728"/>
      <c r="DL9" s="728"/>
      <c r="DM9" s="728"/>
      <c r="DN9" s="728"/>
      <c r="DO9" s="728"/>
      <c r="DP9" s="728"/>
      <c r="DQ9" s="728"/>
      <c r="DR9" s="728"/>
      <c r="DS9" s="728"/>
      <c r="DT9" s="728"/>
      <c r="DU9" s="728"/>
      <c r="DV9" s="728"/>
      <c r="DW9" s="728"/>
      <c r="DX9" s="728"/>
      <c r="DY9" s="728"/>
      <c r="DZ9" s="728"/>
      <c r="EA9" s="728"/>
      <c r="EB9" s="728"/>
      <c r="EC9" s="728"/>
      <c r="ED9" s="728"/>
      <c r="EE9" s="728"/>
      <c r="EF9" s="728"/>
      <c r="EG9" s="728"/>
      <c r="EH9" s="728"/>
      <c r="EI9" s="728"/>
      <c r="EJ9" s="728"/>
      <c r="EK9" s="728"/>
      <c r="EL9" s="728"/>
      <c r="EM9" s="728"/>
      <c r="EN9" s="728"/>
      <c r="EO9" s="728"/>
      <c r="EP9" s="728"/>
      <c r="EQ9" s="728"/>
      <c r="ER9" s="728"/>
      <c r="ES9" s="728"/>
      <c r="ET9" s="728"/>
      <c r="EU9" s="728"/>
      <c r="EV9" s="728"/>
      <c r="EW9" s="728"/>
      <c r="EX9" s="728"/>
      <c r="EY9" s="728"/>
      <c r="EZ9" s="728"/>
      <c r="FA9" s="728"/>
      <c r="FB9" s="728"/>
      <c r="FC9" s="728"/>
      <c r="FD9" s="728"/>
      <c r="FE9" s="728"/>
      <c r="FF9" s="728"/>
      <c r="FG9" s="728"/>
      <c r="FH9" s="728"/>
      <c r="FI9" s="728"/>
      <c r="FJ9" s="728"/>
      <c r="FK9" s="728"/>
      <c r="FL9" s="728"/>
      <c r="FM9" s="728"/>
      <c r="FN9" s="728"/>
      <c r="FO9" s="728"/>
      <c r="FP9" s="728"/>
      <c r="FQ9" s="728"/>
      <c r="FR9" s="728"/>
      <c r="FS9" s="728"/>
      <c r="FT9" s="728"/>
      <c r="FU9" s="728"/>
      <c r="FV9" s="728"/>
    </row>
    <row r="10" spans="2:178" s="987" customFormat="1" ht="23.25">
      <c r="B10" s="520" t="s">
        <v>380</v>
      </c>
      <c r="C10" s="985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5"/>
      <c r="R10" s="985"/>
      <c r="S10" s="985"/>
      <c r="T10" s="985"/>
      <c r="U10" s="985"/>
      <c r="V10" s="988"/>
      <c r="W10" s="985"/>
      <c r="X10" s="985"/>
      <c r="Y10" s="985"/>
      <c r="Z10" s="985"/>
      <c r="AA10" s="985"/>
      <c r="AB10" s="985"/>
      <c r="AC10" s="985"/>
      <c r="AD10" s="985"/>
      <c r="AE10" s="985"/>
      <c r="AF10" s="985"/>
      <c r="AG10" s="985"/>
      <c r="AH10" s="985"/>
      <c r="AI10" s="985"/>
      <c r="AJ10" s="985"/>
      <c r="AK10" s="985"/>
      <c r="AL10" s="985"/>
      <c r="AM10" s="985"/>
      <c r="AN10" s="985"/>
      <c r="AO10" s="985"/>
      <c r="AP10" s="985"/>
      <c r="AQ10" s="985"/>
      <c r="AR10" s="985"/>
      <c r="AS10" s="985"/>
      <c r="AT10" s="985"/>
      <c r="AU10" s="985"/>
      <c r="AV10" s="985"/>
      <c r="AW10" s="985"/>
      <c r="AX10" s="985"/>
      <c r="AY10" s="985"/>
      <c r="AZ10" s="985"/>
      <c r="BA10" s="985"/>
      <c r="BB10" s="985"/>
      <c r="BC10" s="985"/>
      <c r="BD10" s="985"/>
      <c r="BE10" s="985"/>
      <c r="BF10" s="985"/>
      <c r="BG10" s="985"/>
      <c r="BH10" s="985"/>
      <c r="BI10" s="985"/>
      <c r="BJ10" s="985"/>
      <c r="BK10" s="985"/>
      <c r="BL10" s="985"/>
      <c r="BM10" s="985"/>
      <c r="BN10" s="985"/>
      <c r="BO10" s="985"/>
      <c r="BP10" s="985"/>
      <c r="BQ10" s="985"/>
      <c r="BR10" s="985"/>
      <c r="BS10" s="985"/>
      <c r="BT10" s="985"/>
      <c r="BU10" s="985"/>
      <c r="BV10" s="985"/>
      <c r="BW10" s="985"/>
      <c r="BX10" s="985"/>
      <c r="BY10" s="985"/>
      <c r="BZ10" s="985"/>
      <c r="CA10" s="985"/>
      <c r="CB10" s="985"/>
      <c r="CC10" s="985"/>
      <c r="CD10" s="985"/>
      <c r="CE10" s="985"/>
      <c r="CF10" s="985"/>
      <c r="CG10" s="985"/>
      <c r="CH10" s="985"/>
      <c r="CI10" s="985"/>
      <c r="CJ10" s="985"/>
      <c r="CK10" s="985"/>
      <c r="CL10" s="985"/>
      <c r="CM10" s="985"/>
      <c r="CN10" s="985"/>
      <c r="CO10" s="985"/>
      <c r="CP10" s="985"/>
      <c r="CQ10" s="985"/>
      <c r="CR10" s="985"/>
      <c r="CS10" s="985"/>
      <c r="CT10" s="985"/>
      <c r="CU10" s="985"/>
      <c r="CV10" s="985"/>
      <c r="CW10" s="985"/>
      <c r="CX10" s="985"/>
      <c r="CY10" s="985"/>
      <c r="CZ10" s="985"/>
      <c r="DA10" s="985"/>
      <c r="DB10" s="985"/>
      <c r="DC10" s="985"/>
      <c r="DD10" s="985"/>
      <c r="DE10" s="985"/>
      <c r="DF10" s="985"/>
      <c r="DG10" s="985"/>
      <c r="DH10" s="985"/>
      <c r="DI10" s="985"/>
      <c r="DJ10" s="985"/>
      <c r="DK10" s="985"/>
      <c r="DL10" s="985"/>
      <c r="DM10" s="985"/>
      <c r="DN10" s="985"/>
      <c r="DO10" s="985"/>
      <c r="DP10" s="985"/>
      <c r="DQ10" s="985"/>
      <c r="DR10" s="985"/>
      <c r="DS10" s="985"/>
      <c r="DT10" s="985"/>
      <c r="DU10" s="985"/>
      <c r="DV10" s="985"/>
      <c r="DW10" s="985"/>
      <c r="DX10" s="985"/>
      <c r="DY10" s="985"/>
      <c r="DZ10" s="985"/>
      <c r="EA10" s="985"/>
      <c r="EB10" s="985"/>
      <c r="EC10" s="985"/>
      <c r="ED10" s="985"/>
      <c r="EE10" s="985"/>
      <c r="EF10" s="985"/>
      <c r="EG10" s="985"/>
      <c r="EH10" s="985"/>
      <c r="EI10" s="985"/>
      <c r="EJ10" s="985"/>
      <c r="EK10" s="985"/>
      <c r="EL10" s="985"/>
      <c r="EM10" s="985"/>
      <c r="EN10" s="985"/>
      <c r="EO10" s="985"/>
      <c r="EP10" s="985"/>
      <c r="EQ10" s="985"/>
      <c r="ER10" s="985"/>
      <c r="ES10" s="985"/>
      <c r="ET10" s="985"/>
      <c r="EU10" s="985"/>
      <c r="EV10" s="985"/>
      <c r="EW10" s="985"/>
      <c r="EX10" s="985"/>
      <c r="EY10" s="985"/>
      <c r="EZ10" s="985"/>
      <c r="FA10" s="985"/>
      <c r="FB10" s="985"/>
      <c r="FC10" s="985"/>
      <c r="FD10" s="985"/>
      <c r="FE10" s="985"/>
      <c r="FF10" s="985"/>
      <c r="FG10" s="985"/>
      <c r="FH10" s="985"/>
      <c r="FI10" s="985"/>
      <c r="FJ10" s="985"/>
      <c r="FK10" s="985"/>
      <c r="FL10" s="985"/>
      <c r="FM10" s="985"/>
      <c r="FN10" s="985"/>
      <c r="FO10" s="985"/>
      <c r="FP10" s="985"/>
      <c r="FQ10" s="985"/>
      <c r="FR10" s="985"/>
      <c r="FS10" s="985"/>
      <c r="FT10" s="985"/>
      <c r="FU10" s="985"/>
      <c r="FV10" s="985"/>
    </row>
    <row r="11" spans="2:178" s="32" customFormat="1" ht="9.75" customHeight="1" thickBot="1"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929"/>
      <c r="V11" s="929"/>
      <c r="W11" s="728"/>
      <c r="X11" s="728"/>
      <c r="Y11" s="728"/>
      <c r="Z11" s="728"/>
      <c r="AA11" s="728"/>
      <c r="AB11" s="728"/>
      <c r="AC11" s="728"/>
      <c r="AD11" s="728"/>
      <c r="AE11" s="728"/>
      <c r="AF11" s="728"/>
      <c r="AG11" s="728"/>
      <c r="AH11" s="728"/>
      <c r="AI11" s="728"/>
      <c r="AJ11" s="728"/>
      <c r="AK11" s="728"/>
      <c r="AL11" s="728"/>
      <c r="AM11" s="728"/>
      <c r="AN11" s="728"/>
      <c r="AO11" s="728"/>
      <c r="AP11" s="728"/>
      <c r="AQ11" s="728"/>
      <c r="AR11" s="728"/>
      <c r="AS11" s="728"/>
      <c r="AT11" s="728"/>
      <c r="AU11" s="728"/>
      <c r="AV11" s="728"/>
      <c r="AW11" s="728"/>
      <c r="AX11" s="728"/>
      <c r="AY11" s="728"/>
      <c r="AZ11" s="728"/>
      <c r="BA11" s="728"/>
      <c r="BB11" s="728"/>
      <c r="BC11" s="728"/>
      <c r="BD11" s="728"/>
      <c r="BE11" s="728"/>
      <c r="BF11" s="728"/>
      <c r="BG11" s="728"/>
      <c r="BH11" s="728"/>
      <c r="BI11" s="728"/>
      <c r="BJ11" s="728"/>
      <c r="BK11" s="728"/>
      <c r="BL11" s="728"/>
      <c r="BM11" s="728"/>
      <c r="BN11" s="728"/>
      <c r="BO11" s="728"/>
      <c r="BP11" s="728"/>
      <c r="BQ11" s="728"/>
      <c r="BR11" s="728"/>
      <c r="BS11" s="728"/>
      <c r="BT11" s="728"/>
      <c r="BU11" s="728"/>
      <c r="BV11" s="728"/>
      <c r="BW11" s="728"/>
      <c r="BX11" s="728"/>
      <c r="BY11" s="728"/>
      <c r="BZ11" s="728"/>
      <c r="CA11" s="728"/>
      <c r="CB11" s="728"/>
      <c r="CC11" s="728"/>
      <c r="CD11" s="728"/>
      <c r="CE11" s="728"/>
      <c r="CF11" s="728"/>
      <c r="CG11" s="728"/>
      <c r="CH11" s="728"/>
      <c r="CI11" s="728"/>
      <c r="CJ11" s="728"/>
      <c r="CK11" s="728"/>
      <c r="CL11" s="728"/>
      <c r="CM11" s="728"/>
      <c r="CN11" s="728"/>
      <c r="CO11" s="728"/>
      <c r="CP11" s="728"/>
      <c r="CQ11" s="728"/>
      <c r="CR11" s="728"/>
      <c r="CS11" s="728"/>
      <c r="CT11" s="728"/>
      <c r="CU11" s="728"/>
      <c r="CV11" s="728"/>
      <c r="CW11" s="728"/>
      <c r="CX11" s="728"/>
      <c r="CY11" s="728"/>
      <c r="CZ11" s="728"/>
      <c r="DA11" s="728"/>
      <c r="DB11" s="728"/>
      <c r="DC11" s="728"/>
      <c r="DD11" s="728"/>
      <c r="DE11" s="728"/>
      <c r="DF11" s="728"/>
      <c r="DG11" s="728"/>
      <c r="DH11" s="728"/>
      <c r="DI11" s="728"/>
      <c r="DJ11" s="728"/>
      <c r="DK11" s="728"/>
      <c r="DL11" s="728"/>
      <c r="DM11" s="728"/>
      <c r="DN11" s="728"/>
      <c r="DO11" s="728"/>
      <c r="DP11" s="728"/>
      <c r="DQ11" s="728"/>
      <c r="DR11" s="728"/>
      <c r="DS11" s="728"/>
      <c r="DT11" s="728"/>
      <c r="DU11" s="728"/>
      <c r="DV11" s="728"/>
      <c r="DW11" s="728"/>
      <c r="DX11" s="728"/>
      <c r="DY11" s="728"/>
      <c r="DZ11" s="728"/>
      <c r="EA11" s="728"/>
      <c r="EB11" s="728"/>
      <c r="EC11" s="728"/>
      <c r="ED11" s="728"/>
      <c r="EE11" s="728"/>
      <c r="EF11" s="728"/>
      <c r="EG11" s="728"/>
      <c r="EH11" s="728"/>
      <c r="EI11" s="728"/>
      <c r="EJ11" s="728"/>
      <c r="EK11" s="728"/>
      <c r="EL11" s="728"/>
      <c r="EM11" s="728"/>
      <c r="EN11" s="728"/>
      <c r="EO11" s="728"/>
      <c r="EP11" s="728"/>
      <c r="EQ11" s="728"/>
      <c r="ER11" s="728"/>
      <c r="ES11" s="728"/>
      <c r="ET11" s="728"/>
      <c r="EU11" s="728"/>
      <c r="EV11" s="728"/>
      <c r="EW11" s="728"/>
      <c r="EX11" s="728"/>
      <c r="EY11" s="728"/>
      <c r="EZ11" s="728"/>
      <c r="FA11" s="728"/>
      <c r="FB11" s="728"/>
      <c r="FC11" s="728"/>
      <c r="FD11" s="728"/>
      <c r="FE11" s="728"/>
      <c r="FF11" s="728"/>
      <c r="FG11" s="728"/>
      <c r="FH11" s="728"/>
      <c r="FI11" s="728"/>
      <c r="FJ11" s="728"/>
      <c r="FK11" s="728"/>
      <c r="FL11" s="728"/>
      <c r="FM11" s="728"/>
      <c r="FN11" s="728"/>
      <c r="FO11" s="728"/>
      <c r="FP11" s="728"/>
      <c r="FQ11" s="728"/>
      <c r="FR11" s="728"/>
      <c r="FS11" s="728"/>
      <c r="FT11" s="728"/>
      <c r="FU11" s="728"/>
      <c r="FV11" s="728"/>
    </row>
    <row r="12" spans="2:177" s="32" customFormat="1" ht="9.75" customHeight="1" thickTop="1">
      <c r="B12" s="989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1"/>
      <c r="V12" s="728"/>
      <c r="W12" s="728"/>
      <c r="X12" s="728"/>
      <c r="Y12" s="728"/>
      <c r="Z12" s="728"/>
      <c r="AA12" s="728"/>
      <c r="AB12" s="728"/>
      <c r="AC12" s="728"/>
      <c r="AD12" s="728"/>
      <c r="AE12" s="728"/>
      <c r="AF12" s="728"/>
      <c r="AG12" s="728"/>
      <c r="AH12" s="728"/>
      <c r="AI12" s="728"/>
      <c r="AJ12" s="728"/>
      <c r="AK12" s="728"/>
      <c r="AL12" s="728"/>
      <c r="AM12" s="728"/>
      <c r="AN12" s="728"/>
      <c r="AO12" s="728"/>
      <c r="AP12" s="728"/>
      <c r="AQ12" s="728"/>
      <c r="AR12" s="728"/>
      <c r="AS12" s="728"/>
      <c r="AT12" s="728"/>
      <c r="AU12" s="728"/>
      <c r="AV12" s="728"/>
      <c r="AW12" s="728"/>
      <c r="AX12" s="728"/>
      <c r="AY12" s="728"/>
      <c r="AZ12" s="728"/>
      <c r="BA12" s="728"/>
      <c r="BB12" s="728"/>
      <c r="BC12" s="728"/>
      <c r="BD12" s="728"/>
      <c r="BE12" s="728"/>
      <c r="BF12" s="728"/>
      <c r="BG12" s="728"/>
      <c r="BH12" s="728"/>
      <c r="BI12" s="728"/>
      <c r="BJ12" s="728"/>
      <c r="BK12" s="728"/>
      <c r="BL12" s="728"/>
      <c r="BM12" s="728"/>
      <c r="BN12" s="728"/>
      <c r="BO12" s="728"/>
      <c r="BP12" s="728"/>
      <c r="BQ12" s="728"/>
      <c r="BR12" s="728"/>
      <c r="BS12" s="728"/>
      <c r="BT12" s="728"/>
      <c r="BU12" s="728"/>
      <c r="BV12" s="728"/>
      <c r="BW12" s="728"/>
      <c r="BX12" s="728"/>
      <c r="BY12" s="728"/>
      <c r="BZ12" s="728"/>
      <c r="CA12" s="728"/>
      <c r="CB12" s="728"/>
      <c r="CC12" s="728"/>
      <c r="CD12" s="728"/>
      <c r="CE12" s="728"/>
      <c r="CF12" s="728"/>
      <c r="CG12" s="728"/>
      <c r="CH12" s="728"/>
      <c r="CI12" s="728"/>
      <c r="CJ12" s="728"/>
      <c r="CK12" s="728"/>
      <c r="CL12" s="728"/>
      <c r="CM12" s="728"/>
      <c r="CN12" s="728"/>
      <c r="CO12" s="728"/>
      <c r="CP12" s="728"/>
      <c r="CQ12" s="728"/>
      <c r="CR12" s="728"/>
      <c r="CS12" s="728"/>
      <c r="CT12" s="728"/>
      <c r="CU12" s="728"/>
      <c r="CV12" s="728"/>
      <c r="CW12" s="728"/>
      <c r="CX12" s="728"/>
      <c r="CY12" s="728"/>
      <c r="CZ12" s="728"/>
      <c r="DA12" s="728"/>
      <c r="DB12" s="728"/>
      <c r="DC12" s="728"/>
      <c r="DD12" s="728"/>
      <c r="DE12" s="728"/>
      <c r="DF12" s="728"/>
      <c r="DG12" s="728"/>
      <c r="DH12" s="728"/>
      <c r="DI12" s="728"/>
      <c r="DJ12" s="728"/>
      <c r="DK12" s="728"/>
      <c r="DL12" s="728"/>
      <c r="DM12" s="728"/>
      <c r="DN12" s="728"/>
      <c r="DO12" s="728"/>
      <c r="DP12" s="728"/>
      <c r="DQ12" s="728"/>
      <c r="DR12" s="728"/>
      <c r="DS12" s="728"/>
      <c r="DT12" s="728"/>
      <c r="DU12" s="728"/>
      <c r="DV12" s="728"/>
      <c r="DW12" s="728"/>
      <c r="DX12" s="728"/>
      <c r="DY12" s="728"/>
      <c r="DZ12" s="728"/>
      <c r="EA12" s="728"/>
      <c r="EB12" s="728"/>
      <c r="EC12" s="728"/>
      <c r="ED12" s="728"/>
      <c r="EE12" s="728"/>
      <c r="EF12" s="728"/>
      <c r="EG12" s="728"/>
      <c r="EH12" s="728"/>
      <c r="EI12" s="728"/>
      <c r="EJ12" s="728"/>
      <c r="EK12" s="728"/>
      <c r="EL12" s="728"/>
      <c r="EM12" s="728"/>
      <c r="EN12" s="728"/>
      <c r="EO12" s="728"/>
      <c r="EP12" s="728"/>
      <c r="EQ12" s="728"/>
      <c r="ER12" s="728"/>
      <c r="ES12" s="728"/>
      <c r="ET12" s="728"/>
      <c r="EU12" s="728"/>
      <c r="EV12" s="728"/>
      <c r="EW12" s="728"/>
      <c r="EX12" s="728"/>
      <c r="EY12" s="728"/>
      <c r="EZ12" s="728"/>
      <c r="FA12" s="728"/>
      <c r="FB12" s="728"/>
      <c r="FC12" s="728"/>
      <c r="FD12" s="728"/>
      <c r="FE12" s="728"/>
      <c r="FF12" s="728"/>
      <c r="FG12" s="728"/>
      <c r="FH12" s="728"/>
      <c r="FI12" s="728"/>
      <c r="FJ12" s="728"/>
      <c r="FK12" s="728"/>
      <c r="FL12" s="728"/>
      <c r="FM12" s="728"/>
      <c r="FN12" s="728"/>
      <c r="FO12" s="728"/>
      <c r="FP12" s="728"/>
      <c r="FQ12" s="728"/>
      <c r="FR12" s="728"/>
      <c r="FS12" s="728"/>
      <c r="FT12" s="728"/>
      <c r="FU12" s="728"/>
    </row>
    <row r="13" spans="2:177" s="32" customFormat="1" ht="19.5">
      <c r="B13" s="37" t="s">
        <v>381</v>
      </c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3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28"/>
      <c r="AN13" s="728"/>
      <c r="AO13" s="728"/>
      <c r="AP13" s="728"/>
      <c r="AQ13" s="728"/>
      <c r="AR13" s="728"/>
      <c r="AS13" s="728"/>
      <c r="AT13" s="728"/>
      <c r="AU13" s="728"/>
      <c r="AV13" s="728"/>
      <c r="AW13" s="728"/>
      <c r="AX13" s="728"/>
      <c r="AY13" s="728"/>
      <c r="AZ13" s="728"/>
      <c r="BA13" s="728"/>
      <c r="BB13" s="728"/>
      <c r="BC13" s="728"/>
      <c r="BD13" s="728"/>
      <c r="BE13" s="728"/>
      <c r="BF13" s="728"/>
      <c r="BG13" s="728"/>
      <c r="BH13" s="728"/>
      <c r="BI13" s="728"/>
      <c r="BJ13" s="728"/>
      <c r="BK13" s="728"/>
      <c r="BL13" s="728"/>
      <c r="BM13" s="728"/>
      <c r="BN13" s="728"/>
      <c r="BO13" s="728"/>
      <c r="BP13" s="728"/>
      <c r="BQ13" s="728"/>
      <c r="BR13" s="728"/>
      <c r="BS13" s="728"/>
      <c r="BT13" s="728"/>
      <c r="BU13" s="728"/>
      <c r="BV13" s="728"/>
      <c r="BW13" s="728"/>
      <c r="BX13" s="728"/>
      <c r="BY13" s="728"/>
      <c r="BZ13" s="728"/>
      <c r="CA13" s="728"/>
      <c r="CB13" s="728"/>
      <c r="CC13" s="728"/>
      <c r="CD13" s="728"/>
      <c r="CE13" s="728"/>
      <c r="CF13" s="728"/>
      <c r="CG13" s="728"/>
      <c r="CH13" s="728"/>
      <c r="CI13" s="728"/>
      <c r="CJ13" s="728"/>
      <c r="CK13" s="728"/>
      <c r="CL13" s="728"/>
      <c r="CM13" s="728"/>
      <c r="CN13" s="728"/>
      <c r="CO13" s="728"/>
      <c r="CP13" s="728"/>
      <c r="CQ13" s="728"/>
      <c r="CR13" s="728"/>
      <c r="CS13" s="728"/>
      <c r="CT13" s="728"/>
      <c r="CU13" s="728"/>
      <c r="CV13" s="728"/>
      <c r="CW13" s="728"/>
      <c r="CX13" s="728"/>
      <c r="CY13" s="728"/>
      <c r="CZ13" s="728"/>
      <c r="DA13" s="728"/>
      <c r="DB13" s="728"/>
      <c r="DC13" s="728"/>
      <c r="DD13" s="728"/>
      <c r="DE13" s="728"/>
      <c r="DF13" s="728"/>
      <c r="DG13" s="728"/>
      <c r="DH13" s="728"/>
      <c r="DI13" s="728"/>
      <c r="DJ13" s="728"/>
      <c r="DK13" s="728"/>
      <c r="DL13" s="728"/>
      <c r="DM13" s="728"/>
      <c r="DN13" s="728"/>
      <c r="DO13" s="728"/>
      <c r="DP13" s="728"/>
      <c r="DQ13" s="728"/>
      <c r="DR13" s="728"/>
      <c r="DS13" s="728"/>
      <c r="DT13" s="728"/>
      <c r="DU13" s="728"/>
      <c r="DV13" s="728"/>
      <c r="DW13" s="728"/>
      <c r="DX13" s="728"/>
      <c r="DY13" s="728"/>
      <c r="DZ13" s="728"/>
      <c r="EA13" s="728"/>
      <c r="EB13" s="728"/>
      <c r="EC13" s="728"/>
      <c r="ED13" s="728"/>
      <c r="EE13" s="728"/>
      <c r="EF13" s="728"/>
      <c r="EG13" s="728"/>
      <c r="EH13" s="728"/>
      <c r="EI13" s="728"/>
      <c r="EJ13" s="728"/>
      <c r="EK13" s="728"/>
      <c r="EL13" s="728"/>
      <c r="EM13" s="728"/>
      <c r="EN13" s="728"/>
      <c r="EO13" s="728"/>
      <c r="EP13" s="728"/>
      <c r="EQ13" s="728"/>
      <c r="ER13" s="728"/>
      <c r="ES13" s="728"/>
      <c r="ET13" s="728"/>
      <c r="EU13" s="728"/>
      <c r="EV13" s="728"/>
      <c r="EW13" s="728"/>
      <c r="EX13" s="728"/>
      <c r="EY13" s="728"/>
      <c r="EZ13" s="728"/>
      <c r="FA13" s="728"/>
      <c r="FB13" s="728"/>
      <c r="FC13" s="728"/>
      <c r="FD13" s="728"/>
      <c r="FE13" s="728"/>
      <c r="FF13" s="728"/>
      <c r="FG13" s="728"/>
      <c r="FH13" s="728"/>
      <c r="FI13" s="728"/>
      <c r="FJ13" s="728"/>
      <c r="FK13" s="728"/>
      <c r="FL13" s="728"/>
      <c r="FM13" s="728"/>
      <c r="FN13" s="728"/>
      <c r="FO13" s="728"/>
      <c r="FP13" s="728"/>
      <c r="FQ13" s="728"/>
      <c r="FR13" s="728"/>
      <c r="FS13" s="728"/>
      <c r="FT13" s="728"/>
      <c r="FU13" s="728"/>
    </row>
    <row r="14" spans="2:21" s="32" customFormat="1" ht="9.75" customHeight="1" thickBot="1">
      <c r="B14" s="5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994"/>
    </row>
    <row r="15" spans="2:21" s="522" customFormat="1" ht="33.75" customHeight="1" thickBot="1" thickTop="1">
      <c r="B15" s="523"/>
      <c r="C15" s="84"/>
      <c r="D15" s="84" t="s">
        <v>0</v>
      </c>
      <c r="E15" s="134" t="s">
        <v>14</v>
      </c>
      <c r="F15" s="134" t="s">
        <v>15</v>
      </c>
      <c r="G15" s="995" t="s">
        <v>382</v>
      </c>
      <c r="H15" s="995">
        <v>39692</v>
      </c>
      <c r="I15" s="995">
        <v>39722</v>
      </c>
      <c r="J15" s="995">
        <v>39753</v>
      </c>
      <c r="K15" s="995">
        <v>39783</v>
      </c>
      <c r="L15" s="995">
        <v>39814</v>
      </c>
      <c r="M15" s="995">
        <v>39845</v>
      </c>
      <c r="N15" s="995">
        <v>39873</v>
      </c>
      <c r="O15" s="995">
        <v>39904</v>
      </c>
      <c r="P15" s="995">
        <v>39934</v>
      </c>
      <c r="Q15" s="995">
        <v>39965</v>
      </c>
      <c r="R15" s="995">
        <v>39995</v>
      </c>
      <c r="S15" s="995">
        <v>40026</v>
      </c>
      <c r="T15" s="995">
        <v>40057</v>
      </c>
      <c r="U15" s="524"/>
    </row>
    <row r="16" spans="2:21" s="996" customFormat="1" ht="9.75" customHeight="1" thickTop="1">
      <c r="B16" s="997"/>
      <c r="C16" s="998"/>
      <c r="D16" s="999"/>
      <c r="E16" s="999"/>
      <c r="F16" s="999"/>
      <c r="G16" s="999"/>
      <c r="H16" s="1000"/>
      <c r="I16" s="1000"/>
      <c r="J16" s="1000"/>
      <c r="K16" s="1000"/>
      <c r="L16" s="1000"/>
      <c r="M16" s="1000"/>
      <c r="N16" s="1000"/>
      <c r="O16" s="1000"/>
      <c r="P16" s="1000"/>
      <c r="Q16" s="1000"/>
      <c r="R16" s="1000"/>
      <c r="S16" s="1000"/>
      <c r="T16" s="1001"/>
      <c r="U16" s="1002"/>
    </row>
    <row r="17" spans="2:21" s="996" customFormat="1" ht="19.5" customHeight="1">
      <c r="B17" s="997"/>
      <c r="C17" s="1003">
        <f>IF('[1]BASE'!C17=0,"",'[1]BASE'!C17)</f>
        <v>1</v>
      </c>
      <c r="D17" s="1003" t="str">
        <f>IF('[1]BASE'!D17=0,"",'[1]BASE'!D17)</f>
        <v>ABASTO - OLAVARRIA 1</v>
      </c>
      <c r="E17" s="1003">
        <f>IF('[1]BASE'!E17=0,"",'[1]BASE'!E17)</f>
        <v>500</v>
      </c>
      <c r="F17" s="1003">
        <f>IF('[1]BASE'!F17=0,"",'[1]BASE'!F17)</f>
        <v>291</v>
      </c>
      <c r="G17" s="1004" t="str">
        <f>IF('[1]BASE'!G17=0,"",'[1]BASE'!G17)</f>
        <v>B</v>
      </c>
      <c r="H17" s="1005">
        <f>IF('[1]BASE'!GC17=0,"",'[1]BASE'!GC17)</f>
      </c>
      <c r="I17" s="1005">
        <f>IF('[1]BASE'!GD17=0,"",'[1]BASE'!GD17)</f>
      </c>
      <c r="J17" s="1005">
        <f>IF('[1]BASE'!GE17=0,"",'[1]BASE'!GE17)</f>
      </c>
      <c r="K17" s="1005">
        <f>IF('[1]BASE'!GF17=0,"",'[1]BASE'!GF17)</f>
      </c>
      <c r="L17" s="1005">
        <f>IF('[1]BASE'!GG17=0,"",'[1]BASE'!GG17)</f>
      </c>
      <c r="M17" s="1005">
        <f>IF('[1]BASE'!GH17=0,"",'[1]BASE'!GH17)</f>
      </c>
      <c r="N17" s="1005">
        <f>IF('[1]BASE'!GI17=0,"",'[1]BASE'!GI17)</f>
      </c>
      <c r="O17" s="1005">
        <f>IF('[1]BASE'!GJ17=0,"",'[1]BASE'!GJ17)</f>
      </c>
      <c r="P17" s="1005">
        <f>IF('[1]BASE'!GK17=0,"",'[1]BASE'!GK17)</f>
      </c>
      <c r="Q17" s="1005">
        <f>IF('[1]BASE'!GL17=0,"",'[1]BASE'!GL17)</f>
      </c>
      <c r="R17" s="1005">
        <f>IF('[1]BASE'!GM17=0,"",'[1]BASE'!GM17)</f>
      </c>
      <c r="S17" s="1005">
        <f>IF('[1]BASE'!GN17=0,"",'[1]BASE'!GN17)</f>
      </c>
      <c r="T17" s="1006"/>
      <c r="U17" s="1002"/>
    </row>
    <row r="18" spans="2:21" s="996" customFormat="1" ht="19.5" customHeight="1">
      <c r="B18" s="997"/>
      <c r="C18" s="1007">
        <f>IF('[1]BASE'!C18=0,"",'[1]BASE'!C18)</f>
        <v>2</v>
      </c>
      <c r="D18" s="1007" t="str">
        <f>IF('[1]BASE'!D18=0,"",'[1]BASE'!D18)</f>
        <v>ABASTO - OLAVARRIA 2</v>
      </c>
      <c r="E18" s="1007">
        <f>IF('[1]BASE'!E18=0,"",'[1]BASE'!E18)</f>
        <v>500</v>
      </c>
      <c r="F18" s="1007">
        <f>IF('[1]BASE'!F18=0,"",'[1]BASE'!F18)</f>
        <v>301.9</v>
      </c>
      <c r="G18" s="1008">
        <f>IF('[1]BASE'!G18=0,"",'[1]BASE'!G18)</f>
      </c>
      <c r="H18" s="1005">
        <f>IF('[1]BASE'!GC18=0,"",'[1]BASE'!GC18)</f>
      </c>
      <c r="I18" s="1005">
        <f>IF('[1]BASE'!GD18=0,"",'[1]BASE'!GD18)</f>
      </c>
      <c r="J18" s="1005">
        <f>IF('[1]BASE'!GE18=0,"",'[1]BASE'!GE18)</f>
      </c>
      <c r="K18" s="1005">
        <f>IF('[1]BASE'!GF18=0,"",'[1]BASE'!GF18)</f>
      </c>
      <c r="L18" s="1005">
        <f>IF('[1]BASE'!GG18=0,"",'[1]BASE'!GG18)</f>
      </c>
      <c r="M18" s="1005">
        <f>IF('[1]BASE'!GH18=0,"",'[1]BASE'!GH18)</f>
      </c>
      <c r="N18" s="1005">
        <f>IF('[1]BASE'!GI18=0,"",'[1]BASE'!GI18)</f>
      </c>
      <c r="O18" s="1005">
        <f>IF('[1]BASE'!GJ18=0,"",'[1]BASE'!GJ18)</f>
      </c>
      <c r="P18" s="1005">
        <f>IF('[1]BASE'!GK18=0,"",'[1]BASE'!GK18)</f>
      </c>
      <c r="Q18" s="1005">
        <f>IF('[1]BASE'!GL18=0,"",'[1]BASE'!GL18)</f>
      </c>
      <c r="R18" s="1005">
        <f>IF('[1]BASE'!GM18=0,"",'[1]BASE'!GM18)</f>
      </c>
      <c r="S18" s="1005">
        <f>IF('[1]BASE'!GN18=0,"",'[1]BASE'!GN18)</f>
      </c>
      <c r="T18" s="1006"/>
      <c r="U18" s="1002"/>
    </row>
    <row r="19" spans="2:21" s="996" customFormat="1" ht="19.5" customHeight="1">
      <c r="B19" s="997"/>
      <c r="C19" s="1009">
        <f>IF('[1]BASE'!C19=0,"",'[1]BASE'!C19)</f>
        <v>3</v>
      </c>
      <c r="D19" s="1009" t="str">
        <f>IF('[1]BASE'!D19=0,"",'[1]BASE'!D19)</f>
        <v>AGUA DEL CAJON - CHOCON OESTE</v>
      </c>
      <c r="E19" s="1009">
        <f>IF('[1]BASE'!E19=0,"",'[1]BASE'!E19)</f>
        <v>500</v>
      </c>
      <c r="F19" s="1009">
        <f>IF('[1]BASE'!F19=0,"",'[1]BASE'!F19)</f>
        <v>52</v>
      </c>
      <c r="G19" s="1010">
        <f>IF('[1]BASE'!G19=0,"",'[1]BASE'!G19)</f>
      </c>
      <c r="H19" s="1005">
        <f>IF('[1]BASE'!GC19=0,"",'[1]BASE'!GC19)</f>
      </c>
      <c r="I19" s="1005">
        <f>IF('[1]BASE'!GD19=0,"",'[1]BASE'!GD19)</f>
      </c>
      <c r="J19" s="1005">
        <f>IF('[1]BASE'!GE19=0,"",'[1]BASE'!GE19)</f>
      </c>
      <c r="K19" s="1005">
        <f>IF('[1]BASE'!GF19=0,"",'[1]BASE'!GF19)</f>
      </c>
      <c r="L19" s="1005">
        <f>IF('[1]BASE'!GG19=0,"",'[1]BASE'!GG19)</f>
      </c>
      <c r="M19" s="1005">
        <f>IF('[1]BASE'!GH19=0,"",'[1]BASE'!GH19)</f>
      </c>
      <c r="N19" s="1005">
        <f>IF('[1]BASE'!GI19=0,"",'[1]BASE'!GI19)</f>
      </c>
      <c r="O19" s="1005">
        <f>IF('[1]BASE'!GJ19=0,"",'[1]BASE'!GJ19)</f>
      </c>
      <c r="P19" s="1005">
        <f>IF('[1]BASE'!GK19=0,"",'[1]BASE'!GK19)</f>
      </c>
      <c r="Q19" s="1005">
        <f>IF('[1]BASE'!GL19=0,"",'[1]BASE'!GL19)</f>
      </c>
      <c r="R19" s="1005">
        <f>IF('[1]BASE'!GM19=0,"",'[1]BASE'!GM19)</f>
      </c>
      <c r="S19" s="1005">
        <f>IF('[1]BASE'!GN19=0,"",'[1]BASE'!GN19)</f>
      </c>
      <c r="T19" s="1006"/>
      <c r="U19" s="1002"/>
    </row>
    <row r="20" spans="2:21" s="996" customFormat="1" ht="19.5" customHeight="1">
      <c r="B20" s="997"/>
      <c r="C20" s="1007">
        <f>IF('[1]BASE'!C20=0,"",'[1]BASE'!C20)</f>
        <v>4</v>
      </c>
      <c r="D20" s="1007" t="str">
        <f>IF('[1]BASE'!D20=0,"",'[1]BASE'!D20)</f>
        <v>ALICURA - E.T. P.del A. 1 (5LG1)</v>
      </c>
      <c r="E20" s="1007">
        <f>IF('[1]BASE'!E20=0,"",'[1]BASE'!E20)</f>
        <v>500</v>
      </c>
      <c r="F20" s="1007">
        <f>IF('[1]BASE'!F20=0,"",'[1]BASE'!F20)</f>
        <v>76</v>
      </c>
      <c r="G20" s="1008" t="str">
        <f>IF('[1]BASE'!G20=0,"",'[1]BASE'!G20)</f>
        <v>C</v>
      </c>
      <c r="H20" s="1005">
        <f>IF('[1]BASE'!GC20=0,"",'[1]BASE'!GC20)</f>
      </c>
      <c r="I20" s="1005">
        <f>IF('[1]BASE'!GD20=0,"",'[1]BASE'!GD20)</f>
      </c>
      <c r="J20" s="1005">
        <f>IF('[1]BASE'!GE20=0,"",'[1]BASE'!GE20)</f>
      </c>
      <c r="K20" s="1005">
        <f>IF('[1]BASE'!GF20=0,"",'[1]BASE'!GF20)</f>
      </c>
      <c r="L20" s="1005">
        <f>IF('[1]BASE'!GG20=0,"",'[1]BASE'!GG20)</f>
      </c>
      <c r="M20" s="1005">
        <f>IF('[1]BASE'!GH20=0,"",'[1]BASE'!GH20)</f>
      </c>
      <c r="N20" s="1005">
        <f>IF('[1]BASE'!GI20=0,"",'[1]BASE'!GI20)</f>
      </c>
      <c r="O20" s="1005">
        <f>IF('[1]BASE'!GJ20=0,"",'[1]BASE'!GJ20)</f>
      </c>
      <c r="P20" s="1005">
        <f>IF('[1]BASE'!GK20=0,"",'[1]BASE'!GK20)</f>
      </c>
      <c r="Q20" s="1005">
        <f>IF('[1]BASE'!GL20=0,"",'[1]BASE'!GL20)</f>
      </c>
      <c r="R20" s="1005">
        <f>IF('[1]BASE'!GM20=0,"",'[1]BASE'!GM20)</f>
      </c>
      <c r="S20" s="1005">
        <f>IF('[1]BASE'!GN20=0,"",'[1]BASE'!GN20)</f>
      </c>
      <c r="T20" s="1006"/>
      <c r="U20" s="1002"/>
    </row>
    <row r="21" spans="2:21" s="996" customFormat="1" ht="19.5" customHeight="1">
      <c r="B21" s="997"/>
      <c r="C21" s="1009">
        <f>IF('[1]BASE'!C21=0,"",'[1]BASE'!C21)</f>
        <v>5</v>
      </c>
      <c r="D21" s="1009" t="str">
        <f>IF('[1]BASE'!D21=0,"",'[1]BASE'!D21)</f>
        <v>ALICURA - E.T. P.del A. 2 (5LG2)</v>
      </c>
      <c r="E21" s="1009">
        <f>IF('[1]BASE'!E21=0,"",'[1]BASE'!E21)</f>
        <v>500</v>
      </c>
      <c r="F21" s="1009">
        <f>IF('[1]BASE'!F21=0,"",'[1]BASE'!F21)</f>
        <v>76</v>
      </c>
      <c r="G21" s="1010" t="str">
        <f>IF('[1]BASE'!G21=0,"",'[1]BASE'!G21)</f>
        <v>C</v>
      </c>
      <c r="H21" s="1005">
        <f>IF('[1]BASE'!GC21=0,"",'[1]BASE'!GC21)</f>
      </c>
      <c r="I21" s="1005">
        <f>IF('[1]BASE'!GD21=0,"",'[1]BASE'!GD21)</f>
      </c>
      <c r="J21" s="1005">
        <f>IF('[1]BASE'!GE21=0,"",'[1]BASE'!GE21)</f>
      </c>
      <c r="K21" s="1005">
        <f>IF('[1]BASE'!GF21=0,"",'[1]BASE'!GF21)</f>
        <v>1</v>
      </c>
      <c r="L21" s="1005">
        <f>IF('[1]BASE'!GG21=0,"",'[1]BASE'!GG21)</f>
      </c>
      <c r="M21" s="1005">
        <f>IF('[1]BASE'!GH21=0,"",'[1]BASE'!GH21)</f>
      </c>
      <c r="N21" s="1005">
        <f>IF('[1]BASE'!GI21=0,"",'[1]BASE'!GI21)</f>
      </c>
      <c r="O21" s="1005">
        <f>IF('[1]BASE'!GJ21=0,"",'[1]BASE'!GJ21)</f>
      </c>
      <c r="P21" s="1005">
        <f>IF('[1]BASE'!GK21=0,"",'[1]BASE'!GK21)</f>
      </c>
      <c r="Q21" s="1005">
        <f>IF('[1]BASE'!GL21=0,"",'[1]BASE'!GL21)</f>
      </c>
      <c r="R21" s="1005">
        <f>IF('[1]BASE'!GM21=0,"",'[1]BASE'!GM21)</f>
      </c>
      <c r="S21" s="1005">
        <f>IF('[1]BASE'!GN21=0,"",'[1]BASE'!GN21)</f>
      </c>
      <c r="T21" s="1006"/>
      <c r="U21" s="1002"/>
    </row>
    <row r="22" spans="2:21" s="996" customFormat="1" ht="19.5" customHeight="1">
      <c r="B22" s="997"/>
      <c r="C22" s="1007">
        <f>IF('[1]BASE'!C22=0,"",'[1]BASE'!C22)</f>
        <v>6</v>
      </c>
      <c r="D22" s="1007" t="str">
        <f>IF('[1]BASE'!D22=0,"",'[1]BASE'!D22)</f>
        <v>ALMAFUERTE - EMBALSE </v>
      </c>
      <c r="E22" s="1007">
        <f>IF('[1]BASE'!E22=0,"",'[1]BASE'!E22)</f>
        <v>500</v>
      </c>
      <c r="F22" s="1007">
        <f>IF('[1]BASE'!F22=0,"",'[1]BASE'!F22)</f>
        <v>12</v>
      </c>
      <c r="G22" s="1008" t="str">
        <f>IF('[1]BASE'!G22=0,"",'[1]BASE'!G22)</f>
        <v>A</v>
      </c>
      <c r="H22" s="1005">
        <f>IF('[1]BASE'!GC22=0,"",'[1]BASE'!GC22)</f>
      </c>
      <c r="I22" s="1005">
        <f>IF('[1]BASE'!GD22=0,"",'[1]BASE'!GD22)</f>
      </c>
      <c r="J22" s="1005">
        <f>IF('[1]BASE'!GE22=0,"",'[1]BASE'!GE22)</f>
      </c>
      <c r="K22" s="1005">
        <f>IF('[1]BASE'!GF22=0,"",'[1]BASE'!GF22)</f>
      </c>
      <c r="L22" s="1005">
        <f>IF('[1]BASE'!GG22=0,"",'[1]BASE'!GG22)</f>
      </c>
      <c r="M22" s="1005">
        <f>IF('[1]BASE'!GH22=0,"",'[1]BASE'!GH22)</f>
      </c>
      <c r="N22" s="1005">
        <f>IF('[1]BASE'!GI22=0,"",'[1]BASE'!GI22)</f>
      </c>
      <c r="O22" s="1005">
        <f>IF('[1]BASE'!GJ22=0,"",'[1]BASE'!GJ22)</f>
      </c>
      <c r="P22" s="1005">
        <f>IF('[1]BASE'!GK22=0,"",'[1]BASE'!GK22)</f>
      </c>
      <c r="Q22" s="1005">
        <f>IF('[1]BASE'!GL22=0,"",'[1]BASE'!GL22)</f>
      </c>
      <c r="R22" s="1005">
        <f>IF('[1]BASE'!GM22=0,"",'[1]BASE'!GM22)</f>
      </c>
      <c r="S22" s="1005">
        <f>IF('[1]BASE'!GN22=0,"",'[1]BASE'!GN22)</f>
      </c>
      <c r="T22" s="1006"/>
      <c r="U22" s="1002"/>
    </row>
    <row r="23" spans="2:21" s="996" customFormat="1" ht="19.5" customHeight="1">
      <c r="B23" s="997"/>
      <c r="C23" s="1009">
        <f>IF('[1]BASE'!C23=0,"",'[1]BASE'!C23)</f>
        <v>7</v>
      </c>
      <c r="D23" s="1009" t="str">
        <f>IF('[1]BASE'!D23=0,"",'[1]BASE'!D23)</f>
        <v> ALMAFUERTE - ROSARIO OESTE</v>
      </c>
      <c r="E23" s="1009">
        <f>IF('[1]BASE'!E23=0,"",'[1]BASE'!E23)</f>
        <v>500</v>
      </c>
      <c r="F23" s="1009">
        <f>IF('[1]BASE'!F23=0,"",'[1]BASE'!F23)</f>
        <v>345</v>
      </c>
      <c r="G23" s="1010" t="str">
        <f>IF('[1]BASE'!G23=0,"",'[1]BASE'!G23)</f>
        <v>B</v>
      </c>
      <c r="H23" s="1005">
        <f>IF('[1]BASE'!GC23=0,"",'[1]BASE'!GC23)</f>
      </c>
      <c r="I23" s="1005">
        <f>IF('[1]BASE'!GD23=0,"",'[1]BASE'!GD23)</f>
      </c>
      <c r="J23" s="1005">
        <f>IF('[1]BASE'!GE23=0,"",'[1]BASE'!GE23)</f>
      </c>
      <c r="K23" s="1005">
        <f>IF('[1]BASE'!GF23=0,"",'[1]BASE'!GF23)</f>
      </c>
      <c r="L23" s="1005">
        <f>IF('[1]BASE'!GG23=0,"",'[1]BASE'!GG23)</f>
      </c>
      <c r="M23" s="1005">
        <f>IF('[1]BASE'!GH23=0,"",'[1]BASE'!GH23)</f>
      </c>
      <c r="N23" s="1005">
        <f>IF('[1]BASE'!GI23=0,"",'[1]BASE'!GI23)</f>
      </c>
      <c r="O23" s="1005">
        <f>IF('[1]BASE'!GJ23=0,"",'[1]BASE'!GJ23)</f>
      </c>
      <c r="P23" s="1005">
        <f>IF('[1]BASE'!GK23=0,"",'[1]BASE'!GK23)</f>
      </c>
      <c r="Q23" s="1005">
        <f>IF('[1]BASE'!GL23=0,"",'[1]BASE'!GL23)</f>
      </c>
      <c r="R23" s="1005">
        <f>IF('[1]BASE'!GM23=0,"",'[1]BASE'!GM23)</f>
      </c>
      <c r="S23" s="1005">
        <f>IF('[1]BASE'!GN23=0,"",'[1]BASE'!GN23)</f>
      </c>
      <c r="T23" s="1006"/>
      <c r="U23" s="1002"/>
    </row>
    <row r="24" spans="2:21" s="996" customFormat="1" ht="19.5" customHeight="1">
      <c r="B24" s="997"/>
      <c r="C24" s="1007">
        <f>IF('[1]BASE'!C24=0,"",'[1]BASE'!C24)</f>
        <v>8</v>
      </c>
      <c r="D24" s="1007" t="str">
        <f>IF('[1]BASE'!D24=0,"",'[1]BASE'!D24)</f>
        <v>BAHIA BLANCA - CHOELE CHOEL 1</v>
      </c>
      <c r="E24" s="1007">
        <f>IF('[1]BASE'!E24=0,"",'[1]BASE'!E24)</f>
        <v>500</v>
      </c>
      <c r="F24" s="1007">
        <f>IF('[1]BASE'!F24=0,"",'[1]BASE'!F24)</f>
        <v>346</v>
      </c>
      <c r="G24" s="1008" t="str">
        <f>IF('[1]BASE'!G24=0,"",'[1]BASE'!G24)</f>
        <v>B</v>
      </c>
      <c r="H24" s="1005">
        <f>IF('[1]BASE'!GC24=0,"",'[1]BASE'!GC24)</f>
        <v>1</v>
      </c>
      <c r="I24" s="1005">
        <f>IF('[1]BASE'!GD24=0,"",'[1]BASE'!GD24)</f>
      </c>
      <c r="J24" s="1005">
        <f>IF('[1]BASE'!GE24=0,"",'[1]BASE'!GE24)</f>
      </c>
      <c r="K24" s="1005">
        <f>IF('[1]BASE'!GF24=0,"",'[1]BASE'!GF24)</f>
      </c>
      <c r="L24" s="1005">
        <f>IF('[1]BASE'!GG24=0,"",'[1]BASE'!GG24)</f>
      </c>
      <c r="M24" s="1005">
        <f>IF('[1]BASE'!GH24=0,"",'[1]BASE'!GH24)</f>
      </c>
      <c r="N24" s="1005">
        <f>IF('[1]BASE'!GI24=0,"",'[1]BASE'!GI24)</f>
      </c>
      <c r="O24" s="1005">
        <f>IF('[1]BASE'!GJ24=0,"",'[1]BASE'!GJ24)</f>
      </c>
      <c r="P24" s="1005">
        <f>IF('[1]BASE'!GK24=0,"",'[1]BASE'!GK24)</f>
      </c>
      <c r="Q24" s="1005">
        <f>IF('[1]BASE'!GL24=0,"",'[1]BASE'!GL24)</f>
      </c>
      <c r="R24" s="1005">
        <f>IF('[1]BASE'!GM24=0,"",'[1]BASE'!GM24)</f>
      </c>
      <c r="S24" s="1005">
        <f>IF('[1]BASE'!GN24=0,"",'[1]BASE'!GN24)</f>
      </c>
      <c r="T24" s="1006"/>
      <c r="U24" s="1002"/>
    </row>
    <row r="25" spans="2:21" s="996" customFormat="1" ht="19.5" customHeight="1">
      <c r="B25" s="997"/>
      <c r="C25" s="1009">
        <f>IF('[1]BASE'!C25=0,"",'[1]BASE'!C25)</f>
        <v>9</v>
      </c>
      <c r="D25" s="1009" t="str">
        <f>IF('[1]BASE'!D25=0,"",'[1]BASE'!D25)</f>
        <v>BAHIA BLANCA - CHOELE CHOEL 2</v>
      </c>
      <c r="E25" s="1009">
        <f>IF('[1]BASE'!E25=0,"",'[1]BASE'!E25)</f>
        <v>500</v>
      </c>
      <c r="F25" s="1009">
        <f>IF('[1]BASE'!F25=0,"",'[1]BASE'!F25)</f>
        <v>348.4</v>
      </c>
      <c r="G25" s="1010">
        <f>IF('[1]BASE'!G25=0,"",'[1]BASE'!G25)</f>
      </c>
      <c r="H25" s="1005">
        <f>IF('[1]BASE'!GC25=0,"",'[1]BASE'!GC25)</f>
      </c>
      <c r="I25" s="1005">
        <f>IF('[1]BASE'!GD25=0,"",'[1]BASE'!GD25)</f>
      </c>
      <c r="J25" s="1005">
        <f>IF('[1]BASE'!GE25=0,"",'[1]BASE'!GE25)</f>
      </c>
      <c r="K25" s="1005">
        <f>IF('[1]BASE'!GF25=0,"",'[1]BASE'!GF25)</f>
      </c>
      <c r="L25" s="1005">
        <f>IF('[1]BASE'!GG25=0,"",'[1]BASE'!GG25)</f>
      </c>
      <c r="M25" s="1005">
        <f>IF('[1]BASE'!GH25=0,"",'[1]BASE'!GH25)</f>
      </c>
      <c r="N25" s="1005">
        <f>IF('[1]BASE'!GI25=0,"",'[1]BASE'!GI25)</f>
      </c>
      <c r="O25" s="1005">
        <f>IF('[1]BASE'!GJ25=0,"",'[1]BASE'!GJ25)</f>
      </c>
      <c r="P25" s="1005">
        <f>IF('[1]BASE'!GK25=0,"",'[1]BASE'!GK25)</f>
      </c>
      <c r="Q25" s="1005">
        <f>IF('[1]BASE'!GL25=0,"",'[1]BASE'!GL25)</f>
      </c>
      <c r="R25" s="1005">
        <f>IF('[1]BASE'!GM25=0,"",'[1]BASE'!GM25)</f>
      </c>
      <c r="S25" s="1005">
        <f>IF('[1]BASE'!GN25=0,"",'[1]BASE'!GN25)</f>
      </c>
      <c r="T25" s="1006"/>
      <c r="U25" s="1002"/>
    </row>
    <row r="26" spans="2:21" s="996" customFormat="1" ht="19.5" customHeight="1">
      <c r="B26" s="997"/>
      <c r="C26" s="1007">
        <f>IF('[1]BASE'!C26=0,"",'[1]BASE'!C26)</f>
        <v>10</v>
      </c>
      <c r="D26" s="1007" t="str">
        <f>IF('[1]BASE'!D26=0,"",'[1]BASE'!D26)</f>
        <v>CERR. de la CTA - P.BAND. (A3)</v>
      </c>
      <c r="E26" s="1007">
        <f>IF('[1]BASE'!E26=0,"",'[1]BASE'!E26)</f>
        <v>500</v>
      </c>
      <c r="F26" s="1007">
        <f>IF('[1]BASE'!F26=0,"",'[1]BASE'!F26)</f>
        <v>27</v>
      </c>
      <c r="G26" s="1008" t="str">
        <f>IF('[1]BASE'!G26=0,"",'[1]BASE'!G26)</f>
        <v>C</v>
      </c>
      <c r="H26" s="1005">
        <f>IF('[1]BASE'!GC26=0,"",'[1]BASE'!GC26)</f>
      </c>
      <c r="I26" s="1005">
        <f>IF('[1]BASE'!GD26=0,"",'[1]BASE'!GD26)</f>
      </c>
      <c r="J26" s="1005">
        <f>IF('[1]BASE'!GE26=0,"",'[1]BASE'!GE26)</f>
      </c>
      <c r="K26" s="1005">
        <f>IF('[1]BASE'!GF26=0,"",'[1]BASE'!GF26)</f>
      </c>
      <c r="L26" s="1005">
        <f>IF('[1]BASE'!GG26=0,"",'[1]BASE'!GG26)</f>
      </c>
      <c r="M26" s="1005">
        <f>IF('[1]BASE'!GH26=0,"",'[1]BASE'!GH26)</f>
      </c>
      <c r="N26" s="1005">
        <f>IF('[1]BASE'!GI26=0,"",'[1]BASE'!GI26)</f>
        <v>1</v>
      </c>
      <c r="O26" s="1005">
        <f>IF('[1]BASE'!GJ26=0,"",'[1]BASE'!GJ26)</f>
      </c>
      <c r="P26" s="1005">
        <f>IF('[1]BASE'!GK26=0,"",'[1]BASE'!GK26)</f>
      </c>
      <c r="Q26" s="1005">
        <f>IF('[1]BASE'!GL26=0,"",'[1]BASE'!GL26)</f>
      </c>
      <c r="R26" s="1005">
        <f>IF('[1]BASE'!GM26=0,"",'[1]BASE'!GM26)</f>
      </c>
      <c r="S26" s="1005">
        <f>IF('[1]BASE'!GN26=0,"",'[1]BASE'!GN26)</f>
      </c>
      <c r="T26" s="1006"/>
      <c r="U26" s="1002"/>
    </row>
    <row r="27" spans="2:21" s="996" customFormat="1" ht="19.5" customHeight="1">
      <c r="B27" s="997"/>
      <c r="C27" s="1009">
        <f>IF('[1]BASE'!C27=0,"",'[1]BASE'!C27)</f>
        <v>11</v>
      </c>
      <c r="D27" s="1009" t="str">
        <f>IF('[1]BASE'!D27=0,"",'[1]BASE'!D27)</f>
        <v>COLONIA ELIA - CAMPANA</v>
      </c>
      <c r="E27" s="1009">
        <f>IF('[1]BASE'!E27=0,"",'[1]BASE'!E27)</f>
        <v>500</v>
      </c>
      <c r="F27" s="1009">
        <f>IF('[1]BASE'!F27=0,"",'[1]BASE'!F27)</f>
        <v>194</v>
      </c>
      <c r="G27" s="1010" t="str">
        <f>IF('[1]BASE'!G27=0,"",'[1]BASE'!G27)</f>
        <v>C</v>
      </c>
      <c r="H27" s="1005">
        <f>IF('[1]BASE'!GC27=0,"",'[1]BASE'!GC27)</f>
      </c>
      <c r="I27" s="1005">
        <f>IF('[1]BASE'!GD27=0,"",'[1]BASE'!GD27)</f>
      </c>
      <c r="J27" s="1005">
        <f>IF('[1]BASE'!GE27=0,"",'[1]BASE'!GE27)</f>
        <v>1</v>
      </c>
      <c r="K27" s="1005">
        <f>IF('[1]BASE'!GF27=0,"",'[1]BASE'!GF27)</f>
      </c>
      <c r="L27" s="1005">
        <f>IF('[1]BASE'!GG27=0,"",'[1]BASE'!GG27)</f>
      </c>
      <c r="M27" s="1005">
        <f>IF('[1]BASE'!GH27=0,"",'[1]BASE'!GH27)</f>
      </c>
      <c r="N27" s="1005">
        <f>IF('[1]BASE'!GI27=0,"",'[1]BASE'!GI27)</f>
      </c>
      <c r="O27" s="1005">
        <f>IF('[1]BASE'!GJ27=0,"",'[1]BASE'!GJ27)</f>
      </c>
      <c r="P27" s="1005">
        <f>IF('[1]BASE'!GK27=0,"",'[1]BASE'!GK27)</f>
      </c>
      <c r="Q27" s="1005">
        <f>IF('[1]BASE'!GL27=0,"",'[1]BASE'!GL27)</f>
      </c>
      <c r="R27" s="1005">
        <f>IF('[1]BASE'!GM27=0,"",'[1]BASE'!GM27)</f>
      </c>
      <c r="S27" s="1005">
        <f>IF('[1]BASE'!GN27=0,"",'[1]BASE'!GN27)</f>
      </c>
      <c r="T27" s="1006"/>
      <c r="U27" s="1002"/>
    </row>
    <row r="28" spans="2:21" s="996" customFormat="1" ht="19.5" customHeight="1">
      <c r="B28" s="997"/>
      <c r="C28" s="1007">
        <f>IF('[1]BASE'!C28=0,"",'[1]BASE'!C28)</f>
        <v>12</v>
      </c>
      <c r="D28" s="1007" t="str">
        <f>IF('[1]BASE'!D28=0,"",'[1]BASE'!D28)</f>
        <v>CHO. W. - CHOELE CHOEL (5WH1)</v>
      </c>
      <c r="E28" s="1007">
        <f>IF('[1]BASE'!E28=0,"",'[1]BASE'!E28)</f>
        <v>500</v>
      </c>
      <c r="F28" s="1007">
        <f>IF('[1]BASE'!F28=0,"",'[1]BASE'!F28)</f>
        <v>269</v>
      </c>
      <c r="G28" s="1008" t="str">
        <f>IF('[1]BASE'!G28=0,"",'[1]BASE'!G28)</f>
        <v>B</v>
      </c>
      <c r="H28" s="1005">
        <f>IF('[1]BASE'!GC28=0,"",'[1]BASE'!GC28)</f>
      </c>
      <c r="I28" s="1005">
        <f>IF('[1]BASE'!GD28=0,"",'[1]BASE'!GD28)</f>
      </c>
      <c r="J28" s="1005">
        <f>IF('[1]BASE'!GE28=0,"",'[1]BASE'!GE28)</f>
      </c>
      <c r="K28" s="1005">
        <f>IF('[1]BASE'!GF28=0,"",'[1]BASE'!GF28)</f>
      </c>
      <c r="L28" s="1005">
        <f>IF('[1]BASE'!GG28=0,"",'[1]BASE'!GG28)</f>
      </c>
      <c r="M28" s="1005">
        <f>IF('[1]BASE'!GH28=0,"",'[1]BASE'!GH28)</f>
      </c>
      <c r="N28" s="1005">
        <f>IF('[1]BASE'!GI28=0,"",'[1]BASE'!GI28)</f>
      </c>
      <c r="O28" s="1005">
        <f>IF('[1]BASE'!GJ28=0,"",'[1]BASE'!GJ28)</f>
      </c>
      <c r="P28" s="1005">
        <f>IF('[1]BASE'!GK28=0,"",'[1]BASE'!GK28)</f>
      </c>
      <c r="Q28" s="1005">
        <f>IF('[1]BASE'!GL28=0,"",'[1]BASE'!GL28)</f>
      </c>
      <c r="R28" s="1005">
        <f>IF('[1]BASE'!GM28=0,"",'[1]BASE'!GM28)</f>
      </c>
      <c r="S28" s="1005">
        <f>IF('[1]BASE'!GN28=0,"",'[1]BASE'!GN28)</f>
      </c>
      <c r="T28" s="1006"/>
      <c r="U28" s="1002"/>
    </row>
    <row r="29" spans="2:21" s="996" customFormat="1" ht="19.5" customHeight="1">
      <c r="B29" s="997"/>
      <c r="C29" s="1009">
        <f>IF('[1]BASE'!C29=0,"",'[1]BASE'!C29)</f>
        <v>13</v>
      </c>
      <c r="D29" s="1009" t="str">
        <f>IF('[1]BASE'!D29=0,"",'[1]BASE'!D29)</f>
        <v>CHO.W. - CHO. 1 (5WC1)</v>
      </c>
      <c r="E29" s="1009">
        <f>IF('[1]BASE'!E29=0,"",'[1]BASE'!E29)</f>
        <v>500</v>
      </c>
      <c r="F29" s="1009">
        <f>IF('[1]BASE'!F29=0,"",'[1]BASE'!F29)</f>
        <v>4.5</v>
      </c>
      <c r="G29" s="1010" t="str">
        <f>IF('[1]BASE'!G29=0,"",'[1]BASE'!G29)</f>
        <v>C</v>
      </c>
      <c r="H29" s="1005">
        <f>IF('[1]BASE'!GC29=0,"",'[1]BASE'!GC29)</f>
      </c>
      <c r="I29" s="1005">
        <f>IF('[1]BASE'!GD29=0,"",'[1]BASE'!GD29)</f>
      </c>
      <c r="J29" s="1005">
        <f>IF('[1]BASE'!GE29=0,"",'[1]BASE'!GE29)</f>
      </c>
      <c r="K29" s="1005">
        <f>IF('[1]BASE'!GF29=0,"",'[1]BASE'!GF29)</f>
      </c>
      <c r="L29" s="1005">
        <f>IF('[1]BASE'!GG29=0,"",'[1]BASE'!GG29)</f>
      </c>
      <c r="M29" s="1005">
        <f>IF('[1]BASE'!GH29=0,"",'[1]BASE'!GH29)</f>
      </c>
      <c r="N29" s="1005">
        <f>IF('[1]BASE'!GI29=0,"",'[1]BASE'!GI29)</f>
      </c>
      <c r="O29" s="1005">
        <f>IF('[1]BASE'!GJ29=0,"",'[1]BASE'!GJ29)</f>
      </c>
      <c r="P29" s="1005">
        <f>IF('[1]BASE'!GK29=0,"",'[1]BASE'!GK29)</f>
      </c>
      <c r="Q29" s="1005">
        <f>IF('[1]BASE'!GL29=0,"",'[1]BASE'!GL29)</f>
      </c>
      <c r="R29" s="1005">
        <f>IF('[1]BASE'!GM29=0,"",'[1]BASE'!GM29)</f>
      </c>
      <c r="S29" s="1005">
        <f>IF('[1]BASE'!GN29=0,"",'[1]BASE'!GN29)</f>
      </c>
      <c r="T29" s="1006"/>
      <c r="U29" s="1002"/>
    </row>
    <row r="30" spans="2:21" s="996" customFormat="1" ht="19.5" customHeight="1">
      <c r="B30" s="997"/>
      <c r="C30" s="1007">
        <f>IF('[1]BASE'!C30=0,"",'[1]BASE'!C30)</f>
        <v>14</v>
      </c>
      <c r="D30" s="1007" t="str">
        <f>IF('[1]BASE'!D30=0,"",'[1]BASE'!D30)</f>
        <v>CHO.W. - CHO. 2 (5WC2)</v>
      </c>
      <c r="E30" s="1007">
        <f>IF('[1]BASE'!E30=0,"",'[1]BASE'!E30)</f>
        <v>500</v>
      </c>
      <c r="F30" s="1007">
        <f>IF('[1]BASE'!F30=0,"",'[1]BASE'!F30)</f>
        <v>4.5</v>
      </c>
      <c r="G30" s="1008" t="str">
        <f>IF('[1]BASE'!G30=0,"",'[1]BASE'!G30)</f>
        <v>C</v>
      </c>
      <c r="H30" s="1005">
        <f>IF('[1]BASE'!GC30=0,"",'[1]BASE'!GC30)</f>
      </c>
      <c r="I30" s="1005">
        <f>IF('[1]BASE'!GD30=0,"",'[1]BASE'!GD30)</f>
      </c>
      <c r="J30" s="1005">
        <f>IF('[1]BASE'!GE30=0,"",'[1]BASE'!GE30)</f>
      </c>
      <c r="K30" s="1005">
        <f>IF('[1]BASE'!GF30=0,"",'[1]BASE'!GF30)</f>
      </c>
      <c r="L30" s="1005">
        <f>IF('[1]BASE'!GG30=0,"",'[1]BASE'!GG30)</f>
      </c>
      <c r="M30" s="1005">
        <f>IF('[1]BASE'!GH30=0,"",'[1]BASE'!GH30)</f>
      </c>
      <c r="N30" s="1005">
        <f>IF('[1]BASE'!GI30=0,"",'[1]BASE'!GI30)</f>
      </c>
      <c r="O30" s="1005">
        <f>IF('[1]BASE'!GJ30=0,"",'[1]BASE'!GJ30)</f>
      </c>
      <c r="P30" s="1005">
        <f>IF('[1]BASE'!GK30=0,"",'[1]BASE'!GK30)</f>
      </c>
      <c r="Q30" s="1005">
        <f>IF('[1]BASE'!GL30=0,"",'[1]BASE'!GL30)</f>
        <v>1</v>
      </c>
      <c r="R30" s="1005">
        <f>IF('[1]BASE'!GM30=0,"",'[1]BASE'!GM30)</f>
      </c>
      <c r="S30" s="1005">
        <f>IF('[1]BASE'!GN30=0,"",'[1]BASE'!GN30)</f>
      </c>
      <c r="T30" s="1006"/>
      <c r="U30" s="1002"/>
    </row>
    <row r="31" spans="2:21" s="996" customFormat="1" ht="19.5" customHeight="1">
      <c r="B31" s="997"/>
      <c r="C31" s="1009">
        <f>IF('[1]BASE'!C31=0,"",'[1]BASE'!C31)</f>
        <v>15</v>
      </c>
      <c r="D31" s="1009" t="str">
        <f>IF('[1]BASE'!D31=0,"",'[1]BASE'!D31)</f>
        <v>CHOCON - C.H. CHOCON 1</v>
      </c>
      <c r="E31" s="1009">
        <f>IF('[1]BASE'!E31=0,"",'[1]BASE'!E31)</f>
        <v>500</v>
      </c>
      <c r="F31" s="1009">
        <f>IF('[1]BASE'!F31=0,"",'[1]BASE'!F31)</f>
        <v>3</v>
      </c>
      <c r="G31" s="1010" t="str">
        <f>IF('[1]BASE'!G31=0,"",'[1]BASE'!G31)</f>
        <v>C</v>
      </c>
      <c r="H31" s="1005">
        <f>IF('[1]BASE'!GC31=0,"",'[1]BASE'!GC31)</f>
      </c>
      <c r="I31" s="1005">
        <f>IF('[1]BASE'!GD31=0,"",'[1]BASE'!GD31)</f>
      </c>
      <c r="J31" s="1005">
        <f>IF('[1]BASE'!GE31=0,"",'[1]BASE'!GE31)</f>
      </c>
      <c r="K31" s="1005">
        <f>IF('[1]BASE'!GF31=0,"",'[1]BASE'!GF31)</f>
      </c>
      <c r="L31" s="1005">
        <f>IF('[1]BASE'!GG31=0,"",'[1]BASE'!GG31)</f>
      </c>
      <c r="M31" s="1005">
        <f>IF('[1]BASE'!GH31=0,"",'[1]BASE'!GH31)</f>
      </c>
      <c r="N31" s="1005">
        <f>IF('[1]BASE'!GI31=0,"",'[1]BASE'!GI31)</f>
      </c>
      <c r="O31" s="1005">
        <f>IF('[1]BASE'!GJ31=0,"",'[1]BASE'!GJ31)</f>
      </c>
      <c r="P31" s="1005">
        <f>IF('[1]BASE'!GK31=0,"",'[1]BASE'!GK31)</f>
      </c>
      <c r="Q31" s="1005">
        <f>IF('[1]BASE'!GL31=0,"",'[1]BASE'!GL31)</f>
      </c>
      <c r="R31" s="1005">
        <f>IF('[1]BASE'!GM31=0,"",'[1]BASE'!GM31)</f>
      </c>
      <c r="S31" s="1005">
        <f>IF('[1]BASE'!GN31=0,"",'[1]BASE'!GN31)</f>
      </c>
      <c r="T31" s="1006"/>
      <c r="U31" s="1002"/>
    </row>
    <row r="32" spans="2:21" s="996" customFormat="1" ht="19.5" customHeight="1">
      <c r="B32" s="997"/>
      <c r="C32" s="1007">
        <f>IF('[1]BASE'!C32=0,"",'[1]BASE'!C32)</f>
        <v>16</v>
      </c>
      <c r="D32" s="1007" t="str">
        <f>IF('[1]BASE'!D32=0,"",'[1]BASE'!D32)</f>
        <v>CHOCON - C.H. CHOCON 2</v>
      </c>
      <c r="E32" s="1007">
        <f>IF('[1]BASE'!E32=0,"",'[1]BASE'!E32)</f>
        <v>500</v>
      </c>
      <c r="F32" s="1007">
        <f>IF('[1]BASE'!F32=0,"",'[1]BASE'!F32)</f>
        <v>3</v>
      </c>
      <c r="G32" s="1008" t="str">
        <f>IF('[1]BASE'!G32=0,"",'[1]BASE'!G32)</f>
        <v>C</v>
      </c>
      <c r="H32" s="1005">
        <f>IF('[1]BASE'!GC32=0,"",'[1]BASE'!GC32)</f>
      </c>
      <c r="I32" s="1005">
        <f>IF('[1]BASE'!GD32=0,"",'[1]BASE'!GD32)</f>
      </c>
      <c r="J32" s="1005">
        <f>IF('[1]BASE'!GE32=0,"",'[1]BASE'!GE32)</f>
      </c>
      <c r="K32" s="1005">
        <f>IF('[1]BASE'!GF32=0,"",'[1]BASE'!GF32)</f>
      </c>
      <c r="L32" s="1005">
        <f>IF('[1]BASE'!GG32=0,"",'[1]BASE'!GG32)</f>
      </c>
      <c r="M32" s="1005">
        <f>IF('[1]BASE'!GH32=0,"",'[1]BASE'!GH32)</f>
      </c>
      <c r="N32" s="1005">
        <f>IF('[1]BASE'!GI32=0,"",'[1]BASE'!GI32)</f>
      </c>
      <c r="O32" s="1005">
        <f>IF('[1]BASE'!GJ32=0,"",'[1]BASE'!GJ32)</f>
      </c>
      <c r="P32" s="1005">
        <f>IF('[1]BASE'!GK32=0,"",'[1]BASE'!GK32)</f>
      </c>
      <c r="Q32" s="1005">
        <f>IF('[1]BASE'!GL32=0,"",'[1]BASE'!GL32)</f>
      </c>
      <c r="R32" s="1005">
        <f>IF('[1]BASE'!GM32=0,"",'[1]BASE'!GM32)</f>
      </c>
      <c r="S32" s="1005">
        <f>IF('[1]BASE'!GN32=0,"",'[1]BASE'!GN32)</f>
      </c>
      <c r="T32" s="1006"/>
      <c r="U32" s="1002"/>
    </row>
    <row r="33" spans="2:21" s="996" customFormat="1" ht="19.5" customHeight="1">
      <c r="B33" s="997"/>
      <c r="C33" s="1009">
        <f>IF('[1]BASE'!C33=0,"",'[1]BASE'!C33)</f>
        <v>17</v>
      </c>
      <c r="D33" s="1009" t="str">
        <f>IF('[1]BASE'!D33=0,"",'[1]BASE'!D33)</f>
        <v>CHOCON - C.H. CHOCON 3</v>
      </c>
      <c r="E33" s="1009">
        <f>IF('[1]BASE'!E33=0,"",'[1]BASE'!E33)</f>
        <v>500</v>
      </c>
      <c r="F33" s="1009">
        <f>IF('[1]BASE'!F33=0,"",'[1]BASE'!F33)</f>
        <v>3</v>
      </c>
      <c r="G33" s="1010" t="str">
        <f>IF('[1]BASE'!G33=0,"",'[1]BASE'!G33)</f>
        <v>C</v>
      </c>
      <c r="H33" s="1005">
        <f>IF('[1]BASE'!GC33=0,"",'[1]BASE'!GC33)</f>
      </c>
      <c r="I33" s="1005">
        <f>IF('[1]BASE'!GD33=0,"",'[1]BASE'!GD33)</f>
      </c>
      <c r="J33" s="1005">
        <f>IF('[1]BASE'!GE33=0,"",'[1]BASE'!GE33)</f>
      </c>
      <c r="K33" s="1005">
        <f>IF('[1]BASE'!GF33=0,"",'[1]BASE'!GF33)</f>
      </c>
      <c r="L33" s="1005">
        <f>IF('[1]BASE'!GG33=0,"",'[1]BASE'!GG33)</f>
      </c>
      <c r="M33" s="1005">
        <f>IF('[1]BASE'!GH33=0,"",'[1]BASE'!GH33)</f>
      </c>
      <c r="N33" s="1005">
        <f>IF('[1]BASE'!GI33=0,"",'[1]BASE'!GI33)</f>
      </c>
      <c r="O33" s="1005">
        <f>IF('[1]BASE'!GJ33=0,"",'[1]BASE'!GJ33)</f>
      </c>
      <c r="P33" s="1005">
        <f>IF('[1]BASE'!GK33=0,"",'[1]BASE'!GK33)</f>
      </c>
      <c r="Q33" s="1005">
        <f>IF('[1]BASE'!GL33=0,"",'[1]BASE'!GL33)</f>
      </c>
      <c r="R33" s="1005">
        <f>IF('[1]BASE'!GM33=0,"",'[1]BASE'!GM33)</f>
      </c>
      <c r="S33" s="1005">
        <f>IF('[1]BASE'!GN33=0,"",'[1]BASE'!GN33)</f>
      </c>
      <c r="T33" s="1006"/>
      <c r="U33" s="1002"/>
    </row>
    <row r="34" spans="2:21" s="996" customFormat="1" ht="19.5" customHeight="1">
      <c r="B34" s="997"/>
      <c r="C34" s="1007">
        <f>IF('[1]BASE'!C34=0,"",'[1]BASE'!C34)</f>
        <v>18</v>
      </c>
      <c r="D34" s="1007" t="str">
        <f>IF('[1]BASE'!D34=0,"",'[1]BASE'!D34)</f>
        <v>CHOCON - PUELCHES 1</v>
      </c>
      <c r="E34" s="1007">
        <f>IF('[1]BASE'!E34=0,"",'[1]BASE'!E34)</f>
        <v>500</v>
      </c>
      <c r="F34" s="1007">
        <f>IF('[1]BASE'!F34=0,"",'[1]BASE'!F34)</f>
        <v>304</v>
      </c>
      <c r="G34" s="1008" t="str">
        <f>IF('[1]BASE'!G34=0,"",'[1]BASE'!G34)</f>
        <v>A</v>
      </c>
      <c r="H34" s="1005">
        <f>IF('[1]BASE'!GC34=0,"",'[1]BASE'!GC34)</f>
        <v>2</v>
      </c>
      <c r="I34" s="1005">
        <f>IF('[1]BASE'!GD34=0,"",'[1]BASE'!GD34)</f>
      </c>
      <c r="J34" s="1005">
        <f>IF('[1]BASE'!GE34=0,"",'[1]BASE'!GE34)</f>
      </c>
      <c r="K34" s="1005">
        <f>IF('[1]BASE'!GF34=0,"",'[1]BASE'!GF34)</f>
      </c>
      <c r="L34" s="1005">
        <f>IF('[1]BASE'!GG34=0,"",'[1]BASE'!GG34)</f>
      </c>
      <c r="M34" s="1005">
        <f>IF('[1]BASE'!GH34=0,"",'[1]BASE'!GH34)</f>
      </c>
      <c r="N34" s="1005">
        <f>IF('[1]BASE'!GI34=0,"",'[1]BASE'!GI34)</f>
      </c>
      <c r="O34" s="1005">
        <f>IF('[1]BASE'!GJ34=0,"",'[1]BASE'!GJ34)</f>
      </c>
      <c r="P34" s="1005">
        <f>IF('[1]BASE'!GK34=0,"",'[1]BASE'!GK34)</f>
      </c>
      <c r="Q34" s="1005">
        <f>IF('[1]BASE'!GL34=0,"",'[1]BASE'!GL34)</f>
      </c>
      <c r="R34" s="1005">
        <f>IF('[1]BASE'!GM34=0,"",'[1]BASE'!GM34)</f>
      </c>
      <c r="S34" s="1005">
        <f>IF('[1]BASE'!GN34=0,"",'[1]BASE'!GN34)</f>
      </c>
      <c r="T34" s="1006"/>
      <c r="U34" s="1002"/>
    </row>
    <row r="35" spans="2:21" s="996" customFormat="1" ht="19.5" customHeight="1">
      <c r="B35" s="997"/>
      <c r="C35" s="1009">
        <f>IF('[1]BASE'!C35=0,"",'[1]BASE'!C35)</f>
        <v>19</v>
      </c>
      <c r="D35" s="1009" t="str">
        <f>IF('[1]BASE'!D35=0,"",'[1]BASE'!D35)</f>
        <v>CHOCON - PUELCHES 2</v>
      </c>
      <c r="E35" s="1009">
        <f>IF('[1]BASE'!E35=0,"",'[1]BASE'!E35)</f>
        <v>500</v>
      </c>
      <c r="F35" s="1009">
        <f>IF('[1]BASE'!F35=0,"",'[1]BASE'!F35)</f>
        <v>304</v>
      </c>
      <c r="G35" s="1010" t="str">
        <f>IF('[1]BASE'!G35=0,"",'[1]BASE'!G35)</f>
        <v>A</v>
      </c>
      <c r="H35" s="1005">
        <f>IF('[1]BASE'!GC35=0,"",'[1]BASE'!GC35)</f>
      </c>
      <c r="I35" s="1005">
        <f>IF('[1]BASE'!GD35=0,"",'[1]BASE'!GD35)</f>
      </c>
      <c r="J35" s="1005">
        <f>IF('[1]BASE'!GE35=0,"",'[1]BASE'!GE35)</f>
      </c>
      <c r="K35" s="1005">
        <f>IF('[1]BASE'!GF35=0,"",'[1]BASE'!GF35)</f>
      </c>
      <c r="L35" s="1005">
        <f>IF('[1]BASE'!GG35=0,"",'[1]BASE'!GG35)</f>
      </c>
      <c r="M35" s="1005">
        <f>IF('[1]BASE'!GH35=0,"",'[1]BASE'!GH35)</f>
      </c>
      <c r="N35" s="1005">
        <f>IF('[1]BASE'!GI35=0,"",'[1]BASE'!GI35)</f>
      </c>
      <c r="O35" s="1005">
        <f>IF('[1]BASE'!GJ35=0,"",'[1]BASE'!GJ35)</f>
      </c>
      <c r="P35" s="1005">
        <f>IF('[1]BASE'!GK35=0,"",'[1]BASE'!GK35)</f>
      </c>
      <c r="Q35" s="1005">
        <f>IF('[1]BASE'!GL35=0,"",'[1]BASE'!GL35)</f>
      </c>
      <c r="R35" s="1005">
        <f>IF('[1]BASE'!GM35=0,"",'[1]BASE'!GM35)</f>
      </c>
      <c r="S35" s="1005">
        <f>IF('[1]BASE'!GN35=0,"",'[1]BASE'!GN35)</f>
      </c>
      <c r="T35" s="1006"/>
      <c r="U35" s="1002"/>
    </row>
    <row r="36" spans="2:21" s="996" customFormat="1" ht="19.5" customHeight="1">
      <c r="B36" s="997"/>
      <c r="C36" s="1007">
        <f>IF('[1]BASE'!C36=0,"",'[1]BASE'!C36)</f>
        <v>20</v>
      </c>
      <c r="D36" s="1007" t="str">
        <f>IF('[1]BASE'!D36=0,"",'[1]BASE'!D36)</f>
        <v>E.T.P.del AGUILA - CENTRAL P.del A. 1</v>
      </c>
      <c r="E36" s="1007">
        <f>IF('[1]BASE'!E36=0,"",'[1]BASE'!E36)</f>
        <v>500</v>
      </c>
      <c r="F36" s="1007">
        <f>IF('[1]BASE'!F36=0,"",'[1]BASE'!F36)</f>
        <v>5.6</v>
      </c>
      <c r="G36" s="1008" t="str">
        <f>IF('[1]BASE'!G36=0,"",'[1]BASE'!G36)</f>
        <v>C</v>
      </c>
      <c r="H36" s="1005">
        <f>IF('[1]BASE'!GC36=0,"",'[1]BASE'!GC36)</f>
      </c>
      <c r="I36" s="1005">
        <f>IF('[1]BASE'!GD36=0,"",'[1]BASE'!GD36)</f>
      </c>
      <c r="J36" s="1005">
        <f>IF('[1]BASE'!GE36=0,"",'[1]BASE'!GE36)</f>
      </c>
      <c r="K36" s="1005">
        <f>IF('[1]BASE'!GF36=0,"",'[1]BASE'!GF36)</f>
      </c>
      <c r="L36" s="1005">
        <f>IF('[1]BASE'!GG36=0,"",'[1]BASE'!GG36)</f>
      </c>
      <c r="M36" s="1005">
        <f>IF('[1]BASE'!GH36=0,"",'[1]BASE'!GH36)</f>
      </c>
      <c r="N36" s="1005">
        <f>IF('[1]BASE'!GI36=0,"",'[1]BASE'!GI36)</f>
      </c>
      <c r="O36" s="1005">
        <f>IF('[1]BASE'!GJ36=0,"",'[1]BASE'!GJ36)</f>
      </c>
      <c r="P36" s="1005">
        <f>IF('[1]BASE'!GK36=0,"",'[1]BASE'!GK36)</f>
      </c>
      <c r="Q36" s="1005">
        <f>IF('[1]BASE'!GL36=0,"",'[1]BASE'!GL36)</f>
      </c>
      <c r="R36" s="1005">
        <f>IF('[1]BASE'!GM36=0,"",'[1]BASE'!GM36)</f>
      </c>
      <c r="S36" s="1005">
        <f>IF('[1]BASE'!GN36=0,"",'[1]BASE'!GN36)</f>
      </c>
      <c r="T36" s="1006"/>
      <c r="U36" s="1002"/>
    </row>
    <row r="37" spans="2:21" s="996" customFormat="1" ht="19.5" customHeight="1">
      <c r="B37" s="997"/>
      <c r="C37" s="1009">
        <f>IF('[1]BASE'!C37=0,"",'[1]BASE'!C37)</f>
        <v>21</v>
      </c>
      <c r="D37" s="1009" t="str">
        <f>IF('[1]BASE'!D37=0,"",'[1]BASE'!D37)</f>
        <v>E.T.P.del AGUILA - CENTRAL P.del A. 2</v>
      </c>
      <c r="E37" s="1009">
        <f>IF('[1]BASE'!E37=0,"",'[1]BASE'!E37)</f>
        <v>500</v>
      </c>
      <c r="F37" s="1009">
        <f>IF('[1]BASE'!F37=0,"",'[1]BASE'!F37)</f>
        <v>5.6</v>
      </c>
      <c r="G37" s="1010" t="str">
        <f>IF('[1]BASE'!G37=0,"",'[1]BASE'!G37)</f>
        <v>C</v>
      </c>
      <c r="H37" s="1005">
        <f>IF('[1]BASE'!GC37=0,"",'[1]BASE'!GC37)</f>
      </c>
      <c r="I37" s="1005">
        <f>IF('[1]BASE'!GD37=0,"",'[1]BASE'!GD37)</f>
      </c>
      <c r="J37" s="1005">
        <f>IF('[1]BASE'!GE37=0,"",'[1]BASE'!GE37)</f>
      </c>
      <c r="K37" s="1005">
        <f>IF('[1]BASE'!GF37=0,"",'[1]BASE'!GF37)</f>
      </c>
      <c r="L37" s="1005">
        <f>IF('[1]BASE'!GG37=0,"",'[1]BASE'!GG37)</f>
      </c>
      <c r="M37" s="1005">
        <f>IF('[1]BASE'!GH37=0,"",'[1]BASE'!GH37)</f>
      </c>
      <c r="N37" s="1005">
        <f>IF('[1]BASE'!GI37=0,"",'[1]BASE'!GI37)</f>
      </c>
      <c r="O37" s="1005">
        <f>IF('[1]BASE'!GJ37=0,"",'[1]BASE'!GJ37)</f>
      </c>
      <c r="P37" s="1005">
        <f>IF('[1]BASE'!GK37=0,"",'[1]BASE'!GK37)</f>
      </c>
      <c r="Q37" s="1005">
        <f>IF('[1]BASE'!GL37=0,"",'[1]BASE'!GL37)</f>
      </c>
      <c r="R37" s="1005">
        <f>IF('[1]BASE'!GM37=0,"",'[1]BASE'!GM37)</f>
      </c>
      <c r="S37" s="1005">
        <f>IF('[1]BASE'!GN37=0,"",'[1]BASE'!GN37)</f>
      </c>
      <c r="T37" s="1006"/>
      <c r="U37" s="1002"/>
    </row>
    <row r="38" spans="2:21" s="996" customFormat="1" ht="19.5" customHeight="1">
      <c r="B38" s="997"/>
      <c r="C38" s="1007">
        <f>IF('[1]BASE'!C38=0,"",'[1]BASE'!C38)</f>
        <v>22</v>
      </c>
      <c r="D38" s="1007" t="str">
        <f>IF('[1]BASE'!D38=0,"",'[1]BASE'!D38)</f>
        <v>EL BRACHO - RECREO(5)</v>
      </c>
      <c r="E38" s="1007">
        <f>IF('[1]BASE'!E38=0,"",'[1]BASE'!E38)</f>
        <v>500</v>
      </c>
      <c r="F38" s="1007">
        <f>IF('[1]BASE'!F38=0,"",'[1]BASE'!F38)</f>
        <v>255</v>
      </c>
      <c r="G38" s="1008" t="str">
        <f>IF('[1]BASE'!G38=0,"",'[1]BASE'!G38)</f>
        <v>C</v>
      </c>
      <c r="H38" s="1005">
        <f>IF('[1]BASE'!GC38=0,"",'[1]BASE'!GC38)</f>
      </c>
      <c r="I38" s="1005">
        <f>IF('[1]BASE'!GD38=0,"",'[1]BASE'!GD38)</f>
      </c>
      <c r="J38" s="1005">
        <f>IF('[1]BASE'!GE38=0,"",'[1]BASE'!GE38)</f>
      </c>
      <c r="K38" s="1005">
        <f>IF('[1]BASE'!GF38=0,"",'[1]BASE'!GF38)</f>
        <v>1</v>
      </c>
      <c r="L38" s="1005">
        <f>IF('[1]BASE'!GG38=0,"",'[1]BASE'!GG38)</f>
      </c>
      <c r="M38" s="1005">
        <f>IF('[1]BASE'!GH38=0,"",'[1]BASE'!GH38)</f>
      </c>
      <c r="N38" s="1005">
        <f>IF('[1]BASE'!GI38=0,"",'[1]BASE'!GI38)</f>
      </c>
      <c r="O38" s="1005">
        <f>IF('[1]BASE'!GJ38=0,"",'[1]BASE'!GJ38)</f>
      </c>
      <c r="P38" s="1005">
        <f>IF('[1]BASE'!GK38=0,"",'[1]BASE'!GK38)</f>
      </c>
      <c r="Q38" s="1005">
        <f>IF('[1]BASE'!GL38=0,"",'[1]BASE'!GL38)</f>
      </c>
      <c r="R38" s="1005">
        <f>IF('[1]BASE'!GM38=0,"",'[1]BASE'!GM38)</f>
      </c>
      <c r="S38" s="1005">
        <f>IF('[1]BASE'!GN38=0,"",'[1]BASE'!GN38)</f>
      </c>
      <c r="T38" s="1006"/>
      <c r="U38" s="1002"/>
    </row>
    <row r="39" spans="2:21" s="996" customFormat="1" ht="19.5" customHeight="1">
      <c r="B39" s="997"/>
      <c r="C39" s="1009">
        <f>IF('[1]BASE'!C39=0,"",'[1]BASE'!C39)</f>
        <v>23</v>
      </c>
      <c r="D39" s="1009" t="str">
        <f>IF('[1]BASE'!D39=0,"",'[1]BASE'!D39)</f>
        <v>EZEIZA - ABASTO 1</v>
      </c>
      <c r="E39" s="1009">
        <f>IF('[1]BASE'!E39=0,"",'[1]BASE'!E39)</f>
        <v>500</v>
      </c>
      <c r="F39" s="1009">
        <f>IF('[1]BASE'!F39=0,"",'[1]BASE'!F39)</f>
        <v>58</v>
      </c>
      <c r="G39" s="1010" t="str">
        <f>IF('[1]BASE'!G39=0,"",'[1]BASE'!G39)</f>
        <v>C</v>
      </c>
      <c r="H39" s="1005">
        <f>IF('[1]BASE'!GC39=0,"",'[1]BASE'!GC39)</f>
      </c>
      <c r="I39" s="1005">
        <f>IF('[1]BASE'!GD39=0,"",'[1]BASE'!GD39)</f>
      </c>
      <c r="J39" s="1005">
        <f>IF('[1]BASE'!GE39=0,"",'[1]BASE'!GE39)</f>
      </c>
      <c r="K39" s="1005">
        <f>IF('[1]BASE'!GF39=0,"",'[1]BASE'!GF39)</f>
      </c>
      <c r="L39" s="1005">
        <f>IF('[1]BASE'!GG39=0,"",'[1]BASE'!GG39)</f>
      </c>
      <c r="M39" s="1005">
        <f>IF('[1]BASE'!GH39=0,"",'[1]BASE'!GH39)</f>
      </c>
      <c r="N39" s="1005">
        <f>IF('[1]BASE'!GI39=0,"",'[1]BASE'!GI39)</f>
      </c>
      <c r="O39" s="1005">
        <f>IF('[1]BASE'!GJ39=0,"",'[1]BASE'!GJ39)</f>
      </c>
      <c r="P39" s="1005">
        <f>IF('[1]BASE'!GK39=0,"",'[1]BASE'!GK39)</f>
      </c>
      <c r="Q39" s="1005">
        <f>IF('[1]BASE'!GL39=0,"",'[1]BASE'!GL39)</f>
      </c>
      <c r="R39" s="1005">
        <f>IF('[1]BASE'!GM39=0,"",'[1]BASE'!GM39)</f>
      </c>
      <c r="S39" s="1005">
        <f>IF('[1]BASE'!GN39=0,"",'[1]BASE'!GN39)</f>
      </c>
      <c r="T39" s="1006"/>
      <c r="U39" s="1002"/>
    </row>
    <row r="40" spans="2:21" s="996" customFormat="1" ht="19.5" customHeight="1">
      <c r="B40" s="997"/>
      <c r="C40" s="1007">
        <f>IF('[1]BASE'!C40=0,"",'[1]BASE'!C40)</f>
        <v>24</v>
      </c>
      <c r="D40" s="1007" t="str">
        <f>IF('[1]BASE'!D40=0,"",'[1]BASE'!D40)</f>
        <v>EZEIZA - ABASTO 2</v>
      </c>
      <c r="E40" s="1007">
        <f>IF('[1]BASE'!E40=0,"",'[1]BASE'!E40)</f>
        <v>500</v>
      </c>
      <c r="F40" s="1007">
        <f>IF('[1]BASE'!F40=0,"",'[1]BASE'!F40)</f>
        <v>58</v>
      </c>
      <c r="G40" s="1008" t="str">
        <f>IF('[1]BASE'!G40=0,"",'[1]BASE'!G40)</f>
        <v>C</v>
      </c>
      <c r="H40" s="1005">
        <f>IF('[1]BASE'!GC40=0,"",'[1]BASE'!GC40)</f>
      </c>
      <c r="I40" s="1005">
        <f>IF('[1]BASE'!GD40=0,"",'[1]BASE'!GD40)</f>
      </c>
      <c r="J40" s="1005">
        <f>IF('[1]BASE'!GE40=0,"",'[1]BASE'!GE40)</f>
      </c>
      <c r="K40" s="1005">
        <f>IF('[1]BASE'!GF40=0,"",'[1]BASE'!GF40)</f>
      </c>
      <c r="L40" s="1005">
        <f>IF('[1]BASE'!GG40=0,"",'[1]BASE'!GG40)</f>
      </c>
      <c r="M40" s="1005">
        <f>IF('[1]BASE'!GH40=0,"",'[1]BASE'!GH40)</f>
      </c>
      <c r="N40" s="1005">
        <f>IF('[1]BASE'!GI40=0,"",'[1]BASE'!GI40)</f>
      </c>
      <c r="O40" s="1005">
        <f>IF('[1]BASE'!GJ40=0,"",'[1]BASE'!GJ40)</f>
      </c>
      <c r="P40" s="1005">
        <f>IF('[1]BASE'!GK40=0,"",'[1]BASE'!GK40)</f>
      </c>
      <c r="Q40" s="1005">
        <f>IF('[1]BASE'!GL40=0,"",'[1]BASE'!GL40)</f>
      </c>
      <c r="R40" s="1005">
        <f>IF('[1]BASE'!GM40=0,"",'[1]BASE'!GM40)</f>
      </c>
      <c r="S40" s="1005">
        <f>IF('[1]BASE'!GN40=0,"",'[1]BASE'!GN40)</f>
      </c>
      <c r="T40" s="1006"/>
      <c r="U40" s="1002"/>
    </row>
    <row r="41" spans="2:21" s="996" customFormat="1" ht="19.5" customHeight="1">
      <c r="B41" s="997"/>
      <c r="C41" s="1009">
        <f>IF('[1]BASE'!C41=0,"",'[1]BASE'!C41)</f>
        <v>25</v>
      </c>
      <c r="D41" s="1009" t="str">
        <f>IF('[1]BASE'!D41=0,"",'[1]BASE'!D41)</f>
        <v>EZEIZA - RODRIGUEZ 1</v>
      </c>
      <c r="E41" s="1009">
        <f>IF('[1]BASE'!E41=0,"",'[1]BASE'!E41)</f>
        <v>500</v>
      </c>
      <c r="F41" s="1009">
        <f>IF('[1]BASE'!F41=0,"",'[1]BASE'!F41)</f>
        <v>53</v>
      </c>
      <c r="G41" s="1010" t="str">
        <f>IF('[1]BASE'!G41=0,"",'[1]BASE'!G41)</f>
        <v>C</v>
      </c>
      <c r="H41" s="1005">
        <f>IF('[1]BASE'!GC41=0,"",'[1]BASE'!GC41)</f>
      </c>
      <c r="I41" s="1005">
        <f>IF('[1]BASE'!GD41=0,"",'[1]BASE'!GD41)</f>
      </c>
      <c r="J41" s="1005">
        <f>IF('[1]BASE'!GE41=0,"",'[1]BASE'!GE41)</f>
      </c>
      <c r="K41" s="1005">
        <f>IF('[1]BASE'!GF41=0,"",'[1]BASE'!GF41)</f>
      </c>
      <c r="L41" s="1005">
        <f>IF('[1]BASE'!GG41=0,"",'[1]BASE'!GG41)</f>
      </c>
      <c r="M41" s="1005">
        <f>IF('[1]BASE'!GH41=0,"",'[1]BASE'!GH41)</f>
      </c>
      <c r="N41" s="1005">
        <f>IF('[1]BASE'!GI41=0,"",'[1]BASE'!GI41)</f>
      </c>
      <c r="O41" s="1005">
        <f>IF('[1]BASE'!GJ41=0,"",'[1]BASE'!GJ41)</f>
      </c>
      <c r="P41" s="1005">
        <f>IF('[1]BASE'!GK41=0,"",'[1]BASE'!GK41)</f>
      </c>
      <c r="Q41" s="1005">
        <f>IF('[1]BASE'!GL41=0,"",'[1]BASE'!GL41)</f>
      </c>
      <c r="R41" s="1005">
        <f>IF('[1]BASE'!GM41=0,"",'[1]BASE'!GM41)</f>
      </c>
      <c r="S41" s="1005">
        <f>IF('[1]BASE'!GN41=0,"",'[1]BASE'!GN41)</f>
      </c>
      <c r="T41" s="1006"/>
      <c r="U41" s="1002"/>
    </row>
    <row r="42" spans="2:21" s="996" customFormat="1" ht="19.5" customHeight="1">
      <c r="B42" s="997"/>
      <c r="C42" s="1007">
        <f>IF('[1]BASE'!C42=0,"",'[1]BASE'!C42)</f>
        <v>26</v>
      </c>
      <c r="D42" s="1007" t="str">
        <f>IF('[1]BASE'!D42=0,"",'[1]BASE'!D42)</f>
        <v>EZEIZA - RODRIGUEZ 2</v>
      </c>
      <c r="E42" s="1007">
        <f>IF('[1]BASE'!E42=0,"",'[1]BASE'!E42)</f>
        <v>500</v>
      </c>
      <c r="F42" s="1007">
        <f>IF('[1]BASE'!F42=0,"",'[1]BASE'!F42)</f>
        <v>53</v>
      </c>
      <c r="G42" s="1008" t="str">
        <f>IF('[1]BASE'!G42=0,"",'[1]BASE'!G42)</f>
        <v>C</v>
      </c>
      <c r="H42" s="1005">
        <f>IF('[1]BASE'!GC42=0,"",'[1]BASE'!GC42)</f>
      </c>
      <c r="I42" s="1005">
        <f>IF('[1]BASE'!GD42=0,"",'[1]BASE'!GD42)</f>
      </c>
      <c r="J42" s="1005">
        <f>IF('[1]BASE'!GE42=0,"",'[1]BASE'!GE42)</f>
      </c>
      <c r="K42" s="1005">
        <f>IF('[1]BASE'!GF42=0,"",'[1]BASE'!GF42)</f>
      </c>
      <c r="L42" s="1005">
        <f>IF('[1]BASE'!GG42=0,"",'[1]BASE'!GG42)</f>
      </c>
      <c r="M42" s="1005">
        <f>IF('[1]BASE'!GH42=0,"",'[1]BASE'!GH42)</f>
      </c>
      <c r="N42" s="1005">
        <f>IF('[1]BASE'!GI42=0,"",'[1]BASE'!GI42)</f>
      </c>
      <c r="O42" s="1005">
        <f>IF('[1]BASE'!GJ42=0,"",'[1]BASE'!GJ42)</f>
      </c>
      <c r="P42" s="1005">
        <f>IF('[1]BASE'!GK42=0,"",'[1]BASE'!GK42)</f>
      </c>
      <c r="Q42" s="1005">
        <f>IF('[1]BASE'!GL42=0,"",'[1]BASE'!GL42)</f>
      </c>
      <c r="R42" s="1005">
        <f>IF('[1]BASE'!GM42=0,"",'[1]BASE'!GM42)</f>
      </c>
      <c r="S42" s="1005">
        <f>IF('[1]BASE'!GN42=0,"",'[1]BASE'!GN42)</f>
      </c>
      <c r="T42" s="1006"/>
      <c r="U42" s="1002"/>
    </row>
    <row r="43" spans="2:21" s="996" customFormat="1" ht="19.5" customHeight="1">
      <c r="B43" s="997"/>
      <c r="C43" s="1009">
        <f>IF('[1]BASE'!C43=0,"",'[1]BASE'!C43)</f>
        <v>27</v>
      </c>
      <c r="D43" s="1009" t="str">
        <f>IF('[1]BASE'!D43=0,"",'[1]BASE'!D43)</f>
        <v>EZEIZA- HENDERSON 1</v>
      </c>
      <c r="E43" s="1009">
        <f>IF('[1]BASE'!E43=0,"",'[1]BASE'!E43)</f>
        <v>500</v>
      </c>
      <c r="F43" s="1009">
        <f>IF('[1]BASE'!F43=0,"",'[1]BASE'!F43)</f>
        <v>313</v>
      </c>
      <c r="G43" s="1010" t="str">
        <f>IF('[1]BASE'!G43=0,"",'[1]BASE'!G43)</f>
        <v>A</v>
      </c>
      <c r="H43" s="1005">
        <f>IF('[1]BASE'!GC43=0,"",'[1]BASE'!GC43)</f>
        <v>1</v>
      </c>
      <c r="I43" s="1005">
        <f>IF('[1]BASE'!GD43=0,"",'[1]BASE'!GD43)</f>
      </c>
      <c r="J43" s="1005">
        <f>IF('[1]BASE'!GE43=0,"",'[1]BASE'!GE43)</f>
      </c>
      <c r="K43" s="1005">
        <f>IF('[1]BASE'!GF43=0,"",'[1]BASE'!GF43)</f>
      </c>
      <c r="L43" s="1005">
        <f>IF('[1]BASE'!GG43=0,"",'[1]BASE'!GG43)</f>
      </c>
      <c r="M43" s="1005">
        <f>IF('[1]BASE'!GH43=0,"",'[1]BASE'!GH43)</f>
      </c>
      <c r="N43" s="1005">
        <f>IF('[1]BASE'!GI43=0,"",'[1]BASE'!GI43)</f>
      </c>
      <c r="O43" s="1005">
        <f>IF('[1]BASE'!GJ43=0,"",'[1]BASE'!GJ43)</f>
      </c>
      <c r="P43" s="1005">
        <f>IF('[1]BASE'!GK43=0,"",'[1]BASE'!GK43)</f>
      </c>
      <c r="Q43" s="1005">
        <f>IF('[1]BASE'!GL43=0,"",'[1]BASE'!GL43)</f>
      </c>
      <c r="R43" s="1005">
        <f>IF('[1]BASE'!GM43=0,"",'[1]BASE'!GM43)</f>
      </c>
      <c r="S43" s="1005">
        <f>IF('[1]BASE'!GN43=0,"",'[1]BASE'!GN43)</f>
      </c>
      <c r="T43" s="1006"/>
      <c r="U43" s="1002"/>
    </row>
    <row r="44" spans="2:21" s="996" customFormat="1" ht="19.5" customHeight="1">
      <c r="B44" s="997"/>
      <c r="C44" s="1007">
        <f>IF('[1]BASE'!C44=0,"",'[1]BASE'!C44)</f>
        <v>28</v>
      </c>
      <c r="D44" s="1007" t="str">
        <f>IF('[1]BASE'!D44=0,"",'[1]BASE'!D44)</f>
        <v>EZEIZA - HENDERSON 2</v>
      </c>
      <c r="E44" s="1007">
        <f>IF('[1]BASE'!E44=0,"",'[1]BASE'!E44)</f>
        <v>500</v>
      </c>
      <c r="F44" s="1007">
        <f>IF('[1]BASE'!F44=0,"",'[1]BASE'!F44)</f>
        <v>313</v>
      </c>
      <c r="G44" s="1008" t="str">
        <f>IF('[1]BASE'!G44=0,"",'[1]BASE'!G44)</f>
        <v>A</v>
      </c>
      <c r="H44" s="1005">
        <f>IF('[1]BASE'!GC44=0,"",'[1]BASE'!GC44)</f>
      </c>
      <c r="I44" s="1005">
        <f>IF('[1]BASE'!GD44=0,"",'[1]BASE'!GD44)</f>
      </c>
      <c r="J44" s="1005">
        <f>IF('[1]BASE'!GE44=0,"",'[1]BASE'!GE44)</f>
      </c>
      <c r="K44" s="1005">
        <f>IF('[1]BASE'!GF44=0,"",'[1]BASE'!GF44)</f>
      </c>
      <c r="L44" s="1005">
        <f>IF('[1]BASE'!GG44=0,"",'[1]BASE'!GG44)</f>
      </c>
      <c r="M44" s="1005">
        <f>IF('[1]BASE'!GH44=0,"",'[1]BASE'!GH44)</f>
      </c>
      <c r="N44" s="1005">
        <f>IF('[1]BASE'!GI44=0,"",'[1]BASE'!GI44)</f>
      </c>
      <c r="O44" s="1005">
        <f>IF('[1]BASE'!GJ44=0,"",'[1]BASE'!GJ44)</f>
      </c>
      <c r="P44" s="1005">
        <f>IF('[1]BASE'!GK44=0,"",'[1]BASE'!GK44)</f>
      </c>
      <c r="Q44" s="1005">
        <f>IF('[1]BASE'!GL44=0,"",'[1]BASE'!GL44)</f>
      </c>
      <c r="R44" s="1005">
        <f>IF('[1]BASE'!GM44=0,"",'[1]BASE'!GM44)</f>
      </c>
      <c r="S44" s="1005">
        <f>IF('[1]BASE'!GN44=0,"",'[1]BASE'!GN44)</f>
      </c>
      <c r="T44" s="1006"/>
      <c r="U44" s="1002"/>
    </row>
    <row r="45" spans="2:21" s="996" customFormat="1" ht="19.5" customHeight="1">
      <c r="B45" s="997"/>
      <c r="C45" s="1009">
        <f>IF('[1]BASE'!C45=0,"",'[1]BASE'!C45)</f>
        <v>29</v>
      </c>
      <c r="D45" s="1009" t="str">
        <f>IF('[1]BASE'!D45=0,"",'[1]BASE'!D45)</f>
        <v>GRAL. RODRIGUEZ - CAMPANA </v>
      </c>
      <c r="E45" s="1009">
        <f>IF('[1]BASE'!E45=0,"",'[1]BASE'!E45)</f>
        <v>500</v>
      </c>
      <c r="F45" s="1009">
        <f>IF('[1]BASE'!F45=0,"",'[1]BASE'!F45)</f>
        <v>42</v>
      </c>
      <c r="G45" s="1010" t="str">
        <f>IF('[1]BASE'!G45=0,"",'[1]BASE'!G45)</f>
        <v>B</v>
      </c>
      <c r="H45" s="1005">
        <f>IF('[1]BASE'!GC45=0,"",'[1]BASE'!GC45)</f>
      </c>
      <c r="I45" s="1005">
        <f>IF('[1]BASE'!GD45=0,"",'[1]BASE'!GD45)</f>
      </c>
      <c r="J45" s="1005">
        <f>IF('[1]BASE'!GE45=0,"",'[1]BASE'!GE45)</f>
      </c>
      <c r="K45" s="1005">
        <f>IF('[1]BASE'!GF45=0,"",'[1]BASE'!GF45)</f>
      </c>
      <c r="L45" s="1005">
        <f>IF('[1]BASE'!GG45=0,"",'[1]BASE'!GG45)</f>
      </c>
      <c r="M45" s="1005">
        <f>IF('[1]BASE'!GH45=0,"",'[1]BASE'!GH45)</f>
      </c>
      <c r="N45" s="1005">
        <f>IF('[1]BASE'!GI45=0,"",'[1]BASE'!GI45)</f>
      </c>
      <c r="O45" s="1005">
        <f>IF('[1]BASE'!GJ45=0,"",'[1]BASE'!GJ45)</f>
      </c>
      <c r="P45" s="1005">
        <f>IF('[1]BASE'!GK45=0,"",'[1]BASE'!GK45)</f>
      </c>
      <c r="Q45" s="1005">
        <f>IF('[1]BASE'!GL45=0,"",'[1]BASE'!GL45)</f>
      </c>
      <c r="R45" s="1005">
        <f>IF('[1]BASE'!GM45=0,"",'[1]BASE'!GM45)</f>
      </c>
      <c r="S45" s="1005">
        <f>IF('[1]BASE'!GN45=0,"",'[1]BASE'!GN45)</f>
      </c>
      <c r="T45" s="1006"/>
      <c r="U45" s="1002"/>
    </row>
    <row r="46" spans="2:21" s="996" customFormat="1" ht="19.5" customHeight="1">
      <c r="B46" s="997"/>
      <c r="C46" s="1007">
        <f>IF('[1]BASE'!C46=0,"",'[1]BASE'!C46)</f>
        <v>30</v>
      </c>
      <c r="D46" s="1007" t="str">
        <f>IF('[1]BASE'!D46=0,"",'[1]BASE'!D46)</f>
        <v>GRAL. RODRIGUEZ- ROSARIO OESTE </v>
      </c>
      <c r="E46" s="1007">
        <f>IF('[1]BASE'!E46=0,"",'[1]BASE'!E46)</f>
        <v>500</v>
      </c>
      <c r="F46" s="1007">
        <f>IF('[1]BASE'!F46=0,"",'[1]BASE'!F46)</f>
        <v>258</v>
      </c>
      <c r="G46" s="1008" t="str">
        <f>IF('[1]BASE'!G46=0,"",'[1]BASE'!G46)</f>
        <v>C</v>
      </c>
      <c r="H46" s="1005" t="str">
        <f>IF('[1]BASE'!GC46=0,"",'[1]BASE'!GC46)</f>
        <v>XXXX</v>
      </c>
      <c r="I46" s="1005" t="str">
        <f>IF('[1]BASE'!GD46=0,"",'[1]BASE'!GD46)</f>
        <v>XXXX</v>
      </c>
      <c r="J46" s="1005" t="str">
        <f>IF('[1]BASE'!GE46=0,"",'[1]BASE'!GE46)</f>
        <v>XXXX</v>
      </c>
      <c r="K46" s="1005" t="str">
        <f>IF('[1]BASE'!GF46=0,"",'[1]BASE'!GF46)</f>
        <v>XXXX</v>
      </c>
      <c r="L46" s="1005" t="str">
        <f>IF('[1]BASE'!GG46=0,"",'[1]BASE'!GG46)</f>
        <v>XXXX</v>
      </c>
      <c r="M46" s="1005" t="str">
        <f>IF('[1]BASE'!GH46=0,"",'[1]BASE'!GH46)</f>
        <v>XXXX</v>
      </c>
      <c r="N46" s="1005" t="str">
        <f>IF('[1]BASE'!GI46=0,"",'[1]BASE'!GI46)</f>
        <v>XXXX</v>
      </c>
      <c r="O46" s="1005" t="str">
        <f>IF('[1]BASE'!GJ46=0,"",'[1]BASE'!GJ46)</f>
        <v>XXXX</v>
      </c>
      <c r="P46" s="1005" t="str">
        <f>IF('[1]BASE'!GK46=0,"",'[1]BASE'!GK46)</f>
        <v>XXXX</v>
      </c>
      <c r="Q46" s="1005" t="str">
        <f>IF('[1]BASE'!GL46=0,"",'[1]BASE'!GL46)</f>
        <v>XXXX</v>
      </c>
      <c r="R46" s="1005" t="str">
        <f>IF('[1]BASE'!GM46=0,"",'[1]BASE'!GM46)</f>
        <v>XXXX</v>
      </c>
      <c r="S46" s="1005" t="str">
        <f>IF('[1]BASE'!GN46=0,"",'[1]BASE'!GN46)</f>
        <v>XXXX</v>
      </c>
      <c r="T46" s="1006"/>
      <c r="U46" s="1002"/>
    </row>
    <row r="47" spans="2:21" s="996" customFormat="1" ht="19.5" customHeight="1">
      <c r="B47" s="997"/>
      <c r="C47" s="1009">
        <f>IF('[1]BASE'!C47=0,"",'[1]BASE'!C47)</f>
        <v>31</v>
      </c>
      <c r="D47" s="1009" t="str">
        <f>IF('[1]BASE'!D47=0,"",'[1]BASE'!D47)</f>
        <v>MALVINAS ARG. - ALMAFUERTE </v>
      </c>
      <c r="E47" s="1009">
        <f>IF('[1]BASE'!E47=0,"",'[1]BASE'!E47)</f>
        <v>500</v>
      </c>
      <c r="F47" s="1009">
        <f>IF('[1]BASE'!F47=0,"",'[1]BASE'!F47)</f>
        <v>105</v>
      </c>
      <c r="G47" s="1010" t="str">
        <f>IF('[1]BASE'!G47=0,"",'[1]BASE'!G47)</f>
        <v>B</v>
      </c>
      <c r="H47" s="1005">
        <f>IF('[1]BASE'!GC47=0,"",'[1]BASE'!GC47)</f>
      </c>
      <c r="I47" s="1005">
        <f>IF('[1]BASE'!GD47=0,"",'[1]BASE'!GD47)</f>
      </c>
      <c r="J47" s="1005">
        <f>IF('[1]BASE'!GE47=0,"",'[1]BASE'!GE47)</f>
      </c>
      <c r="K47" s="1005">
        <f>IF('[1]BASE'!GF47=0,"",'[1]BASE'!GF47)</f>
      </c>
      <c r="L47" s="1005">
        <f>IF('[1]BASE'!GG47=0,"",'[1]BASE'!GG47)</f>
      </c>
      <c r="M47" s="1005">
        <f>IF('[1]BASE'!GH47=0,"",'[1]BASE'!GH47)</f>
      </c>
      <c r="N47" s="1005">
        <f>IF('[1]BASE'!GI47=0,"",'[1]BASE'!GI47)</f>
      </c>
      <c r="O47" s="1005">
        <f>IF('[1]BASE'!GJ47=0,"",'[1]BASE'!GJ47)</f>
      </c>
      <c r="P47" s="1005">
        <f>IF('[1]BASE'!GK47=0,"",'[1]BASE'!GK47)</f>
      </c>
      <c r="Q47" s="1005">
        <f>IF('[1]BASE'!GL47=0,"",'[1]BASE'!GL47)</f>
      </c>
      <c r="R47" s="1005">
        <f>IF('[1]BASE'!GM47=0,"",'[1]BASE'!GM47)</f>
      </c>
      <c r="S47" s="1005">
        <f>IF('[1]BASE'!GN47=0,"",'[1]BASE'!GN47)</f>
      </c>
      <c r="T47" s="1006"/>
      <c r="U47" s="1002"/>
    </row>
    <row r="48" spans="2:21" s="996" customFormat="1" ht="19.5" customHeight="1">
      <c r="B48" s="997"/>
      <c r="C48" s="1007">
        <f>IF('[1]BASE'!C48=0,"",'[1]BASE'!C48)</f>
        <v>32</v>
      </c>
      <c r="D48" s="1007" t="str">
        <f>IF('[1]BASE'!D48=0,"",'[1]BASE'!D48)</f>
        <v>OLAVARRIA - BAHIA BLANCA 1</v>
      </c>
      <c r="E48" s="1007">
        <f>IF('[1]BASE'!E48=0,"",'[1]BASE'!E48)</f>
        <v>500</v>
      </c>
      <c r="F48" s="1007">
        <f>IF('[1]BASE'!F48=0,"",'[1]BASE'!F48)</f>
        <v>255</v>
      </c>
      <c r="G48" s="1008" t="str">
        <f>IF('[1]BASE'!G48=0,"",'[1]BASE'!G48)</f>
        <v>B</v>
      </c>
      <c r="H48" s="1005">
        <f>IF('[1]BASE'!GC48=0,"",'[1]BASE'!GC48)</f>
      </c>
      <c r="I48" s="1005">
        <f>IF('[1]BASE'!GD48=0,"",'[1]BASE'!GD48)</f>
      </c>
      <c r="J48" s="1005">
        <f>IF('[1]BASE'!GE48=0,"",'[1]BASE'!GE48)</f>
      </c>
      <c r="K48" s="1005">
        <f>IF('[1]BASE'!GF48=0,"",'[1]BASE'!GF48)</f>
      </c>
      <c r="L48" s="1005">
        <f>IF('[1]BASE'!GG48=0,"",'[1]BASE'!GG48)</f>
      </c>
      <c r="M48" s="1005">
        <f>IF('[1]BASE'!GH48=0,"",'[1]BASE'!GH48)</f>
        <v>2</v>
      </c>
      <c r="N48" s="1005">
        <f>IF('[1]BASE'!GI48=0,"",'[1]BASE'!GI48)</f>
      </c>
      <c r="O48" s="1005">
        <f>IF('[1]BASE'!GJ48=0,"",'[1]BASE'!GJ48)</f>
      </c>
      <c r="P48" s="1005">
        <f>IF('[1]BASE'!GK48=0,"",'[1]BASE'!GK48)</f>
      </c>
      <c r="Q48" s="1005">
        <f>IF('[1]BASE'!GL48=0,"",'[1]BASE'!GL48)</f>
      </c>
      <c r="R48" s="1005">
        <f>IF('[1]BASE'!GM48=0,"",'[1]BASE'!GM48)</f>
        <v>1</v>
      </c>
      <c r="S48" s="1005">
        <f>IF('[1]BASE'!GN48=0,"",'[1]BASE'!GN48)</f>
      </c>
      <c r="T48" s="1006"/>
      <c r="U48" s="1002"/>
    </row>
    <row r="49" spans="2:21" s="996" customFormat="1" ht="19.5" customHeight="1">
      <c r="B49" s="997"/>
      <c r="C49" s="1009">
        <f>IF('[1]BASE'!C49=0,"",'[1]BASE'!C49)</f>
        <v>33</v>
      </c>
      <c r="D49" s="1009" t="str">
        <f>IF('[1]BASE'!D49=0,"",'[1]BASE'!D49)</f>
        <v>OLAVARRIA - BAHIA BLANCA 2</v>
      </c>
      <c r="E49" s="1009">
        <f>IF('[1]BASE'!E49=0,"",'[1]BASE'!E49)</f>
        <v>500</v>
      </c>
      <c r="F49" s="1009">
        <f>IF('[1]BASE'!F49=0,"",'[1]BASE'!F49)</f>
        <v>254.8</v>
      </c>
      <c r="G49" s="1010">
        <f>IF('[1]BASE'!G49=0,"",'[1]BASE'!G49)</f>
      </c>
      <c r="H49" s="1005">
        <f>IF('[1]BASE'!GC49=0,"",'[1]BASE'!GC49)</f>
      </c>
      <c r="I49" s="1005">
        <f>IF('[1]BASE'!GD49=0,"",'[1]BASE'!GD49)</f>
      </c>
      <c r="J49" s="1005">
        <f>IF('[1]BASE'!GE49=0,"",'[1]BASE'!GE49)</f>
      </c>
      <c r="K49" s="1005">
        <f>IF('[1]BASE'!GF49=0,"",'[1]BASE'!GF49)</f>
      </c>
      <c r="L49" s="1005">
        <f>IF('[1]BASE'!GG49=0,"",'[1]BASE'!GG49)</f>
      </c>
      <c r="M49" s="1005">
        <f>IF('[1]BASE'!GH49=0,"",'[1]BASE'!GH49)</f>
      </c>
      <c r="N49" s="1005">
        <f>IF('[1]BASE'!GI49=0,"",'[1]BASE'!GI49)</f>
      </c>
      <c r="O49" s="1005">
        <f>IF('[1]BASE'!GJ49=0,"",'[1]BASE'!GJ49)</f>
      </c>
      <c r="P49" s="1005">
        <f>IF('[1]BASE'!GK49=0,"",'[1]BASE'!GK49)</f>
      </c>
      <c r="Q49" s="1005">
        <f>IF('[1]BASE'!GL49=0,"",'[1]BASE'!GL49)</f>
      </c>
      <c r="R49" s="1005">
        <f>IF('[1]BASE'!GM49=0,"",'[1]BASE'!GM49)</f>
      </c>
      <c r="S49" s="1005">
        <f>IF('[1]BASE'!GN49=0,"",'[1]BASE'!GN49)</f>
      </c>
      <c r="T49" s="1006"/>
      <c r="U49" s="1002"/>
    </row>
    <row r="50" spans="2:21" s="996" customFormat="1" ht="19.5" customHeight="1">
      <c r="B50" s="997"/>
      <c r="C50" s="1007">
        <f>IF('[1]BASE'!C50=0,"",'[1]BASE'!C50)</f>
        <v>34</v>
      </c>
      <c r="D50" s="1007" t="str">
        <f>IF('[1]BASE'!D50=0,"",'[1]BASE'!D50)</f>
        <v>P.del AGUILA  - CHOELE CHOEL</v>
      </c>
      <c r="E50" s="1007">
        <f>IF('[1]BASE'!E50=0,"",'[1]BASE'!E50)</f>
        <v>500</v>
      </c>
      <c r="F50" s="1007">
        <f>IF('[1]BASE'!F50=0,"",'[1]BASE'!F50)</f>
        <v>386.7</v>
      </c>
      <c r="G50" s="1008">
        <f>IF('[1]BASE'!G50=0,"",'[1]BASE'!G50)</f>
      </c>
      <c r="H50" s="1005">
        <f>IF('[1]BASE'!GC50=0,"",'[1]BASE'!GC50)</f>
      </c>
      <c r="I50" s="1005">
        <f>IF('[1]BASE'!GD50=0,"",'[1]BASE'!GD50)</f>
      </c>
      <c r="J50" s="1005">
        <f>IF('[1]BASE'!GE50=0,"",'[1]BASE'!GE50)</f>
      </c>
      <c r="K50" s="1005">
        <f>IF('[1]BASE'!GF50=0,"",'[1]BASE'!GF50)</f>
      </c>
      <c r="L50" s="1005">
        <f>IF('[1]BASE'!GG50=0,"",'[1]BASE'!GG50)</f>
      </c>
      <c r="M50" s="1005">
        <f>IF('[1]BASE'!GH50=0,"",'[1]BASE'!GH50)</f>
      </c>
      <c r="N50" s="1005">
        <f>IF('[1]BASE'!GI50=0,"",'[1]BASE'!GI50)</f>
      </c>
      <c r="O50" s="1005">
        <f>IF('[1]BASE'!GJ50=0,"",'[1]BASE'!GJ50)</f>
      </c>
      <c r="P50" s="1005">
        <f>IF('[1]BASE'!GK50=0,"",'[1]BASE'!GK50)</f>
      </c>
      <c r="Q50" s="1005">
        <f>IF('[1]BASE'!GL50=0,"",'[1]BASE'!GL50)</f>
      </c>
      <c r="R50" s="1005">
        <f>IF('[1]BASE'!GM50=0,"",'[1]BASE'!GM50)</f>
      </c>
      <c r="S50" s="1005">
        <f>IF('[1]BASE'!GN50=0,"",'[1]BASE'!GN50)</f>
      </c>
      <c r="T50" s="1006"/>
      <c r="U50" s="1002"/>
    </row>
    <row r="51" spans="2:21" s="996" customFormat="1" ht="19.5" customHeight="1">
      <c r="B51" s="997"/>
      <c r="C51" s="1009">
        <f>IF('[1]BASE'!C51=0,"",'[1]BASE'!C51)</f>
        <v>35</v>
      </c>
      <c r="D51" s="1009" t="str">
        <f>IF('[1]BASE'!D51=0,"",'[1]BASE'!D51)</f>
        <v>P.del AGUILA  - CHO. W. 1 (5GW1)</v>
      </c>
      <c r="E51" s="1009">
        <f>IF('[1]BASE'!E51=0,"",'[1]BASE'!E51)</f>
        <v>500</v>
      </c>
      <c r="F51" s="1009">
        <f>IF('[1]BASE'!F51=0,"",'[1]BASE'!F51)</f>
        <v>165</v>
      </c>
      <c r="G51" s="1010" t="str">
        <f>IF('[1]BASE'!G51=0,"",'[1]BASE'!G51)</f>
        <v>A</v>
      </c>
      <c r="H51" s="1005">
        <f>IF('[1]BASE'!GC51=0,"",'[1]BASE'!GC51)</f>
      </c>
      <c r="I51" s="1005">
        <f>IF('[1]BASE'!GD51=0,"",'[1]BASE'!GD51)</f>
      </c>
      <c r="J51" s="1005">
        <f>IF('[1]BASE'!GE51=0,"",'[1]BASE'!GE51)</f>
        <v>2</v>
      </c>
      <c r="K51" s="1005">
        <f>IF('[1]BASE'!GF51=0,"",'[1]BASE'!GF51)</f>
      </c>
      <c r="L51" s="1005">
        <f>IF('[1]BASE'!GG51=0,"",'[1]BASE'!GG51)</f>
      </c>
      <c r="M51" s="1005">
        <f>IF('[1]BASE'!GH51=0,"",'[1]BASE'!GH51)</f>
      </c>
      <c r="N51" s="1005">
        <f>IF('[1]BASE'!GI51=0,"",'[1]BASE'!GI51)</f>
      </c>
      <c r="O51" s="1005">
        <f>IF('[1]BASE'!GJ51=0,"",'[1]BASE'!GJ51)</f>
      </c>
      <c r="P51" s="1005">
        <f>IF('[1]BASE'!GK51=0,"",'[1]BASE'!GK51)</f>
      </c>
      <c r="Q51" s="1005">
        <f>IF('[1]BASE'!GL51=0,"",'[1]BASE'!GL51)</f>
      </c>
      <c r="R51" s="1005">
        <f>IF('[1]BASE'!GM51=0,"",'[1]BASE'!GM51)</f>
      </c>
      <c r="S51" s="1005">
        <f>IF('[1]BASE'!GN51=0,"",'[1]BASE'!GN51)</f>
      </c>
      <c r="T51" s="1006"/>
      <c r="U51" s="1002"/>
    </row>
    <row r="52" spans="2:21" s="996" customFormat="1" ht="19.5" customHeight="1">
      <c r="B52" s="997"/>
      <c r="C52" s="1007">
        <f>IF('[1]BASE'!C52=0,"",'[1]BASE'!C52)</f>
        <v>36</v>
      </c>
      <c r="D52" s="1007" t="str">
        <f>IF('[1]BASE'!D52=0,"",'[1]BASE'!D52)</f>
        <v>P.del AGUILA  - CHO. W. 2 (5GW2)</v>
      </c>
      <c r="E52" s="1007">
        <f>IF('[1]BASE'!E52=0,"",'[1]BASE'!E52)</f>
        <v>500</v>
      </c>
      <c r="F52" s="1007">
        <f>IF('[1]BASE'!F52=0,"",'[1]BASE'!F52)</f>
        <v>170</v>
      </c>
      <c r="G52" s="1008" t="str">
        <f>IF('[1]BASE'!G52=0,"",'[1]BASE'!G52)</f>
        <v>A</v>
      </c>
      <c r="H52" s="1005">
        <f>IF('[1]BASE'!GC52=0,"",'[1]BASE'!GC52)</f>
      </c>
      <c r="I52" s="1005">
        <f>IF('[1]BASE'!GD52=0,"",'[1]BASE'!GD52)</f>
      </c>
      <c r="J52" s="1005">
        <f>IF('[1]BASE'!GE52=0,"",'[1]BASE'!GE52)</f>
      </c>
      <c r="K52" s="1005">
        <f>IF('[1]BASE'!GF52=0,"",'[1]BASE'!GF52)</f>
      </c>
      <c r="L52" s="1005">
        <f>IF('[1]BASE'!GG52=0,"",'[1]BASE'!GG52)</f>
      </c>
      <c r="M52" s="1005">
        <f>IF('[1]BASE'!GH52=0,"",'[1]BASE'!GH52)</f>
      </c>
      <c r="N52" s="1005">
        <f>IF('[1]BASE'!GI52=0,"",'[1]BASE'!GI52)</f>
      </c>
      <c r="O52" s="1005">
        <f>IF('[1]BASE'!GJ52=0,"",'[1]BASE'!GJ52)</f>
      </c>
      <c r="P52" s="1005">
        <f>IF('[1]BASE'!GK52=0,"",'[1]BASE'!GK52)</f>
      </c>
      <c r="Q52" s="1005">
        <f>IF('[1]BASE'!GL52=0,"",'[1]BASE'!GL52)</f>
      </c>
      <c r="R52" s="1005">
        <f>IF('[1]BASE'!GM52=0,"",'[1]BASE'!GM52)</f>
      </c>
      <c r="S52" s="1005">
        <f>IF('[1]BASE'!GN52=0,"",'[1]BASE'!GN52)</f>
      </c>
      <c r="T52" s="1006"/>
      <c r="U52" s="1002"/>
    </row>
    <row r="53" spans="2:21" s="996" customFormat="1" ht="19.5" customHeight="1">
      <c r="B53" s="997"/>
      <c r="C53" s="1009">
        <f>IF('[1]BASE'!C53=0,"",'[1]BASE'!C53)</f>
        <v>37</v>
      </c>
      <c r="D53" s="1009" t="str">
        <f>IF('[1]BASE'!D53=0,"",'[1]BASE'!D53)</f>
        <v>PUELCHES - HENDERSON 1 (B1)</v>
      </c>
      <c r="E53" s="1009">
        <f>IF('[1]BASE'!E53=0,"",'[1]BASE'!E53)</f>
        <v>500</v>
      </c>
      <c r="F53" s="1009">
        <f>IF('[1]BASE'!F53=0,"",'[1]BASE'!F53)</f>
        <v>421</v>
      </c>
      <c r="G53" s="1010" t="str">
        <f>IF('[1]BASE'!G53=0,"",'[1]BASE'!G53)</f>
        <v>A</v>
      </c>
      <c r="H53" s="1005">
        <f>IF('[1]BASE'!GC53=0,"",'[1]BASE'!GC53)</f>
      </c>
      <c r="I53" s="1005">
        <f>IF('[1]BASE'!GD53=0,"",'[1]BASE'!GD53)</f>
      </c>
      <c r="J53" s="1005">
        <f>IF('[1]BASE'!GE53=0,"",'[1]BASE'!GE53)</f>
      </c>
      <c r="K53" s="1005">
        <f>IF('[1]BASE'!GF53=0,"",'[1]BASE'!GF53)</f>
      </c>
      <c r="L53" s="1005">
        <f>IF('[1]BASE'!GG53=0,"",'[1]BASE'!GG53)</f>
      </c>
      <c r="M53" s="1005">
        <f>IF('[1]BASE'!GH53=0,"",'[1]BASE'!GH53)</f>
      </c>
      <c r="N53" s="1005">
        <f>IF('[1]BASE'!GI53=0,"",'[1]BASE'!GI53)</f>
      </c>
      <c r="O53" s="1005">
        <f>IF('[1]BASE'!GJ53=0,"",'[1]BASE'!GJ53)</f>
      </c>
      <c r="P53" s="1005">
        <f>IF('[1]BASE'!GK53=0,"",'[1]BASE'!GK53)</f>
      </c>
      <c r="Q53" s="1005">
        <f>IF('[1]BASE'!GL53=0,"",'[1]BASE'!GL53)</f>
      </c>
      <c r="R53" s="1005">
        <f>IF('[1]BASE'!GM53=0,"",'[1]BASE'!GM53)</f>
      </c>
      <c r="S53" s="1005">
        <f>IF('[1]BASE'!GN53=0,"",'[1]BASE'!GN53)</f>
      </c>
      <c r="T53" s="1006"/>
      <c r="U53" s="1002"/>
    </row>
    <row r="54" spans="2:21" s="996" customFormat="1" ht="19.5" customHeight="1">
      <c r="B54" s="997"/>
      <c r="C54" s="1007">
        <f>IF('[1]BASE'!C54=0,"",'[1]BASE'!C54)</f>
        <v>38</v>
      </c>
      <c r="D54" s="1007" t="str">
        <f>IF('[1]BASE'!D54=0,"",'[1]BASE'!D54)</f>
        <v>PUELCHES - HENDERSON 2 (B2)</v>
      </c>
      <c r="E54" s="1007">
        <f>IF('[1]BASE'!E54=0,"",'[1]BASE'!E54)</f>
        <v>500</v>
      </c>
      <c r="F54" s="1007">
        <f>IF('[1]BASE'!F54=0,"",'[1]BASE'!F54)</f>
        <v>421</v>
      </c>
      <c r="G54" s="1008" t="str">
        <f>IF('[1]BASE'!G54=0,"",'[1]BASE'!G54)</f>
        <v>A</v>
      </c>
      <c r="H54" s="1005" t="str">
        <f>IF('[1]BASE'!GC54=0,"",'[1]BASE'!GC54)</f>
        <v>XXXX</v>
      </c>
      <c r="I54" s="1005" t="str">
        <f>IF('[1]BASE'!GD54=0,"",'[1]BASE'!GD54)</f>
        <v>XXXX</v>
      </c>
      <c r="J54" s="1005" t="str">
        <f>IF('[1]BASE'!GE54=0,"",'[1]BASE'!GE54)</f>
        <v>XXXX</v>
      </c>
      <c r="K54" s="1005" t="str">
        <f>IF('[1]BASE'!GF54=0,"",'[1]BASE'!GF54)</f>
        <v>XXXX</v>
      </c>
      <c r="L54" s="1005" t="str">
        <f>IF('[1]BASE'!GG54=0,"",'[1]BASE'!GG54)</f>
        <v>XXXX</v>
      </c>
      <c r="M54" s="1005" t="str">
        <f>IF('[1]BASE'!GH54=0,"",'[1]BASE'!GH54)</f>
        <v>XXXX</v>
      </c>
      <c r="N54" s="1005" t="str">
        <f>IF('[1]BASE'!GI54=0,"",'[1]BASE'!GI54)</f>
        <v>XXXX</v>
      </c>
      <c r="O54" s="1005" t="str">
        <f>IF('[1]BASE'!GJ54=0,"",'[1]BASE'!GJ54)</f>
        <v>XXXX</v>
      </c>
      <c r="P54" s="1005" t="str">
        <f>IF('[1]BASE'!GK54=0,"",'[1]BASE'!GK54)</f>
        <v>XXXX</v>
      </c>
      <c r="Q54" s="1005" t="str">
        <f>IF('[1]BASE'!GL54=0,"",'[1]BASE'!GL54)</f>
        <v>XXXX</v>
      </c>
      <c r="R54" s="1005" t="str">
        <f>IF('[1]BASE'!GM54=0,"",'[1]BASE'!GM54)</f>
        <v>XXXX</v>
      </c>
      <c r="S54" s="1005" t="str">
        <f>IF('[1]BASE'!GN54=0,"",'[1]BASE'!GN54)</f>
        <v>XXXX</v>
      </c>
      <c r="T54" s="1006"/>
      <c r="U54" s="1002"/>
    </row>
    <row r="55" spans="2:21" s="996" customFormat="1" ht="19.5" customHeight="1">
      <c r="B55" s="997"/>
      <c r="C55" s="1009">
        <f>IF('[1]BASE'!C55=0,"",'[1]BASE'!C55)</f>
        <v>39</v>
      </c>
      <c r="D55" s="1009" t="str">
        <f>IF('[1]BASE'!D55=0,"",'[1]BASE'!D55)</f>
        <v>RECREO - MALVINAS ARG. </v>
      </c>
      <c r="E55" s="1009">
        <f>IF('[1]BASE'!E55=0,"",'[1]BASE'!E55)</f>
        <v>500</v>
      </c>
      <c r="F55" s="1009">
        <f>IF('[1]BASE'!F55=0,"",'[1]BASE'!F55)</f>
        <v>259</v>
      </c>
      <c r="G55" s="1010" t="str">
        <f>IF('[1]BASE'!G55=0,"",'[1]BASE'!G55)</f>
        <v>C</v>
      </c>
      <c r="H55" s="1005">
        <f>IF('[1]BASE'!GC55=0,"",'[1]BASE'!GC55)</f>
      </c>
      <c r="I55" s="1005">
        <f>IF('[1]BASE'!GD55=0,"",'[1]BASE'!GD55)</f>
      </c>
      <c r="J55" s="1005">
        <f>IF('[1]BASE'!GE55=0,"",'[1]BASE'!GE55)</f>
      </c>
      <c r="K55" s="1005">
        <f>IF('[1]BASE'!GF55=0,"",'[1]BASE'!GF55)</f>
      </c>
      <c r="L55" s="1005">
        <f>IF('[1]BASE'!GG55=0,"",'[1]BASE'!GG55)</f>
      </c>
      <c r="M55" s="1005">
        <f>IF('[1]BASE'!GH55=0,"",'[1]BASE'!GH55)</f>
      </c>
      <c r="N55" s="1005">
        <f>IF('[1]BASE'!GI55=0,"",'[1]BASE'!GI55)</f>
      </c>
      <c r="O55" s="1005">
        <f>IF('[1]BASE'!GJ55=0,"",'[1]BASE'!GJ55)</f>
      </c>
      <c r="P55" s="1005">
        <f>IF('[1]BASE'!GK55=0,"",'[1]BASE'!GK55)</f>
      </c>
      <c r="Q55" s="1005">
        <f>IF('[1]BASE'!GL55=0,"",'[1]BASE'!GL55)</f>
      </c>
      <c r="R55" s="1005">
        <f>IF('[1]BASE'!GM55=0,"",'[1]BASE'!GM55)</f>
      </c>
      <c r="S55" s="1005">
        <f>IF('[1]BASE'!GN55=0,"",'[1]BASE'!GN55)</f>
      </c>
      <c r="T55" s="1006"/>
      <c r="U55" s="1002"/>
    </row>
    <row r="56" spans="2:21" s="996" customFormat="1" ht="19.5" customHeight="1">
      <c r="B56" s="997"/>
      <c r="C56" s="1007">
        <f>IF('[1]BASE'!C56=0,"",'[1]BASE'!C56)</f>
        <v>40</v>
      </c>
      <c r="D56" s="1007" t="str">
        <f>IF('[1]BASE'!D56=0,"",'[1]BASE'!D56)</f>
        <v>RIO GRANDE - EMBALSE</v>
      </c>
      <c r="E56" s="1007">
        <f>IF('[1]BASE'!E56=0,"",'[1]BASE'!E56)</f>
        <v>500</v>
      </c>
      <c r="F56" s="1007">
        <f>IF('[1]BASE'!F56=0,"",'[1]BASE'!F56)</f>
        <v>30</v>
      </c>
      <c r="G56" s="1008" t="str">
        <f>IF('[1]BASE'!G56=0,"",'[1]BASE'!G56)</f>
        <v>B</v>
      </c>
      <c r="H56" s="1005">
        <f>IF('[1]BASE'!GC56=0,"",'[1]BASE'!GC56)</f>
      </c>
      <c r="I56" s="1005">
        <f>IF('[1]BASE'!GD56=0,"",'[1]BASE'!GD56)</f>
        <v>1</v>
      </c>
      <c r="J56" s="1005">
        <f>IF('[1]BASE'!GE56=0,"",'[1]BASE'!GE56)</f>
      </c>
      <c r="K56" s="1005">
        <f>IF('[1]BASE'!GF56=0,"",'[1]BASE'!GF56)</f>
      </c>
      <c r="L56" s="1005">
        <f>IF('[1]BASE'!GG56=0,"",'[1]BASE'!GG56)</f>
      </c>
      <c r="M56" s="1005">
        <f>IF('[1]BASE'!GH56=0,"",'[1]BASE'!GH56)</f>
      </c>
      <c r="N56" s="1005">
        <f>IF('[1]BASE'!GI56=0,"",'[1]BASE'!GI56)</f>
      </c>
      <c r="O56" s="1005">
        <f>IF('[1]BASE'!GJ56=0,"",'[1]BASE'!GJ56)</f>
      </c>
      <c r="P56" s="1005">
        <f>IF('[1]BASE'!GK56=0,"",'[1]BASE'!GK56)</f>
      </c>
      <c r="Q56" s="1005">
        <f>IF('[1]BASE'!GL56=0,"",'[1]BASE'!GL56)</f>
      </c>
      <c r="R56" s="1005">
        <f>IF('[1]BASE'!GM56=0,"",'[1]BASE'!GM56)</f>
      </c>
      <c r="S56" s="1005">
        <f>IF('[1]BASE'!GN56=0,"",'[1]BASE'!GN56)</f>
      </c>
      <c r="T56" s="1006"/>
      <c r="U56" s="1002"/>
    </row>
    <row r="57" spans="2:21" s="996" customFormat="1" ht="19.5" customHeight="1">
      <c r="B57" s="997"/>
      <c r="C57" s="1009">
        <f>IF('[1]BASE'!C57=0,"",'[1]BASE'!C57)</f>
        <v>41</v>
      </c>
      <c r="D57" s="1009" t="str">
        <f>IF('[1]BASE'!D57=0,"",'[1]BASE'!D57)</f>
        <v>RIO GRANDE - GRAN MENDOZA</v>
      </c>
      <c r="E57" s="1009">
        <f>IF('[1]BASE'!E57=0,"",'[1]BASE'!E57)</f>
        <v>500</v>
      </c>
      <c r="F57" s="1009">
        <f>IF('[1]BASE'!F57=0,"",'[1]BASE'!F57)</f>
        <v>407</v>
      </c>
      <c r="G57" s="1010" t="str">
        <f>IF('[1]BASE'!G57=0,"",'[1]BASE'!G57)</f>
        <v>B</v>
      </c>
      <c r="H57" s="1005" t="str">
        <f>IF('[1]BASE'!GC57=0,"",'[1]BASE'!GC57)</f>
        <v>XXXX</v>
      </c>
      <c r="I57" s="1005" t="str">
        <f>IF('[1]BASE'!GD57=0,"",'[1]BASE'!GD57)</f>
        <v>XXXX</v>
      </c>
      <c r="J57" s="1005" t="str">
        <f>IF('[1]BASE'!GE57=0,"",'[1]BASE'!GE57)</f>
        <v>XXXX</v>
      </c>
      <c r="K57" s="1005" t="str">
        <f>IF('[1]BASE'!GF57=0,"",'[1]BASE'!GF57)</f>
        <v>XXXX</v>
      </c>
      <c r="L57" s="1005" t="str">
        <f>IF('[1]BASE'!GG57=0,"",'[1]BASE'!GG57)</f>
        <v>XXXX</v>
      </c>
      <c r="M57" s="1005" t="str">
        <f>IF('[1]BASE'!GH57=0,"",'[1]BASE'!GH57)</f>
        <v>XXXX</v>
      </c>
      <c r="N57" s="1005" t="str">
        <f>IF('[1]BASE'!GI57=0,"",'[1]BASE'!GI57)</f>
        <v>XXXX</v>
      </c>
      <c r="O57" s="1005" t="str">
        <f>IF('[1]BASE'!GJ57=0,"",'[1]BASE'!GJ57)</f>
        <v>XXXX</v>
      </c>
      <c r="P57" s="1005" t="str">
        <f>IF('[1]BASE'!GK57=0,"",'[1]BASE'!GK57)</f>
        <v>XXXX</v>
      </c>
      <c r="Q57" s="1005" t="str">
        <f>IF('[1]BASE'!GL57=0,"",'[1]BASE'!GL57)</f>
        <v>XXXX</v>
      </c>
      <c r="R57" s="1005" t="str">
        <f>IF('[1]BASE'!GM57=0,"",'[1]BASE'!GM57)</f>
        <v>XXXX</v>
      </c>
      <c r="S57" s="1005" t="str">
        <f>IF('[1]BASE'!GN57=0,"",'[1]BASE'!GN57)</f>
        <v>XXXX</v>
      </c>
      <c r="T57" s="1006"/>
      <c r="U57" s="1002"/>
    </row>
    <row r="58" spans="2:21" s="996" customFormat="1" ht="19.5" customHeight="1">
      <c r="B58" s="997"/>
      <c r="C58" s="1007">
        <f>IF('[1]BASE'!C58=0,"",'[1]BASE'!C58)</f>
        <v>42</v>
      </c>
      <c r="D58" s="1007" t="str">
        <f>IF('[1]BASE'!D58=0,"",'[1]BASE'!D58)</f>
        <v>RIO GRANDE - LUJAN</v>
      </c>
      <c r="E58" s="1007">
        <f>IF('[1]BASE'!E58=0,"",'[1]BASE'!E58)</f>
        <v>500</v>
      </c>
      <c r="F58" s="1007">
        <f>IF('[1]BASE'!F58=0,"",'[1]BASE'!F58)</f>
        <v>150</v>
      </c>
      <c r="G58" s="1008" t="str">
        <f>IF('[1]BASE'!G58=0,"",'[1]BASE'!G58)</f>
        <v>A</v>
      </c>
      <c r="H58" s="1005">
        <f>IF('[1]BASE'!GC58=0,"",'[1]BASE'!GC58)</f>
      </c>
      <c r="I58" s="1005">
        <f>IF('[1]BASE'!GD58=0,"",'[1]BASE'!GD58)</f>
      </c>
      <c r="J58" s="1005">
        <f>IF('[1]BASE'!GE58=0,"",'[1]BASE'!GE58)</f>
        <v>3</v>
      </c>
      <c r="K58" s="1005">
        <f>IF('[1]BASE'!GF58=0,"",'[1]BASE'!GF58)</f>
      </c>
      <c r="L58" s="1005">
        <f>IF('[1]BASE'!GG58=0,"",'[1]BASE'!GG58)</f>
      </c>
      <c r="M58" s="1005">
        <f>IF('[1]BASE'!GH58=0,"",'[1]BASE'!GH58)</f>
      </c>
      <c r="N58" s="1005">
        <f>IF('[1]BASE'!GI58=0,"",'[1]BASE'!GI58)</f>
      </c>
      <c r="O58" s="1005">
        <f>IF('[1]BASE'!GJ58=0,"",'[1]BASE'!GJ58)</f>
      </c>
      <c r="P58" s="1005">
        <f>IF('[1]BASE'!GK58=0,"",'[1]BASE'!GK58)</f>
      </c>
      <c r="Q58" s="1005">
        <f>IF('[1]BASE'!GL58=0,"",'[1]BASE'!GL58)</f>
      </c>
      <c r="R58" s="1005">
        <f>IF('[1]BASE'!GM58=0,"",'[1]BASE'!GM58)</f>
      </c>
      <c r="S58" s="1005">
        <f>IF('[1]BASE'!GN58=0,"",'[1]BASE'!GN58)</f>
      </c>
      <c r="T58" s="1006"/>
      <c r="U58" s="1002"/>
    </row>
    <row r="59" spans="2:21" s="996" customFormat="1" ht="19.5" customHeight="1">
      <c r="B59" s="997"/>
      <c r="C59" s="1009">
        <f>IF('[1]BASE'!C59=0,"",'[1]BASE'!C59)</f>
        <v>43</v>
      </c>
      <c r="D59" s="1009" t="str">
        <f>IF('[1]BASE'!D59=0,"",'[1]BASE'!D59)</f>
        <v>LUJAN - GRAN MENDOZA</v>
      </c>
      <c r="E59" s="1009">
        <f>IF('[1]BASE'!E59=0,"",'[1]BASE'!E59)</f>
        <v>500</v>
      </c>
      <c r="F59" s="1009">
        <f>IF('[1]BASE'!F59=0,"",'[1]BASE'!F59)</f>
        <v>257</v>
      </c>
      <c r="G59" s="1010" t="str">
        <f>IF('[1]BASE'!G59=0,"",'[1]BASE'!G59)</f>
        <v>B</v>
      </c>
      <c r="H59" s="1005">
        <f>IF('[1]BASE'!GC59=0,"",'[1]BASE'!GC59)</f>
      </c>
      <c r="I59" s="1005">
        <f>IF('[1]BASE'!GD59=0,"",'[1]BASE'!GD59)</f>
      </c>
      <c r="J59" s="1005">
        <f>IF('[1]BASE'!GE59=0,"",'[1]BASE'!GE59)</f>
        <v>1</v>
      </c>
      <c r="K59" s="1005">
        <f>IF('[1]BASE'!GF59=0,"",'[1]BASE'!GF59)</f>
      </c>
      <c r="L59" s="1005">
        <f>IF('[1]BASE'!GG59=0,"",'[1]BASE'!GG59)</f>
      </c>
      <c r="M59" s="1005">
        <f>IF('[1]BASE'!GH59=0,"",'[1]BASE'!GH59)</f>
      </c>
      <c r="N59" s="1005">
        <f>IF('[1]BASE'!GI59=0,"",'[1]BASE'!GI59)</f>
      </c>
      <c r="O59" s="1005">
        <f>IF('[1]BASE'!GJ59=0,"",'[1]BASE'!GJ59)</f>
      </c>
      <c r="P59" s="1005">
        <f>IF('[1]BASE'!GK59=0,"",'[1]BASE'!GK59)</f>
      </c>
      <c r="Q59" s="1005">
        <f>IF('[1]BASE'!GL59=0,"",'[1]BASE'!GL59)</f>
      </c>
      <c r="R59" s="1005">
        <f>IF('[1]BASE'!GM59=0,"",'[1]BASE'!GM59)</f>
      </c>
      <c r="S59" s="1005">
        <f>IF('[1]BASE'!GN59=0,"",'[1]BASE'!GN59)</f>
      </c>
      <c r="T59" s="1006"/>
      <c r="U59" s="1002"/>
    </row>
    <row r="60" spans="2:21" s="996" customFormat="1" ht="19.5" customHeight="1">
      <c r="B60" s="997"/>
      <c r="C60" s="1007">
        <f>IF('[1]BASE'!C60=0,"",'[1]BASE'!C60)</f>
        <v>44</v>
      </c>
      <c r="D60" s="1007" t="str">
        <f>IF('[1]BASE'!D60=0,"",'[1]BASE'!D60)</f>
        <v>ROMANG - RESISTENCIA</v>
      </c>
      <c r="E60" s="1007">
        <f>IF('[1]BASE'!E60=0,"",'[1]BASE'!E60)</f>
        <v>500</v>
      </c>
      <c r="F60" s="1007">
        <f>IF('[1]BASE'!F60=0,"",'[1]BASE'!F60)</f>
        <v>256</v>
      </c>
      <c r="G60" s="1008" t="str">
        <f>IF('[1]BASE'!G60=0,"",'[1]BASE'!G60)</f>
        <v>A</v>
      </c>
      <c r="H60" s="1005">
        <f>IF('[1]BASE'!GC60=0,"",'[1]BASE'!GC60)</f>
      </c>
      <c r="I60" s="1005">
        <f>IF('[1]BASE'!GD60=0,"",'[1]BASE'!GD60)</f>
        <v>1</v>
      </c>
      <c r="J60" s="1005">
        <f>IF('[1]BASE'!GE60=0,"",'[1]BASE'!GE60)</f>
      </c>
      <c r="K60" s="1005">
        <f>IF('[1]BASE'!GF60=0,"",'[1]BASE'!GF60)</f>
      </c>
      <c r="L60" s="1005">
        <f>IF('[1]BASE'!GG60=0,"",'[1]BASE'!GG60)</f>
      </c>
      <c r="M60" s="1005">
        <f>IF('[1]BASE'!GH60=0,"",'[1]BASE'!GH60)</f>
      </c>
      <c r="N60" s="1005">
        <f>IF('[1]BASE'!GI60=0,"",'[1]BASE'!GI60)</f>
      </c>
      <c r="O60" s="1005">
        <f>IF('[1]BASE'!GJ60=0,"",'[1]BASE'!GJ60)</f>
      </c>
      <c r="P60" s="1005">
        <f>IF('[1]BASE'!GK60=0,"",'[1]BASE'!GK60)</f>
      </c>
      <c r="Q60" s="1005">
        <f>IF('[1]BASE'!GL60=0,"",'[1]BASE'!GL60)</f>
      </c>
      <c r="R60" s="1005">
        <f>IF('[1]BASE'!GM60=0,"",'[1]BASE'!GM60)</f>
      </c>
      <c r="S60" s="1005">
        <f>IF('[1]BASE'!GN60=0,"",'[1]BASE'!GN60)</f>
      </c>
      <c r="T60" s="1006"/>
      <c r="U60" s="1002"/>
    </row>
    <row r="61" spans="2:21" s="996" customFormat="1" ht="19.5" customHeight="1">
      <c r="B61" s="997"/>
      <c r="C61" s="1009">
        <f>IF('[1]BASE'!C61=0,"",'[1]BASE'!C61)</f>
        <v>45</v>
      </c>
      <c r="D61" s="1009" t="str">
        <f>IF('[1]BASE'!D61=0,"",'[1]BASE'!D61)</f>
        <v>ROSARIO OESTE -SANTO TOME</v>
      </c>
      <c r="E61" s="1009">
        <f>IF('[1]BASE'!E61=0,"",'[1]BASE'!E61)</f>
        <v>500</v>
      </c>
      <c r="F61" s="1009">
        <f>IF('[1]BASE'!F61=0,"",'[1]BASE'!F61)</f>
        <v>159</v>
      </c>
      <c r="G61" s="1010" t="str">
        <f>IF('[1]BASE'!G61=0,"",'[1]BASE'!G61)</f>
        <v>C</v>
      </c>
      <c r="H61" s="1005">
        <f>IF('[1]BASE'!GC61=0,"",'[1]BASE'!GC61)</f>
      </c>
      <c r="I61" s="1005">
        <f>IF('[1]BASE'!GD61=0,"",'[1]BASE'!GD61)</f>
      </c>
      <c r="J61" s="1005">
        <f>IF('[1]BASE'!GE61=0,"",'[1]BASE'!GE61)</f>
      </c>
      <c r="K61" s="1005">
        <f>IF('[1]BASE'!GF61=0,"",'[1]BASE'!GF61)</f>
      </c>
      <c r="L61" s="1005">
        <f>IF('[1]BASE'!GG61=0,"",'[1]BASE'!GG61)</f>
      </c>
      <c r="M61" s="1005">
        <f>IF('[1]BASE'!GH61=0,"",'[1]BASE'!GH61)</f>
      </c>
      <c r="N61" s="1005">
        <f>IF('[1]BASE'!GI61=0,"",'[1]BASE'!GI61)</f>
      </c>
      <c r="O61" s="1005">
        <f>IF('[1]BASE'!GJ61=0,"",'[1]BASE'!GJ61)</f>
      </c>
      <c r="P61" s="1005">
        <f>IF('[1]BASE'!GK61=0,"",'[1]BASE'!GK61)</f>
      </c>
      <c r="Q61" s="1005">
        <f>IF('[1]BASE'!GL61=0,"",'[1]BASE'!GL61)</f>
      </c>
      <c r="R61" s="1005">
        <f>IF('[1]BASE'!GM61=0,"",'[1]BASE'!GM61)</f>
        <v>1</v>
      </c>
      <c r="S61" s="1005">
        <f>IF('[1]BASE'!GN61=0,"",'[1]BASE'!GN61)</f>
      </c>
      <c r="T61" s="1006"/>
      <c r="U61" s="1002"/>
    </row>
    <row r="62" spans="2:21" s="996" customFormat="1" ht="19.5" customHeight="1">
      <c r="B62" s="997"/>
      <c r="C62" s="1007">
        <f>IF('[1]BASE'!C62=0,"",'[1]BASE'!C62)</f>
        <v>46</v>
      </c>
      <c r="D62" s="1007" t="str">
        <f>IF('[1]BASE'!D62=0,"",'[1]BASE'!D62)</f>
        <v>SALTO GRANDE - SANTO TOME </v>
      </c>
      <c r="E62" s="1007">
        <f>IF('[1]BASE'!E62=0,"",'[1]BASE'!E62)</f>
        <v>500</v>
      </c>
      <c r="F62" s="1007">
        <f>IF('[1]BASE'!F62=0,"",'[1]BASE'!F62)</f>
        <v>289</v>
      </c>
      <c r="G62" s="1008" t="str">
        <f>IF('[1]BASE'!G62=0,"",'[1]BASE'!G62)</f>
        <v>C</v>
      </c>
      <c r="H62" s="1005">
        <f>IF('[1]BASE'!GC62=0,"",'[1]BASE'!GC62)</f>
      </c>
      <c r="I62" s="1005">
        <f>IF('[1]BASE'!GD62=0,"",'[1]BASE'!GD62)</f>
      </c>
      <c r="J62" s="1005">
        <f>IF('[1]BASE'!GE62=0,"",'[1]BASE'!GE62)</f>
      </c>
      <c r="K62" s="1005">
        <f>IF('[1]BASE'!GF62=0,"",'[1]BASE'!GF62)</f>
      </c>
      <c r="L62" s="1005">
        <f>IF('[1]BASE'!GG62=0,"",'[1]BASE'!GG62)</f>
      </c>
      <c r="M62" s="1005">
        <f>IF('[1]BASE'!GH62=0,"",'[1]BASE'!GH62)</f>
      </c>
      <c r="N62" s="1005">
        <f>IF('[1]BASE'!GI62=0,"",'[1]BASE'!GI62)</f>
      </c>
      <c r="O62" s="1005">
        <f>IF('[1]BASE'!GJ62=0,"",'[1]BASE'!GJ62)</f>
      </c>
      <c r="P62" s="1005">
        <f>IF('[1]BASE'!GK62=0,"",'[1]BASE'!GK62)</f>
      </c>
      <c r="Q62" s="1005">
        <f>IF('[1]BASE'!GL62=0,"",'[1]BASE'!GL62)</f>
        <v>1</v>
      </c>
      <c r="R62" s="1005">
        <f>IF('[1]BASE'!GM62=0,"",'[1]BASE'!GM62)</f>
        <v>1</v>
      </c>
      <c r="S62" s="1005">
        <f>IF('[1]BASE'!GN62=0,"",'[1]BASE'!GN62)</f>
      </c>
      <c r="T62" s="1006"/>
      <c r="U62" s="1002"/>
    </row>
    <row r="63" spans="2:21" s="996" customFormat="1" ht="19.5" customHeight="1">
      <c r="B63" s="997"/>
      <c r="C63" s="1009">
        <f>IF('[1]BASE'!C63=0,"",'[1]BASE'!C63)</f>
        <v>47</v>
      </c>
      <c r="D63" s="1009" t="str">
        <f>IF('[1]BASE'!D63=0,"",'[1]BASE'!D63)</f>
        <v>SANTO TOME - ROMANG </v>
      </c>
      <c r="E63" s="1009">
        <f>IF('[1]BASE'!E63=0,"",'[1]BASE'!E63)</f>
        <v>500</v>
      </c>
      <c r="F63" s="1009">
        <f>IF('[1]BASE'!F63=0,"",'[1]BASE'!F63)</f>
        <v>270</v>
      </c>
      <c r="G63" s="1010" t="str">
        <f>IF('[1]BASE'!G63=0,"",'[1]BASE'!G63)</f>
        <v>A</v>
      </c>
      <c r="H63" s="1005">
        <f>IF('[1]BASE'!GC63=0,"",'[1]BASE'!GC63)</f>
      </c>
      <c r="I63" s="1005">
        <f>IF('[1]BASE'!GD63=0,"",'[1]BASE'!GD63)</f>
      </c>
      <c r="J63" s="1005">
        <f>IF('[1]BASE'!GE63=0,"",'[1]BASE'!GE63)</f>
      </c>
      <c r="K63" s="1005">
        <f>IF('[1]BASE'!GF63=0,"",'[1]BASE'!GF63)</f>
      </c>
      <c r="L63" s="1005">
        <f>IF('[1]BASE'!GG63=0,"",'[1]BASE'!GG63)</f>
      </c>
      <c r="M63" s="1005">
        <f>IF('[1]BASE'!GH63=0,"",'[1]BASE'!GH63)</f>
      </c>
      <c r="N63" s="1005">
        <f>IF('[1]BASE'!GI63=0,"",'[1]BASE'!GI63)</f>
      </c>
      <c r="O63" s="1005">
        <f>IF('[1]BASE'!GJ63=0,"",'[1]BASE'!GJ63)</f>
      </c>
      <c r="P63" s="1005">
        <f>IF('[1]BASE'!GK63=0,"",'[1]BASE'!GK63)</f>
      </c>
      <c r="Q63" s="1005">
        <f>IF('[1]BASE'!GL63=0,"",'[1]BASE'!GL63)</f>
      </c>
      <c r="R63" s="1005">
        <f>IF('[1]BASE'!GM63=0,"",'[1]BASE'!GM63)</f>
      </c>
      <c r="S63" s="1005">
        <f>IF('[1]BASE'!GN63=0,"",'[1]BASE'!GN63)</f>
      </c>
      <c r="T63" s="1006"/>
      <c r="U63" s="1002"/>
    </row>
    <row r="64" spans="2:21" s="996" customFormat="1" ht="9.75" customHeight="1">
      <c r="B64" s="997"/>
      <c r="C64" s="1007">
        <f>IF('[1]BASE'!C64=0,"",'[1]BASE'!C64)</f>
      </c>
      <c r="D64" s="1007">
        <f>IF('[1]BASE'!D64=0,"",'[1]BASE'!D64)</f>
      </c>
      <c r="E64" s="1007">
        <f>IF('[1]BASE'!E64=0,"",'[1]BASE'!E64)</f>
      </c>
      <c r="F64" s="1007">
        <f>IF('[1]BASE'!F64=0,"",'[1]BASE'!F64)</f>
      </c>
      <c r="G64" s="1008">
        <f>IF('[1]BASE'!G64=0,"",'[1]BASE'!G64)</f>
      </c>
      <c r="H64" s="1005">
        <f>IF('[1]BASE'!GC64=0,"",'[1]BASE'!GC64)</f>
      </c>
      <c r="I64" s="1005">
        <f>IF('[1]BASE'!GD64=0,"",'[1]BASE'!GD64)</f>
      </c>
      <c r="J64" s="1005">
        <f>IF('[1]BASE'!GE64=0,"",'[1]BASE'!GE64)</f>
      </c>
      <c r="K64" s="1005">
        <f>IF('[1]BASE'!GF64=0,"",'[1]BASE'!GF64)</f>
      </c>
      <c r="L64" s="1005">
        <f>IF('[1]BASE'!GG64=0,"",'[1]BASE'!GG64)</f>
      </c>
      <c r="M64" s="1005">
        <f>IF('[1]BASE'!GH64=0,"",'[1]BASE'!GH64)</f>
      </c>
      <c r="N64" s="1005">
        <f>IF('[1]BASE'!GI64=0,"",'[1]BASE'!GI64)</f>
      </c>
      <c r="O64" s="1005">
        <f>IF('[1]BASE'!GJ64=0,"",'[1]BASE'!GJ64)</f>
      </c>
      <c r="P64" s="1005">
        <f>IF('[1]BASE'!GK64=0,"",'[1]BASE'!GK64)</f>
      </c>
      <c r="Q64" s="1005">
        <f>IF('[1]BASE'!GL64=0,"",'[1]BASE'!GL64)</f>
      </c>
      <c r="R64" s="1005">
        <f>IF('[1]BASE'!GM64=0,"",'[1]BASE'!GM64)</f>
      </c>
      <c r="S64" s="1005">
        <f>IF('[1]BASE'!GN64=0,"",'[1]BASE'!GN64)</f>
      </c>
      <c r="T64" s="1006"/>
      <c r="U64" s="1002"/>
    </row>
    <row r="65" spans="2:21" s="996" customFormat="1" ht="19.5" customHeight="1">
      <c r="B65" s="997"/>
      <c r="C65" s="1009">
        <f>IF('[1]BASE'!C65=0,"",'[1]BASE'!C65)</f>
        <v>48</v>
      </c>
      <c r="D65" s="1009" t="str">
        <f>IF('[1]BASE'!D65=0,"",'[1]BASE'!D65)</f>
        <v>GRAL. RODRIGUEZ - VILLA  LIA 1</v>
      </c>
      <c r="E65" s="1009">
        <f>IF('[1]BASE'!E65=0,"",'[1]BASE'!E65)</f>
        <v>220</v>
      </c>
      <c r="F65" s="1009">
        <f>IF('[1]BASE'!F65=0,"",'[1]BASE'!F65)</f>
        <v>61</v>
      </c>
      <c r="G65" s="1010" t="str">
        <f>IF('[1]BASE'!G65=0,"",'[1]BASE'!G65)</f>
        <v>C</v>
      </c>
      <c r="H65" s="1005">
        <f>IF('[1]BASE'!GC65=0,"",'[1]BASE'!GC65)</f>
      </c>
      <c r="I65" s="1005">
        <f>IF('[1]BASE'!GD65=0,"",'[1]BASE'!GD65)</f>
        <v>1</v>
      </c>
      <c r="J65" s="1005">
        <f>IF('[1]BASE'!GE65=0,"",'[1]BASE'!GE65)</f>
      </c>
      <c r="K65" s="1005">
        <f>IF('[1]BASE'!GF65=0,"",'[1]BASE'!GF65)</f>
      </c>
      <c r="L65" s="1005">
        <f>IF('[1]BASE'!GG65=0,"",'[1]BASE'!GG65)</f>
      </c>
      <c r="M65" s="1005">
        <f>IF('[1]BASE'!GH65=0,"",'[1]BASE'!GH65)</f>
      </c>
      <c r="N65" s="1005">
        <f>IF('[1]BASE'!GI65=0,"",'[1]BASE'!GI65)</f>
      </c>
      <c r="O65" s="1005">
        <f>IF('[1]BASE'!GJ65=0,"",'[1]BASE'!GJ65)</f>
      </c>
      <c r="P65" s="1005">
        <f>IF('[1]BASE'!GK65=0,"",'[1]BASE'!GK65)</f>
      </c>
      <c r="Q65" s="1005">
        <f>IF('[1]BASE'!GL65=0,"",'[1]BASE'!GL65)</f>
      </c>
      <c r="R65" s="1005">
        <f>IF('[1]BASE'!GM65=0,"",'[1]BASE'!GM65)</f>
        <v>1</v>
      </c>
      <c r="S65" s="1005">
        <f>IF('[1]BASE'!GN65=0,"",'[1]BASE'!GN65)</f>
      </c>
      <c r="T65" s="1006"/>
      <c r="U65" s="1002"/>
    </row>
    <row r="66" spans="2:21" s="996" customFormat="1" ht="19.5" customHeight="1">
      <c r="B66" s="997"/>
      <c r="C66" s="1007">
        <f>IF('[1]BASE'!C66=0,"",'[1]BASE'!C66)</f>
        <v>49</v>
      </c>
      <c r="D66" s="1007" t="str">
        <f>IF('[1]BASE'!D66=0,"",'[1]BASE'!D66)</f>
        <v>GRAL. RODRIGUEZ - VILLA  LIA 2</v>
      </c>
      <c r="E66" s="1007">
        <f>IF('[1]BASE'!E66=0,"",'[1]BASE'!E66)</f>
        <v>220</v>
      </c>
      <c r="F66" s="1007">
        <f>IF('[1]BASE'!F66=0,"",'[1]BASE'!F66)</f>
        <v>61</v>
      </c>
      <c r="G66" s="1008" t="str">
        <f>IF('[1]BASE'!G66=0,"",'[1]BASE'!G66)</f>
        <v>C</v>
      </c>
      <c r="H66" s="1005">
        <f>IF('[1]BASE'!GC66=0,"",'[1]BASE'!GC66)</f>
      </c>
      <c r="I66" s="1005">
        <f>IF('[1]BASE'!GD66=0,"",'[1]BASE'!GD66)</f>
      </c>
      <c r="J66" s="1005">
        <f>IF('[1]BASE'!GE66=0,"",'[1]BASE'!GE66)</f>
      </c>
      <c r="K66" s="1005">
        <f>IF('[1]BASE'!GF66=0,"",'[1]BASE'!GF66)</f>
      </c>
      <c r="L66" s="1005">
        <f>IF('[1]BASE'!GG66=0,"",'[1]BASE'!GG66)</f>
      </c>
      <c r="M66" s="1005">
        <f>IF('[1]BASE'!GH66=0,"",'[1]BASE'!GH66)</f>
      </c>
      <c r="N66" s="1005">
        <f>IF('[1]BASE'!GI66=0,"",'[1]BASE'!GI66)</f>
      </c>
      <c r="O66" s="1005">
        <f>IF('[1]BASE'!GJ66=0,"",'[1]BASE'!GJ66)</f>
      </c>
      <c r="P66" s="1005">
        <f>IF('[1]BASE'!GK66=0,"",'[1]BASE'!GK66)</f>
      </c>
      <c r="Q66" s="1005">
        <f>IF('[1]BASE'!GL66=0,"",'[1]BASE'!GL66)</f>
      </c>
      <c r="R66" s="1005">
        <f>IF('[1]BASE'!GM66=0,"",'[1]BASE'!GM66)</f>
      </c>
      <c r="S66" s="1005">
        <f>IF('[1]BASE'!GN66=0,"",'[1]BASE'!GN66)</f>
      </c>
      <c r="T66" s="1006"/>
      <c r="U66" s="1002"/>
    </row>
    <row r="67" spans="2:21" s="996" customFormat="1" ht="19.5" customHeight="1">
      <c r="B67" s="997"/>
      <c r="C67" s="1009">
        <f>IF('[1]BASE'!C67=0,"",'[1]BASE'!C67)</f>
        <v>50</v>
      </c>
      <c r="D67" s="1009" t="str">
        <f>IF('[1]BASE'!D67=0,"",'[1]BASE'!D67)</f>
        <v>RAMALLO - SAN NICOLAS (2)</v>
      </c>
      <c r="E67" s="1009">
        <f>IF('[1]BASE'!E67=0,"",'[1]BASE'!E67)</f>
        <v>220</v>
      </c>
      <c r="F67" s="1009">
        <f>IF('[1]BASE'!F67=0,"",'[1]BASE'!F67)</f>
        <v>6</v>
      </c>
      <c r="G67" s="1010" t="str">
        <f>IF('[1]BASE'!G67=0,"",'[1]BASE'!G67)</f>
        <v>C</v>
      </c>
      <c r="H67" s="1005">
        <f>IF('[1]BASE'!GC67=0,"",'[1]BASE'!GC67)</f>
      </c>
      <c r="I67" s="1005">
        <f>IF('[1]BASE'!GD67=0,"",'[1]BASE'!GD67)</f>
      </c>
      <c r="J67" s="1005">
        <f>IF('[1]BASE'!GE67=0,"",'[1]BASE'!GE67)</f>
      </c>
      <c r="K67" s="1005">
        <f>IF('[1]BASE'!GF67=0,"",'[1]BASE'!GF67)</f>
      </c>
      <c r="L67" s="1005">
        <f>IF('[1]BASE'!GG67=0,"",'[1]BASE'!GG67)</f>
      </c>
      <c r="M67" s="1005">
        <f>IF('[1]BASE'!GH67=0,"",'[1]BASE'!GH67)</f>
      </c>
      <c r="N67" s="1005">
        <f>IF('[1]BASE'!GI67=0,"",'[1]BASE'!GI67)</f>
      </c>
      <c r="O67" s="1005">
        <f>IF('[1]BASE'!GJ67=0,"",'[1]BASE'!GJ67)</f>
      </c>
      <c r="P67" s="1005">
        <f>IF('[1]BASE'!GK67=0,"",'[1]BASE'!GK67)</f>
      </c>
      <c r="Q67" s="1005">
        <f>IF('[1]BASE'!GL67=0,"",'[1]BASE'!GL67)</f>
      </c>
      <c r="R67" s="1005">
        <f>IF('[1]BASE'!GM67=0,"",'[1]BASE'!GM67)</f>
      </c>
      <c r="S67" s="1005">
        <f>IF('[1]BASE'!GN67=0,"",'[1]BASE'!GN67)</f>
      </c>
      <c r="T67" s="1006"/>
      <c r="U67" s="1002"/>
    </row>
    <row r="68" spans="2:21" s="996" customFormat="1" ht="19.5" customHeight="1">
      <c r="B68" s="997"/>
      <c r="C68" s="1007">
        <f>IF('[1]BASE'!C68=0,"",'[1]BASE'!C68)</f>
        <v>51</v>
      </c>
      <c r="D68" s="1007" t="str">
        <f>IF('[1]BASE'!D68=0,"",'[1]BASE'!D68)</f>
        <v>RAMALLO - SAN NICOLAS (1)</v>
      </c>
      <c r="E68" s="1007">
        <f>IF('[1]BASE'!E68=0,"",'[1]BASE'!E68)</f>
        <v>220</v>
      </c>
      <c r="F68" s="1007">
        <f>IF('[1]BASE'!F68=0,"",'[1]BASE'!F68)</f>
        <v>6</v>
      </c>
      <c r="G68" s="1008" t="str">
        <f>IF('[1]BASE'!G68=0,"",'[1]BASE'!G68)</f>
        <v>C</v>
      </c>
      <c r="H68" s="1005">
        <f>IF('[1]BASE'!GC68=0,"",'[1]BASE'!GC68)</f>
      </c>
      <c r="I68" s="1005">
        <f>IF('[1]BASE'!GD68=0,"",'[1]BASE'!GD68)</f>
      </c>
      <c r="J68" s="1005">
        <f>IF('[1]BASE'!GE68=0,"",'[1]BASE'!GE68)</f>
      </c>
      <c r="K68" s="1005">
        <f>IF('[1]BASE'!GF68=0,"",'[1]BASE'!GF68)</f>
      </c>
      <c r="L68" s="1005">
        <f>IF('[1]BASE'!GG68=0,"",'[1]BASE'!GG68)</f>
      </c>
      <c r="M68" s="1005">
        <f>IF('[1]BASE'!GH68=0,"",'[1]BASE'!GH68)</f>
      </c>
      <c r="N68" s="1005">
        <f>IF('[1]BASE'!GI68=0,"",'[1]BASE'!GI68)</f>
      </c>
      <c r="O68" s="1005">
        <f>IF('[1]BASE'!GJ68=0,"",'[1]BASE'!GJ68)</f>
      </c>
      <c r="P68" s="1005">
        <f>IF('[1]BASE'!GK68=0,"",'[1]BASE'!GK68)</f>
      </c>
      <c r="Q68" s="1005">
        <f>IF('[1]BASE'!GL68=0,"",'[1]BASE'!GL68)</f>
      </c>
      <c r="R68" s="1005">
        <f>IF('[1]BASE'!GM68=0,"",'[1]BASE'!GM68)</f>
      </c>
      <c r="S68" s="1005">
        <f>IF('[1]BASE'!GN68=0,"",'[1]BASE'!GN68)</f>
      </c>
      <c r="T68" s="1006"/>
      <c r="U68" s="1002"/>
    </row>
    <row r="69" spans="2:21" s="996" customFormat="1" ht="19.5" customHeight="1">
      <c r="B69" s="997"/>
      <c r="C69" s="1009">
        <f>IF('[1]BASE'!C69=0,"",'[1]BASE'!C69)</f>
        <v>52</v>
      </c>
      <c r="D69" s="1009" t="str">
        <f>IF('[1]BASE'!D69=0,"",'[1]BASE'!D69)</f>
        <v>RAMALLO - VILLA LIA  1</v>
      </c>
      <c r="E69" s="1009">
        <f>IF('[1]BASE'!E69=0,"",'[1]BASE'!E69)</f>
        <v>220</v>
      </c>
      <c r="F69" s="1010">
        <f>IF('[1]BASE'!F69=0,"",'[1]BASE'!F69)</f>
        <v>114</v>
      </c>
      <c r="G69" s="1010" t="str">
        <f>IF('[1]BASE'!G69=0,"",'[1]BASE'!G69)</f>
        <v>C</v>
      </c>
      <c r="H69" s="1005">
        <f>IF('[1]BASE'!GC69=0,"",'[1]BASE'!GC69)</f>
      </c>
      <c r="I69" s="1005">
        <f>IF('[1]BASE'!GD69=0,"",'[1]BASE'!GD69)</f>
        <v>2</v>
      </c>
      <c r="J69" s="1005">
        <f>IF('[1]BASE'!GE69=0,"",'[1]BASE'!GE69)</f>
      </c>
      <c r="K69" s="1005">
        <f>IF('[1]BASE'!GF69=0,"",'[1]BASE'!GF69)</f>
      </c>
      <c r="L69" s="1005">
        <f>IF('[1]BASE'!GG69=0,"",'[1]BASE'!GG69)</f>
      </c>
      <c r="M69" s="1005">
        <f>IF('[1]BASE'!GH69=0,"",'[1]BASE'!GH69)</f>
        <v>1</v>
      </c>
      <c r="N69" s="1005">
        <f>IF('[1]BASE'!GI69=0,"",'[1]BASE'!GI69)</f>
      </c>
      <c r="O69" s="1005">
        <f>IF('[1]BASE'!GJ69=0,"",'[1]BASE'!GJ69)</f>
        <v>1</v>
      </c>
      <c r="P69" s="1005">
        <f>IF('[1]BASE'!GK69=0,"",'[1]BASE'!GK69)</f>
      </c>
      <c r="Q69" s="1005">
        <f>IF('[1]BASE'!GL69=0,"",'[1]BASE'!GL69)</f>
        <v>1</v>
      </c>
      <c r="R69" s="1005">
        <f>IF('[1]BASE'!GM69=0,"",'[1]BASE'!GM69)</f>
      </c>
      <c r="S69" s="1005">
        <f>IF('[1]BASE'!GN69=0,"",'[1]BASE'!GN69)</f>
      </c>
      <c r="T69" s="1006"/>
      <c r="U69" s="1002"/>
    </row>
    <row r="70" spans="2:21" s="996" customFormat="1" ht="19.5" customHeight="1">
      <c r="B70" s="997"/>
      <c r="C70" s="1007">
        <f>IF('[1]BASE'!C70=0,"",'[1]BASE'!C70)</f>
        <v>53</v>
      </c>
      <c r="D70" s="1007" t="str">
        <f>IF('[1]BASE'!D70=0,"",'[1]BASE'!D70)</f>
        <v>RAMALLO - VILLA LIA  2</v>
      </c>
      <c r="E70" s="1007">
        <f>IF('[1]BASE'!E70=0,"",'[1]BASE'!E70)</f>
        <v>220</v>
      </c>
      <c r="F70" s="1008">
        <f>IF('[1]BASE'!F70=0,"",'[1]BASE'!F70)</f>
        <v>114</v>
      </c>
      <c r="G70" s="1008" t="str">
        <f>IF('[1]BASE'!G70=0,"",'[1]BASE'!G70)</f>
        <v>C</v>
      </c>
      <c r="H70" s="1005">
        <f>IF('[1]BASE'!GC70=0,"",'[1]BASE'!GC70)</f>
      </c>
      <c r="I70" s="1005">
        <f>IF('[1]BASE'!GD70=0,"",'[1]BASE'!GD70)</f>
      </c>
      <c r="J70" s="1005">
        <f>IF('[1]BASE'!GE70=0,"",'[1]BASE'!GE70)</f>
      </c>
      <c r="K70" s="1005">
        <f>IF('[1]BASE'!GF70=0,"",'[1]BASE'!GF70)</f>
      </c>
      <c r="L70" s="1005">
        <f>IF('[1]BASE'!GG70=0,"",'[1]BASE'!GG70)</f>
      </c>
      <c r="M70" s="1005">
        <f>IF('[1]BASE'!GH70=0,"",'[1]BASE'!GH70)</f>
      </c>
      <c r="N70" s="1005">
        <f>IF('[1]BASE'!GI70=0,"",'[1]BASE'!GI70)</f>
      </c>
      <c r="O70" s="1005">
        <f>IF('[1]BASE'!GJ70=0,"",'[1]BASE'!GJ70)</f>
      </c>
      <c r="P70" s="1005">
        <f>IF('[1]BASE'!GK70=0,"",'[1]BASE'!GK70)</f>
      </c>
      <c r="Q70" s="1005">
        <f>IF('[1]BASE'!GL70=0,"",'[1]BASE'!GL70)</f>
      </c>
      <c r="R70" s="1005">
        <f>IF('[1]BASE'!GM70=0,"",'[1]BASE'!GM70)</f>
        <v>1</v>
      </c>
      <c r="S70" s="1005">
        <f>IF('[1]BASE'!GN70=0,"",'[1]BASE'!GN70)</f>
      </c>
      <c r="T70" s="1006"/>
      <c r="U70" s="1002"/>
    </row>
    <row r="71" spans="2:21" s="996" customFormat="1" ht="19.5" customHeight="1">
      <c r="B71" s="997"/>
      <c r="C71" s="1009">
        <f>IF('[1]BASE'!C71=0,"",'[1]BASE'!C71)</f>
        <v>54</v>
      </c>
      <c r="D71" s="1009" t="str">
        <f>IF('[1]BASE'!D71=0,"",'[1]BASE'!D71)</f>
        <v>ROSARIO OESTE - RAMALLO  1</v>
      </c>
      <c r="E71" s="1009">
        <f>IF('[1]BASE'!E71=0,"",'[1]BASE'!E71)</f>
        <v>220</v>
      </c>
      <c r="F71" s="1010">
        <f>IF('[1]BASE'!F71=0,"",'[1]BASE'!F71)</f>
        <v>77</v>
      </c>
      <c r="G71" s="1010" t="str">
        <f>IF('[1]BASE'!G71=0,"",'[1]BASE'!G71)</f>
        <v>C</v>
      </c>
      <c r="H71" s="1005">
        <f>IF('[1]BASE'!GC71=0,"",'[1]BASE'!GC71)</f>
      </c>
      <c r="I71" s="1005">
        <f>IF('[1]BASE'!GD71=0,"",'[1]BASE'!GD71)</f>
      </c>
      <c r="J71" s="1005">
        <f>IF('[1]BASE'!GE71=0,"",'[1]BASE'!GE71)</f>
      </c>
      <c r="K71" s="1005">
        <f>IF('[1]BASE'!GF71=0,"",'[1]BASE'!GF71)</f>
      </c>
      <c r="L71" s="1005">
        <f>IF('[1]BASE'!GG71=0,"",'[1]BASE'!GG71)</f>
      </c>
      <c r="M71" s="1005">
        <f>IF('[1]BASE'!GH71=0,"",'[1]BASE'!GH71)</f>
        <v>1</v>
      </c>
      <c r="N71" s="1005">
        <f>IF('[1]BASE'!GI71=0,"",'[1]BASE'!GI71)</f>
      </c>
      <c r="O71" s="1005">
        <f>IF('[1]BASE'!GJ71=0,"",'[1]BASE'!GJ71)</f>
      </c>
      <c r="P71" s="1005">
        <f>IF('[1]BASE'!GK71=0,"",'[1]BASE'!GK71)</f>
      </c>
      <c r="Q71" s="1005">
        <f>IF('[1]BASE'!GL71=0,"",'[1]BASE'!GL71)</f>
      </c>
      <c r="R71" s="1005">
        <f>IF('[1]BASE'!GM71=0,"",'[1]BASE'!GM71)</f>
        <v>1</v>
      </c>
      <c r="S71" s="1005">
        <f>IF('[1]BASE'!GN71=0,"",'[1]BASE'!GN71)</f>
      </c>
      <c r="T71" s="1006"/>
      <c r="U71" s="1002"/>
    </row>
    <row r="72" spans="2:21" s="996" customFormat="1" ht="19.5" customHeight="1">
      <c r="B72" s="997"/>
      <c r="C72" s="1007">
        <f>IF('[1]BASE'!C72=0,"",'[1]BASE'!C72)</f>
        <v>55</v>
      </c>
      <c r="D72" s="1007" t="str">
        <f>IF('[1]BASE'!D72=0,"",'[1]BASE'!D72)</f>
        <v>ROSARIO OESTE - RAMALLO  2</v>
      </c>
      <c r="E72" s="1007">
        <f>IF('[1]BASE'!E72=0,"",'[1]BASE'!E72)</f>
        <v>220</v>
      </c>
      <c r="F72" s="1008">
        <f>IF('[1]BASE'!F72=0,"",'[1]BASE'!F72)</f>
        <v>77</v>
      </c>
      <c r="G72" s="1008" t="str">
        <f>IF('[1]BASE'!G72=0,"",'[1]BASE'!G72)</f>
        <v>C</v>
      </c>
      <c r="H72" s="1005">
        <f>IF('[1]BASE'!GC72=0,"",'[1]BASE'!GC72)</f>
      </c>
      <c r="I72" s="1005">
        <f>IF('[1]BASE'!GD72=0,"",'[1]BASE'!GD72)</f>
      </c>
      <c r="J72" s="1005">
        <f>IF('[1]BASE'!GE72=0,"",'[1]BASE'!GE72)</f>
      </c>
      <c r="K72" s="1005">
        <f>IF('[1]BASE'!GF72=0,"",'[1]BASE'!GF72)</f>
      </c>
      <c r="L72" s="1005">
        <f>IF('[1]BASE'!GG72=0,"",'[1]BASE'!GG72)</f>
        <v>1</v>
      </c>
      <c r="M72" s="1005">
        <f>IF('[1]BASE'!GH72=0,"",'[1]BASE'!GH72)</f>
        <v>1</v>
      </c>
      <c r="N72" s="1005">
        <f>IF('[1]BASE'!GI72=0,"",'[1]BASE'!GI72)</f>
      </c>
      <c r="O72" s="1005">
        <f>IF('[1]BASE'!GJ72=0,"",'[1]BASE'!GJ72)</f>
        <v>1</v>
      </c>
      <c r="P72" s="1005">
        <f>IF('[1]BASE'!GK72=0,"",'[1]BASE'!GK72)</f>
      </c>
      <c r="Q72" s="1005">
        <f>IF('[1]BASE'!GL72=0,"",'[1]BASE'!GL72)</f>
        <v>1</v>
      </c>
      <c r="R72" s="1005">
        <f>IF('[1]BASE'!GM72=0,"",'[1]BASE'!GM72)</f>
        <v>2</v>
      </c>
      <c r="S72" s="1005">
        <f>IF('[1]BASE'!GN72=0,"",'[1]BASE'!GN72)</f>
      </c>
      <c r="T72" s="1006"/>
      <c r="U72" s="1002"/>
    </row>
    <row r="73" spans="2:21" s="996" customFormat="1" ht="19.5" customHeight="1">
      <c r="B73" s="997"/>
      <c r="C73" s="1009">
        <f>IF('[1]BASE'!C73=0,"",'[1]BASE'!C73)</f>
        <v>56</v>
      </c>
      <c r="D73" s="1009" t="str">
        <f>IF('[1]BASE'!D73=0,"",'[1]BASE'!D73)</f>
        <v>VILLA LIA - ATUCHA 1</v>
      </c>
      <c r="E73" s="1009">
        <f>IF('[1]BASE'!E73=0,"",'[1]BASE'!E73)</f>
        <v>220</v>
      </c>
      <c r="F73" s="1009">
        <f>IF('[1]BASE'!F73=0,"",'[1]BASE'!F73)</f>
        <v>26</v>
      </c>
      <c r="G73" s="1010" t="str">
        <f>IF('[1]BASE'!G73=0,"",'[1]BASE'!G73)</f>
        <v>C</v>
      </c>
      <c r="H73" s="1005">
        <f>IF('[1]BASE'!GC73=0,"",'[1]BASE'!GC73)</f>
      </c>
      <c r="I73" s="1005">
        <f>IF('[1]BASE'!GD73=0,"",'[1]BASE'!GD73)</f>
        <v>1</v>
      </c>
      <c r="J73" s="1005">
        <f>IF('[1]BASE'!GE73=0,"",'[1]BASE'!GE73)</f>
      </c>
      <c r="K73" s="1005">
        <f>IF('[1]BASE'!GF73=0,"",'[1]BASE'!GF73)</f>
      </c>
      <c r="L73" s="1005">
        <f>IF('[1]BASE'!GG73=0,"",'[1]BASE'!GG73)</f>
      </c>
      <c r="M73" s="1005">
        <f>IF('[1]BASE'!GH73=0,"",'[1]BASE'!GH73)</f>
      </c>
      <c r="N73" s="1005">
        <f>IF('[1]BASE'!GI73=0,"",'[1]BASE'!GI73)</f>
        <v>1</v>
      </c>
      <c r="O73" s="1005">
        <f>IF('[1]BASE'!GJ73=0,"",'[1]BASE'!GJ73)</f>
        <v>1</v>
      </c>
      <c r="P73" s="1005">
        <f>IF('[1]BASE'!GK73=0,"",'[1]BASE'!GK73)</f>
      </c>
      <c r="Q73" s="1005">
        <f>IF('[1]BASE'!GL73=0,"",'[1]BASE'!GL73)</f>
      </c>
      <c r="R73" s="1005">
        <f>IF('[1]BASE'!GM73=0,"",'[1]BASE'!GM73)</f>
        <v>1</v>
      </c>
      <c r="S73" s="1005">
        <f>IF('[1]BASE'!GN73=0,"",'[1]BASE'!GN73)</f>
      </c>
      <c r="T73" s="1006"/>
      <c r="U73" s="1002"/>
    </row>
    <row r="74" spans="2:21" s="996" customFormat="1" ht="19.5" customHeight="1">
      <c r="B74" s="997"/>
      <c r="C74" s="1007">
        <f>IF('[1]BASE'!C74=0,"",'[1]BASE'!C74)</f>
        <v>57</v>
      </c>
      <c r="D74" s="1007" t="str">
        <f>IF('[1]BASE'!D74=0,"",'[1]BASE'!D74)</f>
        <v>VILLA LIA - ATUCHA 2</v>
      </c>
      <c r="E74" s="1007">
        <f>IF('[1]BASE'!E74=0,"",'[1]BASE'!E74)</f>
        <v>220</v>
      </c>
      <c r="F74" s="1007">
        <f>IF('[1]BASE'!F74=0,"",'[1]BASE'!F74)</f>
        <v>26</v>
      </c>
      <c r="G74" s="1008" t="str">
        <f>IF('[1]BASE'!G74=0,"",'[1]BASE'!G74)</f>
        <v>C</v>
      </c>
      <c r="H74" s="1005">
        <f>IF('[1]BASE'!GC74=0,"",'[1]BASE'!GC74)</f>
      </c>
      <c r="I74" s="1005">
        <f>IF('[1]BASE'!GD74=0,"",'[1]BASE'!GD74)</f>
      </c>
      <c r="J74" s="1005">
        <f>IF('[1]BASE'!GE74=0,"",'[1]BASE'!GE74)</f>
      </c>
      <c r="K74" s="1005">
        <f>IF('[1]BASE'!GF74=0,"",'[1]BASE'!GF74)</f>
      </c>
      <c r="L74" s="1005">
        <f>IF('[1]BASE'!GG74=0,"",'[1]BASE'!GG74)</f>
      </c>
      <c r="M74" s="1005">
        <f>IF('[1]BASE'!GH74=0,"",'[1]BASE'!GH74)</f>
      </c>
      <c r="N74" s="1005">
        <f>IF('[1]BASE'!GI74=0,"",'[1]BASE'!GI74)</f>
      </c>
      <c r="O74" s="1005">
        <f>IF('[1]BASE'!GJ74=0,"",'[1]BASE'!GJ74)</f>
      </c>
      <c r="P74" s="1005">
        <f>IF('[1]BASE'!GK74=0,"",'[1]BASE'!GK74)</f>
      </c>
      <c r="Q74" s="1005">
        <f>IF('[1]BASE'!GL74=0,"",'[1]BASE'!GL74)</f>
      </c>
      <c r="R74" s="1005">
        <f>IF('[1]BASE'!GM74=0,"",'[1]BASE'!GM74)</f>
      </c>
      <c r="S74" s="1005">
        <f>IF('[1]BASE'!GN74=0,"",'[1]BASE'!GN74)</f>
      </c>
      <c r="T74" s="1006"/>
      <c r="U74" s="1002"/>
    </row>
    <row r="75" spans="2:21" s="996" customFormat="1" ht="9.75" customHeight="1">
      <c r="B75" s="997"/>
      <c r="C75" s="1009">
        <f>IF('[1]BASE'!C75=0,"",'[1]BASE'!C75)</f>
      </c>
      <c r="D75" s="1009">
        <f>IF('[1]BASE'!D75=0,"",'[1]BASE'!D75)</f>
      </c>
      <c r="E75" s="1009">
        <f>IF('[1]BASE'!E75=0,"",'[1]BASE'!E75)</f>
      </c>
      <c r="F75" s="1009">
        <f>IF('[1]BASE'!F75=0,"",'[1]BASE'!F75)</f>
      </c>
      <c r="G75" s="1010">
        <f>IF('[1]BASE'!G75=0,"",'[1]BASE'!G75)</f>
      </c>
      <c r="H75" s="1005">
        <f>IF('[1]BASE'!GC75=0,"",'[1]BASE'!GC75)</f>
      </c>
      <c r="I75" s="1005">
        <f>IF('[1]BASE'!GD75=0,"",'[1]BASE'!GD75)</f>
      </c>
      <c r="J75" s="1005">
        <f>IF('[1]BASE'!GE75=0,"",'[1]BASE'!GE75)</f>
      </c>
      <c r="K75" s="1005">
        <f>IF('[1]BASE'!GF75=0,"",'[1]BASE'!GF75)</f>
      </c>
      <c r="L75" s="1005">
        <f>IF('[1]BASE'!GG75=0,"",'[1]BASE'!GG75)</f>
      </c>
      <c r="M75" s="1005">
        <f>IF('[1]BASE'!GH75=0,"",'[1]BASE'!GH75)</f>
      </c>
      <c r="N75" s="1005">
        <f>IF('[1]BASE'!GI75=0,"",'[1]BASE'!GI75)</f>
      </c>
      <c r="O75" s="1005">
        <f>IF('[1]BASE'!GJ75=0,"",'[1]BASE'!GJ75)</f>
      </c>
      <c r="P75" s="1005">
        <f>IF('[1]BASE'!GK75=0,"",'[1]BASE'!GK75)</f>
      </c>
      <c r="Q75" s="1005">
        <f>IF('[1]BASE'!GL75=0,"",'[1]BASE'!GL75)</f>
      </c>
      <c r="R75" s="1005">
        <f>IF('[1]BASE'!GM75=0,"",'[1]BASE'!GM75)</f>
      </c>
      <c r="S75" s="1005">
        <f>IF('[1]BASE'!GN75=0,"",'[1]BASE'!GN75)</f>
      </c>
      <c r="T75" s="1006"/>
      <c r="U75" s="1002"/>
    </row>
    <row r="76" spans="2:21" s="996" customFormat="1" ht="19.5" customHeight="1">
      <c r="B76" s="997"/>
      <c r="C76" s="1007">
        <f>IF('[1]BASE'!C76=0,"",'[1]BASE'!C76)</f>
        <v>58</v>
      </c>
      <c r="D76" s="1007" t="str">
        <f>IF('[1]BASE'!D76=0,"",'[1]BASE'!D76)</f>
        <v>GRAL RODRIGUEZ - RAMALLO</v>
      </c>
      <c r="E76" s="1007">
        <f>IF('[1]BASE'!E76=0,"",'[1]BASE'!E76)</f>
        <v>500</v>
      </c>
      <c r="F76" s="1008">
        <f>IF('[1]BASE'!F76=0,"",'[1]BASE'!F76)</f>
        <v>183.9</v>
      </c>
      <c r="G76" s="1008" t="str">
        <f>IF('[1]BASE'!G76=0,"",'[1]BASE'!G76)</f>
        <v>C</v>
      </c>
      <c r="H76" s="1005">
        <f>IF('[1]BASE'!GC76=0,"",'[1]BASE'!GC76)</f>
        <v>1</v>
      </c>
      <c r="I76" s="1005">
        <f>IF('[1]BASE'!GD76=0,"",'[1]BASE'!GD76)</f>
      </c>
      <c r="J76" s="1005">
        <f>IF('[1]BASE'!GE76=0,"",'[1]BASE'!GE76)</f>
        <v>2</v>
      </c>
      <c r="K76" s="1005">
        <f>IF('[1]BASE'!GF76=0,"",'[1]BASE'!GF76)</f>
      </c>
      <c r="L76" s="1005">
        <f>IF('[1]BASE'!GG76=0,"",'[1]BASE'!GG76)</f>
      </c>
      <c r="M76" s="1005">
        <f>IF('[1]BASE'!GH76=0,"",'[1]BASE'!GH76)</f>
      </c>
      <c r="N76" s="1005">
        <f>IF('[1]BASE'!GI76=0,"",'[1]BASE'!GI76)</f>
      </c>
      <c r="O76" s="1005">
        <f>IF('[1]BASE'!GJ76=0,"",'[1]BASE'!GJ76)</f>
      </c>
      <c r="P76" s="1005">
        <f>IF('[1]BASE'!GK76=0,"",'[1]BASE'!GK76)</f>
      </c>
      <c r="Q76" s="1005">
        <f>IF('[1]BASE'!GL76=0,"",'[1]BASE'!GL76)</f>
        <v>1</v>
      </c>
      <c r="R76" s="1005">
        <f>IF('[1]BASE'!GM76=0,"",'[1]BASE'!GM76)</f>
      </c>
      <c r="S76" s="1005">
        <f>IF('[1]BASE'!GN76=0,"",'[1]BASE'!GN76)</f>
      </c>
      <c r="T76" s="1006"/>
      <c r="U76" s="1002"/>
    </row>
    <row r="77" spans="2:21" s="996" customFormat="1" ht="19.5" customHeight="1">
      <c r="B77" s="997"/>
      <c r="C77" s="1009">
        <f>IF('[1]BASE'!C77=0,"",'[1]BASE'!C77)</f>
        <v>59</v>
      </c>
      <c r="D77" s="1009" t="str">
        <f>IF('[1]BASE'!D77=0,"",'[1]BASE'!D77)</f>
        <v>RAMALLO - ROSARIO OESTE</v>
      </c>
      <c r="E77" s="1009">
        <f>IF('[1]BASE'!E77=0,"",'[1]BASE'!E77)</f>
        <v>500</v>
      </c>
      <c r="F77" s="1010">
        <f>IF('[1]BASE'!F77=0,"",'[1]BASE'!F77)</f>
        <v>77</v>
      </c>
      <c r="G77" s="1010" t="str">
        <f>IF('[1]BASE'!G77=0,"",'[1]BASE'!G77)</f>
        <v>C</v>
      </c>
      <c r="H77" s="1005">
        <f>IF('[1]BASE'!GC77=0,"",'[1]BASE'!GC77)</f>
      </c>
      <c r="I77" s="1005">
        <f>IF('[1]BASE'!GD77=0,"",'[1]BASE'!GD77)</f>
      </c>
      <c r="J77" s="1005">
        <f>IF('[1]BASE'!GE77=0,"",'[1]BASE'!GE77)</f>
      </c>
      <c r="K77" s="1005">
        <f>IF('[1]BASE'!GF77=0,"",'[1]BASE'!GF77)</f>
      </c>
      <c r="L77" s="1005">
        <f>IF('[1]BASE'!GG77=0,"",'[1]BASE'!GG77)</f>
      </c>
      <c r="M77" s="1005">
        <f>IF('[1]BASE'!GH77=0,"",'[1]BASE'!GH77)</f>
      </c>
      <c r="N77" s="1005">
        <f>IF('[1]BASE'!GI77=0,"",'[1]BASE'!GI77)</f>
      </c>
      <c r="O77" s="1005">
        <f>IF('[1]BASE'!GJ77=0,"",'[1]BASE'!GJ77)</f>
        <v>1</v>
      </c>
      <c r="P77" s="1005">
        <f>IF('[1]BASE'!GK77=0,"",'[1]BASE'!GK77)</f>
        <v>2</v>
      </c>
      <c r="Q77" s="1005">
        <f>IF('[1]BASE'!GL77=0,"",'[1]BASE'!GL77)</f>
        <v>1</v>
      </c>
      <c r="R77" s="1005">
        <f>IF('[1]BASE'!GM77=0,"",'[1]BASE'!GM77)</f>
      </c>
      <c r="S77" s="1005">
        <f>IF('[1]BASE'!GN77=0,"",'[1]BASE'!GN77)</f>
      </c>
      <c r="T77" s="1006"/>
      <c r="U77" s="1002"/>
    </row>
    <row r="78" spans="2:21" s="996" customFormat="1" ht="19.5" customHeight="1">
      <c r="B78" s="997"/>
      <c r="C78" s="1007">
        <f>IF('[1]BASE'!C78=0,"",'[1]BASE'!C78)</f>
        <v>60</v>
      </c>
      <c r="D78" s="1007" t="str">
        <f>IF('[1]BASE'!D78=0,"",'[1]BASE'!D78)</f>
        <v>MACACHIN - HENDERSON</v>
      </c>
      <c r="E78" s="1007">
        <f>IF('[1]BASE'!E78=0,"",'[1]BASE'!E78)</f>
        <v>500</v>
      </c>
      <c r="F78" s="1008">
        <f>IF('[1]BASE'!F78=0,"",'[1]BASE'!F78)</f>
        <v>194</v>
      </c>
      <c r="G78" s="1008" t="str">
        <f>IF('[1]BASE'!G78=0,"",'[1]BASE'!G78)</f>
        <v>A</v>
      </c>
      <c r="H78" s="1005">
        <f>IF('[1]BASE'!GC78=0,"",'[1]BASE'!GC78)</f>
      </c>
      <c r="I78" s="1005">
        <f>IF('[1]BASE'!GD78=0,"",'[1]BASE'!GD78)</f>
      </c>
      <c r="J78" s="1005">
        <f>IF('[1]BASE'!GE78=0,"",'[1]BASE'!GE78)</f>
      </c>
      <c r="K78" s="1005">
        <f>IF('[1]BASE'!GF78=0,"",'[1]BASE'!GF78)</f>
      </c>
      <c r="L78" s="1005">
        <f>IF('[1]BASE'!GG78=0,"",'[1]BASE'!GG78)</f>
      </c>
      <c r="M78" s="1005">
        <f>IF('[1]BASE'!GH78=0,"",'[1]BASE'!GH78)</f>
      </c>
      <c r="N78" s="1005">
        <f>IF('[1]BASE'!GI78=0,"",'[1]BASE'!GI78)</f>
      </c>
      <c r="O78" s="1005">
        <f>IF('[1]BASE'!GJ78=0,"",'[1]BASE'!GJ78)</f>
      </c>
      <c r="P78" s="1005">
        <f>IF('[1]BASE'!GK78=0,"",'[1]BASE'!GK78)</f>
      </c>
      <c r="Q78" s="1005">
        <f>IF('[1]BASE'!GL78=0,"",'[1]BASE'!GL78)</f>
      </c>
      <c r="R78" s="1005">
        <f>IF('[1]BASE'!GM78=0,"",'[1]BASE'!GM78)</f>
      </c>
      <c r="S78" s="1005">
        <f>IF('[1]BASE'!GN78=0,"",'[1]BASE'!GN78)</f>
      </c>
      <c r="T78" s="1006"/>
      <c r="U78" s="1002"/>
    </row>
    <row r="79" spans="2:21" s="996" customFormat="1" ht="19.5" customHeight="1">
      <c r="B79" s="997"/>
      <c r="C79" s="1009">
        <f>IF('[1]BASE'!C79=0,"",'[1]BASE'!C79)</f>
        <v>61</v>
      </c>
      <c r="D79" s="1009" t="str">
        <f>IF('[1]BASE'!D79=0,"",'[1]BASE'!D79)</f>
        <v>PUELCHES - MACACHIN</v>
      </c>
      <c r="E79" s="1009">
        <f>IF('[1]BASE'!E79=0,"",'[1]BASE'!E79)</f>
        <v>500</v>
      </c>
      <c r="F79" s="1009">
        <f>IF('[1]BASE'!F79=0,"",'[1]BASE'!F79)</f>
        <v>227</v>
      </c>
      <c r="G79" s="1010" t="str">
        <f>IF('[1]BASE'!G79=0,"",'[1]BASE'!G79)</f>
        <v>A</v>
      </c>
      <c r="H79" s="1005">
        <f>IF('[1]BASE'!GC79=0,"",'[1]BASE'!GC79)</f>
        <v>1</v>
      </c>
      <c r="I79" s="1005">
        <f>IF('[1]BASE'!GD79=0,"",'[1]BASE'!GD79)</f>
      </c>
      <c r="J79" s="1005">
        <f>IF('[1]BASE'!GE79=0,"",'[1]BASE'!GE79)</f>
      </c>
      <c r="K79" s="1005">
        <f>IF('[1]BASE'!GF79=0,"",'[1]BASE'!GF79)</f>
      </c>
      <c r="L79" s="1005">
        <f>IF('[1]BASE'!GG79=0,"",'[1]BASE'!GG79)</f>
      </c>
      <c r="M79" s="1005">
        <f>IF('[1]BASE'!GH79=0,"",'[1]BASE'!GH79)</f>
      </c>
      <c r="N79" s="1005">
        <f>IF('[1]BASE'!GI79=0,"",'[1]BASE'!GI79)</f>
      </c>
      <c r="O79" s="1005">
        <f>IF('[1]BASE'!GJ79=0,"",'[1]BASE'!GJ79)</f>
      </c>
      <c r="P79" s="1005">
        <f>IF('[1]BASE'!GK79=0,"",'[1]BASE'!GK79)</f>
      </c>
      <c r="Q79" s="1005">
        <f>IF('[1]BASE'!GL79=0,"",'[1]BASE'!GL79)</f>
      </c>
      <c r="R79" s="1005">
        <f>IF('[1]BASE'!GM79=0,"",'[1]BASE'!GM79)</f>
      </c>
      <c r="S79" s="1005">
        <f>IF('[1]BASE'!GN79=0,"",'[1]BASE'!GN79)</f>
      </c>
      <c r="T79" s="1006"/>
      <c r="U79" s="1002"/>
    </row>
    <row r="80" spans="2:21" s="996" customFormat="1" ht="9.75" customHeight="1">
      <c r="B80" s="997"/>
      <c r="C80" s="1007">
        <f>IF('[1]BASE'!C80=0,"",'[1]BASE'!C80)</f>
      </c>
      <c r="D80" s="1007">
        <f>IF('[1]BASE'!D80=0,"",'[1]BASE'!D80)</f>
      </c>
      <c r="E80" s="1007">
        <f>IF('[1]BASE'!E80=0,"",'[1]BASE'!E80)</f>
      </c>
      <c r="F80" s="1008">
        <f>IF('[1]BASE'!F80=0,"",'[1]BASE'!F80)</f>
      </c>
      <c r="G80" s="1008">
        <f>IF('[1]BASE'!G80=0,"",'[1]BASE'!G80)</f>
      </c>
      <c r="H80" s="1005">
        <f>IF('[1]BASE'!GC80=0,"",'[1]BASE'!GC80)</f>
      </c>
      <c r="I80" s="1005">
        <f>IF('[1]BASE'!GD80=0,"",'[1]BASE'!GD80)</f>
      </c>
      <c r="J80" s="1005">
        <f>IF('[1]BASE'!GE80=0,"",'[1]BASE'!GE80)</f>
      </c>
      <c r="K80" s="1005">
        <f>IF('[1]BASE'!GF80=0,"",'[1]BASE'!GF80)</f>
      </c>
      <c r="L80" s="1005">
        <f>IF('[1]BASE'!GG80=0,"",'[1]BASE'!GG80)</f>
      </c>
      <c r="M80" s="1005">
        <f>IF('[1]BASE'!GH80=0,"",'[1]BASE'!GH80)</f>
      </c>
      <c r="N80" s="1005">
        <f>IF('[1]BASE'!GI80=0,"",'[1]BASE'!GI80)</f>
      </c>
      <c r="O80" s="1005">
        <f>IF('[1]BASE'!GJ80=0,"",'[1]BASE'!GJ80)</f>
      </c>
      <c r="P80" s="1005">
        <f>IF('[1]BASE'!GK80=0,"",'[1]BASE'!GK80)</f>
      </c>
      <c r="Q80" s="1005">
        <f>IF('[1]BASE'!GL80=0,"",'[1]BASE'!GL80)</f>
      </c>
      <c r="R80" s="1005">
        <f>IF('[1]BASE'!GM80=0,"",'[1]BASE'!GM80)</f>
      </c>
      <c r="S80" s="1005">
        <f>IF('[1]BASE'!GN80=0,"",'[1]BASE'!GN80)</f>
      </c>
      <c r="T80" s="1006"/>
      <c r="U80" s="1002"/>
    </row>
    <row r="81" spans="2:21" s="996" customFormat="1" ht="9.75" customHeight="1">
      <c r="B81" s="997"/>
      <c r="C81" s="1009">
        <f>IF('[1]BASE'!C81=0,"",'[1]BASE'!C81)</f>
      </c>
      <c r="D81" s="1009">
        <f>IF('[1]BASE'!D81=0,"",'[1]BASE'!D81)</f>
      </c>
      <c r="E81" s="1009">
        <f>IF('[1]BASE'!E81=0,"",'[1]BASE'!E81)</f>
      </c>
      <c r="F81" s="1010">
        <f>IF('[1]BASE'!F81=0,"",'[1]BASE'!F81)</f>
      </c>
      <c r="G81" s="1010">
        <f>IF('[1]BASE'!G81=0,"",'[1]BASE'!G81)</f>
      </c>
      <c r="H81" s="1005">
        <f>IF('[1]BASE'!GC81=0,"",'[1]BASE'!GC81)</f>
      </c>
      <c r="I81" s="1005">
        <f>IF('[1]BASE'!GD81=0,"",'[1]BASE'!GD81)</f>
      </c>
      <c r="J81" s="1005">
        <f>IF('[1]BASE'!GE81=0,"",'[1]BASE'!GE81)</f>
      </c>
      <c r="K81" s="1005">
        <f>IF('[1]BASE'!GF81=0,"",'[1]BASE'!GF81)</f>
      </c>
      <c r="L81" s="1005">
        <f>IF('[1]BASE'!GG81=0,"",'[1]BASE'!GG81)</f>
      </c>
      <c r="M81" s="1005">
        <f>IF('[1]BASE'!GH81=0,"",'[1]BASE'!GH81)</f>
      </c>
      <c r="N81" s="1005">
        <f>IF('[1]BASE'!GI81=0,"",'[1]BASE'!GI81)</f>
      </c>
      <c r="O81" s="1005">
        <f>IF('[1]BASE'!GJ81=0,"",'[1]BASE'!GJ81)</f>
      </c>
      <c r="P81" s="1005">
        <f>IF('[1]BASE'!GK81=0,"",'[1]BASE'!GK81)</f>
      </c>
      <c r="Q81" s="1005">
        <f>IF('[1]BASE'!GL81=0,"",'[1]BASE'!GL81)</f>
      </c>
      <c r="R81" s="1005">
        <f>IF('[1]BASE'!GM81=0,"",'[1]BASE'!GM81)</f>
      </c>
      <c r="S81" s="1005">
        <f>IF('[1]BASE'!GN81=0,"",'[1]BASE'!GN81)</f>
      </c>
      <c r="T81" s="1006"/>
      <c r="U81" s="1002"/>
    </row>
    <row r="82" spans="2:21" s="996" customFormat="1" ht="19.5" customHeight="1">
      <c r="B82" s="997"/>
      <c r="C82" s="1007">
        <f>IF('[1]BASE'!C82=0,"",'[1]BASE'!C82)</f>
        <v>62</v>
      </c>
      <c r="D82" s="1007" t="str">
        <f>IF('[1]BASE'!D82=0,"",'[1]BASE'!D82)</f>
        <v>YACYRETÁ - RINCON I</v>
      </c>
      <c r="E82" s="1007">
        <f>IF('[1]BASE'!E82=0,"",'[1]BASE'!E82)</f>
        <v>500</v>
      </c>
      <c r="F82" s="1008">
        <f>IF('[1]BASE'!F82=0,"",'[1]BASE'!F82)</f>
        <v>3.6</v>
      </c>
      <c r="G82" s="1008" t="str">
        <f>IF('[1]BASE'!G82=0,"",'[1]BASE'!G82)</f>
        <v>B</v>
      </c>
      <c r="H82" s="1005">
        <f>IF('[1]BASE'!GC82=0,"",'[1]BASE'!GC82)</f>
      </c>
      <c r="I82" s="1005">
        <f>IF('[1]BASE'!GD82=0,"",'[1]BASE'!GD82)</f>
      </c>
      <c r="J82" s="1005">
        <f>IF('[1]BASE'!GE82=0,"",'[1]BASE'!GE82)</f>
      </c>
      <c r="K82" s="1005">
        <f>IF('[1]BASE'!GF82=0,"",'[1]BASE'!GF82)</f>
      </c>
      <c r="L82" s="1005">
        <f>IF('[1]BASE'!GG82=0,"",'[1]BASE'!GG82)</f>
      </c>
      <c r="M82" s="1005">
        <f>IF('[1]BASE'!GH82=0,"",'[1]BASE'!GH82)</f>
      </c>
      <c r="N82" s="1005">
        <f>IF('[1]BASE'!GI82=0,"",'[1]BASE'!GI82)</f>
      </c>
      <c r="O82" s="1005">
        <f>IF('[1]BASE'!GJ82=0,"",'[1]BASE'!GJ82)</f>
      </c>
      <c r="P82" s="1005">
        <f>IF('[1]BASE'!GK82=0,"",'[1]BASE'!GK82)</f>
      </c>
      <c r="Q82" s="1005">
        <f>IF('[1]BASE'!GL82=0,"",'[1]BASE'!GL82)</f>
      </c>
      <c r="R82" s="1005">
        <f>IF('[1]BASE'!GM82=0,"",'[1]BASE'!GM82)</f>
      </c>
      <c r="S82" s="1005">
        <f>IF('[1]BASE'!GN82=0,"",'[1]BASE'!GN82)</f>
      </c>
      <c r="T82" s="1006"/>
      <c r="U82" s="1002"/>
    </row>
    <row r="83" spans="2:21" s="996" customFormat="1" ht="19.5" customHeight="1">
      <c r="B83" s="997"/>
      <c r="C83" s="1009">
        <f>IF('[1]BASE'!C83=0,"",'[1]BASE'!C83)</f>
        <v>63</v>
      </c>
      <c r="D83" s="1009" t="str">
        <f>IF('[1]BASE'!D83=0,"",'[1]BASE'!D83)</f>
        <v>YACYRETÁ - RINCON II</v>
      </c>
      <c r="E83" s="1009">
        <f>IF('[1]BASE'!E83=0,"",'[1]BASE'!E83)</f>
        <v>500</v>
      </c>
      <c r="F83" s="1009">
        <f>IF('[1]BASE'!F83=0,"",'[1]BASE'!F83)</f>
        <v>3.6</v>
      </c>
      <c r="G83" s="1010" t="str">
        <f>IF('[1]BASE'!G83=0,"",'[1]BASE'!G83)</f>
        <v>B</v>
      </c>
      <c r="H83" s="1005">
        <f>IF('[1]BASE'!GC83=0,"",'[1]BASE'!GC83)</f>
      </c>
      <c r="I83" s="1005">
        <f>IF('[1]BASE'!GD83=0,"",'[1]BASE'!GD83)</f>
      </c>
      <c r="J83" s="1005">
        <f>IF('[1]BASE'!GE83=0,"",'[1]BASE'!GE83)</f>
      </c>
      <c r="K83" s="1005">
        <f>IF('[1]BASE'!GF83=0,"",'[1]BASE'!GF83)</f>
      </c>
      <c r="L83" s="1005">
        <f>IF('[1]BASE'!GG83=0,"",'[1]BASE'!GG83)</f>
      </c>
      <c r="M83" s="1005">
        <f>IF('[1]BASE'!GH83=0,"",'[1]BASE'!GH83)</f>
      </c>
      <c r="N83" s="1005">
        <f>IF('[1]BASE'!GI83=0,"",'[1]BASE'!GI83)</f>
      </c>
      <c r="O83" s="1005">
        <f>IF('[1]BASE'!GJ83=0,"",'[1]BASE'!GJ83)</f>
      </c>
      <c r="P83" s="1005">
        <f>IF('[1]BASE'!GK83=0,"",'[1]BASE'!GK83)</f>
      </c>
      <c r="Q83" s="1005">
        <f>IF('[1]BASE'!GL83=0,"",'[1]BASE'!GL83)</f>
      </c>
      <c r="R83" s="1005">
        <f>IF('[1]BASE'!GM83=0,"",'[1]BASE'!GM83)</f>
      </c>
      <c r="S83" s="1005">
        <f>IF('[1]BASE'!GN83=0,"",'[1]BASE'!GN83)</f>
      </c>
      <c r="T83" s="1006"/>
      <c r="U83" s="1002"/>
    </row>
    <row r="84" spans="2:21" s="996" customFormat="1" ht="19.5" customHeight="1">
      <c r="B84" s="997"/>
      <c r="C84" s="1007">
        <f>IF('[1]BASE'!C84=0,"",'[1]BASE'!C84)</f>
        <v>64</v>
      </c>
      <c r="D84" s="1007" t="str">
        <f>IF('[1]BASE'!D84=0,"",'[1]BASE'!D84)</f>
        <v>YACYRETÁ - RINCON III</v>
      </c>
      <c r="E84" s="1007">
        <f>IF('[1]BASE'!E84=0,"",'[1]BASE'!E84)</f>
        <v>500</v>
      </c>
      <c r="F84" s="1008">
        <f>IF('[1]BASE'!F84=0,"",'[1]BASE'!F84)</f>
        <v>3.6</v>
      </c>
      <c r="G84" s="1008" t="str">
        <f>IF('[1]BASE'!G84=0,"",'[1]BASE'!G84)</f>
        <v>B</v>
      </c>
      <c r="H84" s="1005">
        <f>IF('[1]BASE'!GC84=0,"",'[1]BASE'!GC84)</f>
      </c>
      <c r="I84" s="1005">
        <f>IF('[1]BASE'!GD84=0,"",'[1]BASE'!GD84)</f>
      </c>
      <c r="J84" s="1005">
        <f>IF('[1]BASE'!GE84=0,"",'[1]BASE'!GE84)</f>
      </c>
      <c r="K84" s="1005">
        <f>IF('[1]BASE'!GF84=0,"",'[1]BASE'!GF84)</f>
      </c>
      <c r="L84" s="1005">
        <f>IF('[1]BASE'!GG84=0,"",'[1]BASE'!GG84)</f>
      </c>
      <c r="M84" s="1005">
        <f>IF('[1]BASE'!GH84=0,"",'[1]BASE'!GH84)</f>
      </c>
      <c r="N84" s="1005">
        <f>IF('[1]BASE'!GI84=0,"",'[1]BASE'!GI84)</f>
      </c>
      <c r="O84" s="1005">
        <f>IF('[1]BASE'!GJ84=0,"",'[1]BASE'!GJ84)</f>
      </c>
      <c r="P84" s="1005">
        <f>IF('[1]BASE'!GK84=0,"",'[1]BASE'!GK84)</f>
      </c>
      <c r="Q84" s="1005">
        <f>IF('[1]BASE'!GL84=0,"",'[1]BASE'!GL84)</f>
      </c>
      <c r="R84" s="1005">
        <f>IF('[1]BASE'!GM84=0,"",'[1]BASE'!GM84)</f>
      </c>
      <c r="S84" s="1005">
        <f>IF('[1]BASE'!GN84=0,"",'[1]BASE'!GN84)</f>
      </c>
      <c r="T84" s="1006"/>
      <c r="U84" s="1002"/>
    </row>
    <row r="85" spans="2:21" s="996" customFormat="1" ht="19.5" customHeight="1">
      <c r="B85" s="997"/>
      <c r="C85" s="1009">
        <f>IF('[1]BASE'!C85=0,"",'[1]BASE'!C85)</f>
        <v>65</v>
      </c>
      <c r="D85" s="1009" t="str">
        <f>IF('[1]BASE'!D85=0,"",'[1]BASE'!D85)</f>
        <v>RINCON - PASO DE LA PATRIA</v>
      </c>
      <c r="E85" s="1009">
        <f>IF('[1]BASE'!E85=0,"",'[1]BASE'!E85)</f>
        <v>500</v>
      </c>
      <c r="F85" s="1010">
        <f>IF('[1]BASE'!F85=0,"",'[1]BASE'!F85)</f>
        <v>227</v>
      </c>
      <c r="G85" s="1010" t="str">
        <f>IF('[1]BASE'!G85=0,"",'[1]BASE'!G85)</f>
        <v>A</v>
      </c>
      <c r="H85" s="1005">
        <f>IF('[1]BASE'!GC85=0,"",'[1]BASE'!GC85)</f>
      </c>
      <c r="I85" s="1005">
        <f>IF('[1]BASE'!GD85=0,"",'[1]BASE'!GD85)</f>
      </c>
      <c r="J85" s="1005">
        <f>IF('[1]BASE'!GE85=0,"",'[1]BASE'!GE85)</f>
      </c>
      <c r="K85" s="1005">
        <f>IF('[1]BASE'!GF85=0,"",'[1]BASE'!GF85)</f>
      </c>
      <c r="L85" s="1005">
        <f>IF('[1]BASE'!GG85=0,"",'[1]BASE'!GG85)</f>
      </c>
      <c r="M85" s="1005">
        <f>IF('[1]BASE'!GH85=0,"",'[1]BASE'!GH85)</f>
      </c>
      <c r="N85" s="1005">
        <f>IF('[1]BASE'!GI85=0,"",'[1]BASE'!GI85)</f>
      </c>
      <c r="O85" s="1005">
        <f>IF('[1]BASE'!GJ85=0,"",'[1]BASE'!GJ85)</f>
      </c>
      <c r="P85" s="1005">
        <f>IF('[1]BASE'!GK85=0,"",'[1]BASE'!GK85)</f>
      </c>
      <c r="Q85" s="1005">
        <f>IF('[1]BASE'!GL85=0,"",'[1]BASE'!GL85)</f>
      </c>
      <c r="R85" s="1005">
        <f>IF('[1]BASE'!GM85=0,"",'[1]BASE'!GM85)</f>
      </c>
      <c r="S85" s="1005">
        <f>IF('[1]BASE'!GN85=0,"",'[1]BASE'!GN85)</f>
      </c>
      <c r="T85" s="1006"/>
      <c r="U85" s="1002"/>
    </row>
    <row r="86" spans="2:21" s="996" customFormat="1" ht="19.5" customHeight="1">
      <c r="B86" s="997"/>
      <c r="C86" s="1007">
        <f>IF('[1]BASE'!C86=0,"",'[1]BASE'!C86)</f>
        <v>66</v>
      </c>
      <c r="D86" s="1007" t="str">
        <f>IF('[1]BASE'!D86=0,"",'[1]BASE'!D86)</f>
        <v>PASO DE LA PATRIA - RESISTENCIA</v>
      </c>
      <c r="E86" s="1007">
        <f>IF('[1]BASE'!E86=0,"",'[1]BASE'!E86)</f>
        <v>500</v>
      </c>
      <c r="F86" s="1008">
        <f>IF('[1]BASE'!F86=0,"",'[1]BASE'!F86)</f>
        <v>40</v>
      </c>
      <c r="G86" s="1008" t="str">
        <f>IF('[1]BASE'!G86=0,"",'[1]BASE'!G86)</f>
        <v>C</v>
      </c>
      <c r="H86" s="1005">
        <f>IF('[1]BASE'!GC86=0,"",'[1]BASE'!GC86)</f>
      </c>
      <c r="I86" s="1005">
        <f>IF('[1]BASE'!GD86=0,"",'[1]BASE'!GD86)</f>
      </c>
      <c r="J86" s="1005">
        <f>IF('[1]BASE'!GE86=0,"",'[1]BASE'!GE86)</f>
      </c>
      <c r="K86" s="1005">
        <f>IF('[1]BASE'!GF86=0,"",'[1]BASE'!GF86)</f>
      </c>
      <c r="L86" s="1005">
        <f>IF('[1]BASE'!GG86=0,"",'[1]BASE'!GG86)</f>
      </c>
      <c r="M86" s="1005">
        <f>IF('[1]BASE'!GH86=0,"",'[1]BASE'!GH86)</f>
      </c>
      <c r="N86" s="1005">
        <f>IF('[1]BASE'!GI86=0,"",'[1]BASE'!GI86)</f>
      </c>
      <c r="O86" s="1005">
        <f>IF('[1]BASE'!GJ86=0,"",'[1]BASE'!GJ86)</f>
      </c>
      <c r="P86" s="1005">
        <f>IF('[1]BASE'!GK86=0,"",'[1]BASE'!GK86)</f>
      </c>
      <c r="Q86" s="1005">
        <f>IF('[1]BASE'!GL86=0,"",'[1]BASE'!GL86)</f>
      </c>
      <c r="R86" s="1005">
        <f>IF('[1]BASE'!GM86=0,"",'[1]BASE'!GM86)</f>
      </c>
      <c r="S86" s="1005">
        <f>IF('[1]BASE'!GN86=0,"",'[1]BASE'!GN86)</f>
      </c>
      <c r="T86" s="1006"/>
      <c r="U86" s="1002"/>
    </row>
    <row r="87" spans="2:21" s="996" customFormat="1" ht="19.5" customHeight="1">
      <c r="B87" s="997"/>
      <c r="C87" s="1009">
        <f>IF('[1]BASE'!C87=0,"",'[1]BASE'!C87)</f>
        <v>67</v>
      </c>
      <c r="D87" s="1009" t="str">
        <f>IF('[1]BASE'!D87=0,"",'[1]BASE'!D87)</f>
        <v>RINCON - RESISTENCIA</v>
      </c>
      <c r="E87" s="1009">
        <f>IF('[1]BASE'!E87=0,"",'[1]BASE'!E87)</f>
        <v>500</v>
      </c>
      <c r="F87" s="1009">
        <f>IF('[1]BASE'!F87=0,"",'[1]BASE'!F87)</f>
        <v>267</v>
      </c>
      <c r="G87" s="1010" t="str">
        <f>IF('[1]BASE'!G87=0,"",'[1]BASE'!G87)</f>
        <v>B</v>
      </c>
      <c r="H87" s="1005" t="str">
        <f>IF('[1]BASE'!GC87=0,"",'[1]BASE'!GC87)</f>
        <v>XXXX</v>
      </c>
      <c r="I87" s="1005" t="str">
        <f>IF('[1]BASE'!GD87=0,"",'[1]BASE'!GD87)</f>
        <v>XXXX</v>
      </c>
      <c r="J87" s="1005" t="str">
        <f>IF('[1]BASE'!GE87=0,"",'[1]BASE'!GE87)</f>
        <v>XXXX</v>
      </c>
      <c r="K87" s="1005" t="str">
        <f>IF('[1]BASE'!GF87=0,"",'[1]BASE'!GF87)</f>
        <v>XXXX</v>
      </c>
      <c r="L87" s="1005" t="str">
        <f>IF('[1]BASE'!GG87=0,"",'[1]BASE'!GG87)</f>
        <v>XXXX</v>
      </c>
      <c r="M87" s="1005" t="str">
        <f>IF('[1]BASE'!GH87=0,"",'[1]BASE'!GH87)</f>
        <v>XXXX</v>
      </c>
      <c r="N87" s="1005" t="str">
        <f>IF('[1]BASE'!GI87=0,"",'[1]BASE'!GI87)</f>
        <v>XXXX</v>
      </c>
      <c r="O87" s="1005" t="str">
        <f>IF('[1]BASE'!GJ87=0,"",'[1]BASE'!GJ87)</f>
        <v>XXXX</v>
      </c>
      <c r="P87" s="1005" t="str">
        <f>IF('[1]BASE'!GK87=0,"",'[1]BASE'!GK87)</f>
        <v>XXXX</v>
      </c>
      <c r="Q87" s="1005" t="str">
        <f>IF('[1]BASE'!GL87=0,"",'[1]BASE'!GL87)</f>
        <v>XXXX</v>
      </c>
      <c r="R87" s="1005" t="str">
        <f>IF('[1]BASE'!GM87=0,"",'[1]BASE'!GM87)</f>
        <v>XXXX</v>
      </c>
      <c r="S87" s="1005" t="str">
        <f>IF('[1]BASE'!GN87=0,"",'[1]BASE'!GN87)</f>
        <v>XXXX</v>
      </c>
      <c r="T87" s="1006"/>
      <c r="U87" s="1002"/>
    </row>
    <row r="88" spans="2:21" s="996" customFormat="1" ht="9.75" customHeight="1">
      <c r="B88" s="997"/>
      <c r="C88" s="1007">
        <f>IF('[1]BASE'!C88=0,"",'[1]BASE'!C88)</f>
      </c>
      <c r="D88" s="1007">
        <f>IF('[1]BASE'!D88=0,"",'[1]BASE'!D88)</f>
      </c>
      <c r="E88" s="1007">
        <f>IF('[1]BASE'!E88=0,"",'[1]BASE'!E88)</f>
      </c>
      <c r="F88" s="1008">
        <f>IF('[1]BASE'!F88=0,"",'[1]BASE'!F88)</f>
      </c>
      <c r="G88" s="1008">
        <f>IF('[1]BASE'!G88=0,"",'[1]BASE'!G88)</f>
      </c>
      <c r="H88" s="1005">
        <f>IF('[1]BASE'!GC88=0,"",'[1]BASE'!GC88)</f>
      </c>
      <c r="I88" s="1005">
        <f>IF('[1]BASE'!GD88=0,"",'[1]BASE'!GD88)</f>
      </c>
      <c r="J88" s="1005">
        <f>IF('[1]BASE'!GE88=0,"",'[1]BASE'!GE88)</f>
      </c>
      <c r="K88" s="1005">
        <f>IF('[1]BASE'!GF88=0,"",'[1]BASE'!GF88)</f>
      </c>
      <c r="L88" s="1005">
        <f>IF('[1]BASE'!GG88=0,"",'[1]BASE'!GG88)</f>
      </c>
      <c r="M88" s="1005">
        <f>IF('[1]BASE'!GH88=0,"",'[1]BASE'!GH88)</f>
      </c>
      <c r="N88" s="1005">
        <f>IF('[1]BASE'!GI88=0,"",'[1]BASE'!GI88)</f>
      </c>
      <c r="O88" s="1005">
        <f>IF('[1]BASE'!GJ88=0,"",'[1]BASE'!GJ88)</f>
      </c>
      <c r="P88" s="1005">
        <f>IF('[1]BASE'!GK88=0,"",'[1]BASE'!GK88)</f>
      </c>
      <c r="Q88" s="1005">
        <f>IF('[1]BASE'!GL88=0,"",'[1]BASE'!GL88)</f>
      </c>
      <c r="R88" s="1005">
        <f>IF('[1]BASE'!GM88=0,"",'[1]BASE'!GM88)</f>
      </c>
      <c r="S88" s="1005">
        <f>IF('[1]BASE'!GN88=0,"",'[1]BASE'!GN88)</f>
      </c>
      <c r="T88" s="1006"/>
      <c r="U88" s="1002"/>
    </row>
    <row r="89" spans="2:21" s="996" customFormat="1" ht="19.5" customHeight="1">
      <c r="B89" s="997"/>
      <c r="C89" s="1009">
        <f>IF('[1]BASE'!C89=0,"",'[1]BASE'!C89)</f>
        <v>68</v>
      </c>
      <c r="D89" s="1009" t="str">
        <f>IF('[1]BASE'!D89=0,"",'[1]BASE'!D89)</f>
        <v>RINCON - SALTO GRANDE</v>
      </c>
      <c r="E89" s="1009">
        <f>IF('[1]BASE'!E89=0,"",'[1]BASE'!E89)</f>
        <v>500</v>
      </c>
      <c r="F89" s="1010">
        <f>IF('[1]BASE'!F89=0,"",'[1]BASE'!F89)</f>
        <v>506</v>
      </c>
      <c r="G89" s="1010" t="str">
        <f>IF('[1]BASE'!G89=0,"",'[1]BASE'!G89)</f>
        <v>A</v>
      </c>
      <c r="H89" s="1005">
        <f>IF('[1]BASE'!GC89=0,"",'[1]BASE'!GC89)</f>
      </c>
      <c r="I89" s="1005">
        <f>IF('[1]BASE'!GD89=0,"",'[1]BASE'!GD89)</f>
      </c>
      <c r="J89" s="1005">
        <f>IF('[1]BASE'!GE89=0,"",'[1]BASE'!GE89)</f>
      </c>
      <c r="K89" s="1005">
        <f>IF('[1]BASE'!GF89=0,"",'[1]BASE'!GF89)</f>
      </c>
      <c r="L89" s="1005">
        <f>IF('[1]BASE'!GG89=0,"",'[1]BASE'!GG89)</f>
      </c>
      <c r="M89" s="1005">
        <f>IF('[1]BASE'!GH89=0,"",'[1]BASE'!GH89)</f>
      </c>
      <c r="N89" s="1005">
        <f>IF('[1]BASE'!GI89=0,"",'[1]BASE'!GI89)</f>
      </c>
      <c r="O89" s="1005">
        <f>IF('[1]BASE'!GJ89=0,"",'[1]BASE'!GJ89)</f>
      </c>
      <c r="P89" s="1005">
        <f>IF('[1]BASE'!GK89=0,"",'[1]BASE'!GK89)</f>
      </c>
      <c r="Q89" s="1005">
        <f>IF('[1]BASE'!GL89=0,"",'[1]BASE'!GL89)</f>
      </c>
      <c r="R89" s="1005">
        <f>IF('[1]BASE'!GM89=0,"",'[1]BASE'!GM89)</f>
      </c>
      <c r="S89" s="1005">
        <f>IF('[1]BASE'!GN89=0,"",'[1]BASE'!GN89)</f>
      </c>
      <c r="T89" s="1006"/>
      <c r="U89" s="1002"/>
    </row>
    <row r="90" spans="2:21" s="996" customFormat="1" ht="19.5" customHeight="1">
      <c r="B90" s="997"/>
      <c r="C90" s="1007">
        <f>IF('[1]BASE'!C90=0,"",'[1]BASE'!C90)</f>
        <v>69</v>
      </c>
      <c r="D90" s="1007" t="str">
        <f>IF('[1]BASE'!D90=0,"",'[1]BASE'!D90)</f>
        <v>RINCON - SAN ISIDRO</v>
      </c>
      <c r="E90" s="1007">
        <f>IF('[1]BASE'!E90=0,"",'[1]BASE'!E90)</f>
        <v>500</v>
      </c>
      <c r="F90" s="1008">
        <f>IF('[1]BASE'!F90=0,"",'[1]BASE'!F90)</f>
        <v>85</v>
      </c>
      <c r="G90" s="1008" t="str">
        <f>IF('[1]BASE'!G90=0,"",'[1]BASE'!G90)</f>
        <v>C</v>
      </c>
      <c r="H90" s="1005">
        <f>IF('[1]BASE'!GC90=0,"",'[1]BASE'!GC90)</f>
      </c>
      <c r="I90" s="1005">
        <f>IF('[1]BASE'!GD90=0,"",'[1]BASE'!GD90)</f>
      </c>
      <c r="J90" s="1005">
        <f>IF('[1]BASE'!GE90=0,"",'[1]BASE'!GE90)</f>
      </c>
      <c r="K90" s="1005">
        <f>IF('[1]BASE'!GF90=0,"",'[1]BASE'!GF90)</f>
      </c>
      <c r="L90" s="1005">
        <f>IF('[1]BASE'!GG90=0,"",'[1]BASE'!GG90)</f>
      </c>
      <c r="M90" s="1005">
        <f>IF('[1]BASE'!GH90=0,"",'[1]BASE'!GH90)</f>
      </c>
      <c r="N90" s="1005">
        <f>IF('[1]BASE'!GI90=0,"",'[1]BASE'!GI90)</f>
      </c>
      <c r="O90" s="1005">
        <f>IF('[1]BASE'!GJ90=0,"",'[1]BASE'!GJ90)</f>
      </c>
      <c r="P90" s="1005">
        <f>IF('[1]BASE'!GK90=0,"",'[1]BASE'!GK90)</f>
      </c>
      <c r="Q90" s="1005">
        <f>IF('[1]BASE'!GL90=0,"",'[1]BASE'!GL90)</f>
      </c>
      <c r="R90" s="1005">
        <f>IF('[1]BASE'!GM90=0,"",'[1]BASE'!GM90)</f>
      </c>
      <c r="S90" s="1005">
        <f>IF('[1]BASE'!GN90=0,"",'[1]BASE'!GN90)</f>
      </c>
      <c r="T90" s="1006"/>
      <c r="U90" s="1002"/>
    </row>
    <row r="91" spans="2:21" s="996" customFormat="1" ht="9.75" customHeight="1">
      <c r="B91" s="997"/>
      <c r="C91" s="1009">
        <f>IF('[1]BASE'!C91=0,"",'[1]BASE'!C91)</f>
      </c>
      <c r="D91" s="1009">
        <f>IF('[1]BASE'!D91=0,"",'[1]BASE'!D91)</f>
      </c>
      <c r="E91" s="1009">
        <f>IF('[1]BASE'!E91=0,"",'[1]BASE'!E91)</f>
      </c>
      <c r="F91" s="1009">
        <f>IF('[1]BASE'!F91=0,"",'[1]BASE'!F91)</f>
      </c>
      <c r="G91" s="1010">
        <f>IF('[1]BASE'!G91=0,"",'[1]BASE'!G91)</f>
      </c>
      <c r="H91" s="1005">
        <f>IF('[1]BASE'!GC91=0,"",'[1]BASE'!GC91)</f>
      </c>
      <c r="I91" s="1005">
        <f>IF('[1]BASE'!GD91=0,"",'[1]BASE'!GD91)</f>
      </c>
      <c r="J91" s="1005">
        <f>IF('[1]BASE'!GE91=0,"",'[1]BASE'!GE91)</f>
      </c>
      <c r="K91" s="1005">
        <f>IF('[1]BASE'!GF91=0,"",'[1]BASE'!GF91)</f>
      </c>
      <c r="L91" s="1005">
        <f>IF('[1]BASE'!GG91=0,"",'[1]BASE'!GG91)</f>
      </c>
      <c r="M91" s="1005">
        <f>IF('[1]BASE'!GH91=0,"",'[1]BASE'!GH91)</f>
      </c>
      <c r="N91" s="1005">
        <f>IF('[1]BASE'!GI91=0,"",'[1]BASE'!GI91)</f>
      </c>
      <c r="O91" s="1005">
        <f>IF('[1]BASE'!GJ91=0,"",'[1]BASE'!GJ91)</f>
      </c>
      <c r="P91" s="1005">
        <f>IF('[1]BASE'!GK91=0,"",'[1]BASE'!GK91)</f>
      </c>
      <c r="Q91" s="1005">
        <f>IF('[1]BASE'!GL91=0,"",'[1]BASE'!GL91)</f>
      </c>
      <c r="R91" s="1005">
        <f>IF('[1]BASE'!GM91=0,"",'[1]BASE'!GM91)</f>
      </c>
      <c r="S91" s="1005">
        <f>IF('[1]BASE'!GN91=0,"",'[1]BASE'!GN91)</f>
      </c>
      <c r="T91" s="1006"/>
      <c r="U91" s="1002"/>
    </row>
    <row r="92" spans="2:21" s="996" customFormat="1" ht="9.75" customHeight="1" thickBot="1">
      <c r="B92" s="997"/>
      <c r="C92" s="1011"/>
      <c r="D92" s="1011"/>
      <c r="E92" s="1011"/>
      <c r="F92" s="1011"/>
      <c r="G92" s="1012"/>
      <c r="H92" s="1013"/>
      <c r="I92" s="1013"/>
      <c r="J92" s="1013"/>
      <c r="K92" s="1013"/>
      <c r="L92" s="1013"/>
      <c r="M92" s="1013"/>
      <c r="N92" s="1013"/>
      <c r="O92" s="1013"/>
      <c r="P92" s="1013"/>
      <c r="Q92" s="1013"/>
      <c r="R92" s="1013"/>
      <c r="S92" s="1013"/>
      <c r="T92" s="1006"/>
      <c r="U92" s="1002"/>
    </row>
    <row r="93" spans="2:21" s="996" customFormat="1" ht="19.5" customHeight="1" thickBot="1" thickTop="1">
      <c r="B93" s="997"/>
      <c r="C93" s="1014"/>
      <c r="D93" s="1015"/>
      <c r="E93" s="1016" t="s">
        <v>383</v>
      </c>
      <c r="F93" s="1017">
        <f>SUM(F16:F92)-F46-F57-F78-F79-F87</f>
        <v>9666.7</v>
      </c>
      <c r="G93" s="1018"/>
      <c r="H93" s="1019"/>
      <c r="I93" s="1019"/>
      <c r="J93" s="1019"/>
      <c r="K93" s="1019"/>
      <c r="L93" s="1019"/>
      <c r="M93" s="1019"/>
      <c r="N93" s="1019"/>
      <c r="O93" s="1019"/>
      <c r="P93" s="1019"/>
      <c r="Q93" s="1019"/>
      <c r="R93" s="1019"/>
      <c r="S93" s="1019"/>
      <c r="T93" s="1006"/>
      <c r="U93" s="1002"/>
    </row>
    <row r="94" spans="2:21" s="996" customFormat="1" ht="19.5" customHeight="1" thickBot="1" thickTop="1">
      <c r="B94" s="997"/>
      <c r="C94" s="1020"/>
      <c r="D94" s="1021"/>
      <c r="E94" s="1022"/>
      <c r="F94" s="1023" t="s">
        <v>384</v>
      </c>
      <c r="H94" s="1024">
        <f aca="true" t="shared" si="0" ref="H94:S94">SUM(H17:H92)</f>
        <v>6</v>
      </c>
      <c r="I94" s="1024">
        <f t="shared" si="0"/>
        <v>6</v>
      </c>
      <c r="J94" s="1024">
        <f t="shared" si="0"/>
        <v>9</v>
      </c>
      <c r="K94" s="1024">
        <f t="shared" si="0"/>
        <v>2</v>
      </c>
      <c r="L94" s="1024">
        <f t="shared" si="0"/>
        <v>1</v>
      </c>
      <c r="M94" s="1024">
        <f t="shared" si="0"/>
        <v>5</v>
      </c>
      <c r="N94" s="1024">
        <f t="shared" si="0"/>
        <v>2</v>
      </c>
      <c r="O94" s="1024">
        <f t="shared" si="0"/>
        <v>4</v>
      </c>
      <c r="P94" s="1024">
        <f t="shared" si="0"/>
        <v>2</v>
      </c>
      <c r="Q94" s="1024">
        <f t="shared" si="0"/>
        <v>6</v>
      </c>
      <c r="R94" s="1024">
        <f t="shared" si="0"/>
        <v>9</v>
      </c>
      <c r="S94" s="1024">
        <f t="shared" si="0"/>
        <v>0</v>
      </c>
      <c r="T94" s="1006"/>
      <c r="U94" s="1002"/>
    </row>
    <row r="95" spans="2:21" s="996" customFormat="1" ht="19.5" customHeight="1" thickBot="1" thickTop="1">
      <c r="B95" s="997"/>
      <c r="E95" s="1022"/>
      <c r="F95" s="1023" t="s">
        <v>385</v>
      </c>
      <c r="H95" s="1025">
        <f>'[1]BASE'!GC100</f>
        <v>0.37</v>
      </c>
      <c r="I95" s="1025">
        <f>'[1]BASE'!GD100</f>
        <v>0.43</v>
      </c>
      <c r="J95" s="1025">
        <f>'[1]BASE'!GE100</f>
        <v>0.46</v>
      </c>
      <c r="K95" s="1025">
        <f>'[1]BASE'!GF100</f>
        <v>0.51</v>
      </c>
      <c r="L95" s="1025">
        <f>'[1]BASE'!GG100</f>
        <v>0.5</v>
      </c>
      <c r="M95" s="1025">
        <f>'[1]BASE'!GH100</f>
        <v>0.5</v>
      </c>
      <c r="N95" s="1025">
        <f>'[1]BASE'!GI100</f>
        <v>0.53</v>
      </c>
      <c r="O95" s="1025">
        <f>'[1]BASE'!GJ100</f>
        <v>0.54</v>
      </c>
      <c r="P95" s="1025">
        <f>'[1]BASE'!GK100</f>
        <v>0.5</v>
      </c>
      <c r="Q95" s="1025">
        <f>'[1]BASE'!GL100</f>
        <v>0.5</v>
      </c>
      <c r="R95" s="1025">
        <f>'[1]BASE'!GM100</f>
        <v>0.5</v>
      </c>
      <c r="S95" s="1025">
        <f>'[1]BASE'!GN100</f>
        <v>0.44</v>
      </c>
      <c r="T95" s="1025">
        <f>'[1]BASE'!GO100</f>
        <v>0.38</v>
      </c>
      <c r="U95" s="1002"/>
    </row>
    <row r="96" spans="2:21" s="906" customFormat="1" ht="9.75" customHeight="1" thickBot="1" thickTop="1">
      <c r="B96" s="1026"/>
      <c r="C96"/>
      <c r="D96" s="1027"/>
      <c r="E96" s="1028"/>
      <c r="F96" s="1029"/>
      <c r="G96"/>
      <c r="H96" s="1030"/>
      <c r="I96" s="1030"/>
      <c r="J96" s="1030"/>
      <c r="K96" s="1030"/>
      <c r="L96" s="1030"/>
      <c r="M96" s="1030"/>
      <c r="N96" s="1030"/>
      <c r="O96" s="1030"/>
      <c r="P96" s="1030"/>
      <c r="Q96" s="1030"/>
      <c r="R96" s="1030"/>
      <c r="S96" s="1030"/>
      <c r="T96" s="1030"/>
      <c r="U96" s="1031"/>
    </row>
    <row r="97" spans="2:21" ht="15.75" customHeight="1" thickBot="1">
      <c r="B97" s="50"/>
      <c r="C97" s="1032"/>
      <c r="D97" s="15" t="s">
        <v>386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209" t="s">
        <v>387</v>
      </c>
      <c r="I98" s="1033"/>
      <c r="J98" s="1034">
        <f>T95</f>
        <v>0.38</v>
      </c>
      <c r="K98" s="1035" t="s">
        <v>388</v>
      </c>
      <c r="L98" s="210"/>
      <c r="M98" s="1036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1037"/>
      <c r="D99" s="59"/>
      <c r="E99" s="59"/>
      <c r="F99" s="1037"/>
      <c r="G99" s="1037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1038"/>
      <c r="F100" s="1038"/>
      <c r="G100" s="1038"/>
    </row>
    <row r="101" spans="3:194" ht="12.75">
      <c r="C101" s="1038"/>
      <c r="D101" s="66"/>
      <c r="E101" s="66"/>
      <c r="F101" s="66"/>
      <c r="G101" s="66"/>
      <c r="H101" s="1039"/>
      <c r="I101" s="1039"/>
      <c r="J101" s="1039"/>
      <c r="K101" s="1039"/>
      <c r="L101" s="1039"/>
      <c r="M101" s="1039"/>
      <c r="N101" s="1039"/>
      <c r="O101" s="1039"/>
      <c r="P101" s="1039"/>
      <c r="Q101" s="1039"/>
      <c r="R101" s="1039"/>
      <c r="S101" s="1039"/>
      <c r="T101" s="103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1038"/>
      <c r="D102" s="66"/>
      <c r="E102" s="66"/>
      <c r="F102" s="66"/>
      <c r="G102" s="66"/>
      <c r="H102" s="1039"/>
      <c r="I102" s="1039"/>
      <c r="J102" s="1039"/>
      <c r="K102" s="1039"/>
      <c r="L102" s="1039"/>
      <c r="M102" s="1039"/>
      <c r="N102" s="1039"/>
      <c r="O102" s="1039"/>
      <c r="P102" s="1039"/>
      <c r="Q102" s="1039"/>
      <c r="R102" s="1039"/>
      <c r="S102" s="1039"/>
      <c r="T102" s="103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1038"/>
      <c r="D103" s="66"/>
      <c r="E103" s="66"/>
      <c r="F103" s="66"/>
      <c r="G103" s="66"/>
      <c r="H103" s="1040"/>
      <c r="I103" s="1040"/>
      <c r="J103" s="1040"/>
      <c r="K103" s="1040"/>
      <c r="L103" s="1040"/>
      <c r="M103" s="1040"/>
      <c r="N103" s="1040"/>
      <c r="O103" s="1040"/>
      <c r="P103" s="1040"/>
      <c r="Q103" s="1040"/>
      <c r="R103" s="1040"/>
      <c r="S103" s="1040"/>
      <c r="T103" s="1040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1038"/>
      <c r="D104" s="66"/>
      <c r="E104" s="66"/>
      <c r="F104" s="66"/>
      <c r="G104" s="66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1038"/>
      <c r="D105" s="66"/>
      <c r="E105" s="66"/>
      <c r="F105" s="66"/>
      <c r="G105" s="66"/>
      <c r="H105" s="1039"/>
      <c r="I105" s="1039"/>
      <c r="J105" s="1039"/>
      <c r="K105" s="1039"/>
      <c r="L105" s="1039"/>
      <c r="M105" s="1039"/>
      <c r="N105" s="1039"/>
      <c r="O105" s="1039"/>
      <c r="P105" s="1039"/>
      <c r="Q105" s="1039"/>
      <c r="R105" s="1039"/>
      <c r="S105" s="1039"/>
      <c r="T105" s="103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1038"/>
      <c r="D106" s="66"/>
      <c r="E106" s="66"/>
      <c r="F106" s="66"/>
      <c r="G106" s="66"/>
      <c r="H106" s="1039"/>
      <c r="I106" s="1039"/>
      <c r="J106" s="1039"/>
      <c r="K106" s="1039"/>
      <c r="L106" s="1039"/>
      <c r="M106" s="1039"/>
      <c r="N106" s="1039"/>
      <c r="O106" s="1039"/>
      <c r="P106" s="1039"/>
      <c r="Q106" s="1039"/>
      <c r="R106" s="1039"/>
      <c r="S106" s="1039"/>
      <c r="T106" s="103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1038"/>
      <c r="D107" s="66"/>
      <c r="E107" s="66"/>
      <c r="F107" s="66"/>
      <c r="G107" s="66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1038"/>
      <c r="D108" s="66"/>
      <c r="E108" s="66"/>
      <c r="F108" s="66"/>
      <c r="G108" s="66"/>
      <c r="H108" s="1039"/>
      <c r="I108" s="1039"/>
      <c r="J108" s="1039"/>
      <c r="K108" s="1039"/>
      <c r="L108" s="1039"/>
      <c r="M108" s="1039"/>
      <c r="N108" s="1039"/>
      <c r="O108" s="1039"/>
      <c r="P108" s="1039"/>
      <c r="Q108" s="1039"/>
      <c r="R108" s="1039"/>
      <c r="S108" s="1039"/>
      <c r="T108" s="103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1038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1038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1038"/>
      <c r="F111" s="1038"/>
      <c r="G111" s="1038"/>
    </row>
    <row r="112" spans="3:7" ht="12.75">
      <c r="C112" s="1038"/>
      <c r="F112" s="1038"/>
      <c r="G112" s="1038"/>
    </row>
    <row r="113" spans="3:7" ht="12.75">
      <c r="C113" s="1038"/>
      <c r="F113" s="1038"/>
      <c r="G113" s="1038"/>
    </row>
    <row r="114" spans="6:7" ht="12.75">
      <c r="F114" s="1038"/>
      <c r="G114" s="1038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64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957" bestFit="1" customWidth="1"/>
    <col min="2" max="2" width="9.28125" style="957" customWidth="1"/>
    <col min="3" max="3" width="11.8515625" style="957" bestFit="1" customWidth="1"/>
    <col min="4" max="4" width="9.57421875" style="957" bestFit="1" customWidth="1"/>
    <col min="5" max="5" width="17.140625" style="957" bestFit="1" customWidth="1"/>
    <col min="6" max="6" width="71.8515625" style="957" bestFit="1" customWidth="1"/>
    <col min="7" max="9" width="5.8515625" style="957" customWidth="1"/>
    <col min="10" max="22" width="5.8515625" style="957" bestFit="1" customWidth="1"/>
    <col min="23" max="24" width="11.00390625" style="957" customWidth="1"/>
    <col min="25" max="29" width="11.421875" style="957" customWidth="1"/>
    <col min="30" max="16384" width="11.421875" style="946" customWidth="1"/>
  </cols>
  <sheetData>
    <row r="1" spans="1:4" ht="10.5">
      <c r="A1" s="956" t="s">
        <v>169</v>
      </c>
      <c r="B1" s="956" t="s">
        <v>169</v>
      </c>
      <c r="C1" s="956" t="s">
        <v>170</v>
      </c>
      <c r="D1" s="956" t="s">
        <v>171</v>
      </c>
    </row>
    <row r="2" spans="1:4" ht="10.5">
      <c r="A2" s="958" t="s">
        <v>46</v>
      </c>
      <c r="B2" s="959" t="s">
        <v>175</v>
      </c>
      <c r="C2" s="958">
        <v>31</v>
      </c>
      <c r="D2" s="958">
        <v>2006</v>
      </c>
    </row>
    <row r="3" spans="1:4" ht="10.5">
      <c r="A3" s="958" t="s">
        <v>47</v>
      </c>
      <c r="B3" s="959" t="s">
        <v>176</v>
      </c>
      <c r="C3" s="958">
        <f>IF(MOD(E14,4)=0,29,28)</f>
        <v>28</v>
      </c>
      <c r="D3" s="958">
        <f>+D2+1</f>
        <v>2007</v>
      </c>
    </row>
    <row r="4" spans="1:4" ht="10.5">
      <c r="A4" s="958" t="s">
        <v>48</v>
      </c>
      <c r="B4" s="959" t="s">
        <v>177</v>
      </c>
      <c r="C4" s="958">
        <v>31</v>
      </c>
      <c r="D4" s="958">
        <v>2008</v>
      </c>
    </row>
    <row r="5" spans="1:4" ht="10.5">
      <c r="A5" s="958" t="s">
        <v>49</v>
      </c>
      <c r="B5" s="959" t="s">
        <v>178</v>
      </c>
      <c r="C5" s="958">
        <v>30</v>
      </c>
      <c r="D5" s="958">
        <v>2009</v>
      </c>
    </row>
    <row r="6" spans="1:4" ht="10.5">
      <c r="A6" s="958" t="s">
        <v>50</v>
      </c>
      <c r="B6" s="959" t="s">
        <v>179</v>
      </c>
      <c r="C6" s="958">
        <v>31</v>
      </c>
      <c r="D6" s="958">
        <v>2010</v>
      </c>
    </row>
    <row r="7" spans="1:4" ht="10.5">
      <c r="A7" s="958" t="s">
        <v>51</v>
      </c>
      <c r="B7" s="959" t="s">
        <v>180</v>
      </c>
      <c r="C7" s="958">
        <v>30</v>
      </c>
      <c r="D7" s="958"/>
    </row>
    <row r="8" spans="1:4" ht="10.5">
      <c r="A8" s="958" t="s">
        <v>52</v>
      </c>
      <c r="B8" s="959" t="s">
        <v>181</v>
      </c>
      <c r="C8" s="958">
        <v>31</v>
      </c>
      <c r="D8" s="958"/>
    </row>
    <row r="9" spans="1:4" ht="10.5">
      <c r="A9" s="958" t="s">
        <v>53</v>
      </c>
      <c r="B9" s="959" t="s">
        <v>182</v>
      </c>
      <c r="C9" s="958">
        <v>31</v>
      </c>
      <c r="D9" s="958"/>
    </row>
    <row r="10" spans="1:4" ht="10.5">
      <c r="A10" s="958" t="s">
        <v>54</v>
      </c>
      <c r="B10" s="959" t="s">
        <v>183</v>
      </c>
      <c r="C10" s="958">
        <v>30</v>
      </c>
      <c r="D10" s="958"/>
    </row>
    <row r="11" spans="1:4" ht="10.5">
      <c r="A11" s="958" t="s">
        <v>55</v>
      </c>
      <c r="B11" s="959" t="s">
        <v>184</v>
      </c>
      <c r="C11" s="958">
        <v>31</v>
      </c>
      <c r="D11" s="958"/>
    </row>
    <row r="12" spans="1:4" ht="10.5">
      <c r="A12" s="958" t="s">
        <v>56</v>
      </c>
      <c r="B12" s="959" t="s">
        <v>185</v>
      </c>
      <c r="C12" s="958">
        <v>30</v>
      </c>
      <c r="D12" s="958"/>
    </row>
    <row r="13" spans="1:9" ht="10.5">
      <c r="A13" s="958" t="s">
        <v>57</v>
      </c>
      <c r="B13" s="959" t="s">
        <v>186</v>
      </c>
      <c r="C13" s="958">
        <v>31</v>
      </c>
      <c r="D13" s="958"/>
      <c r="E13" s="960"/>
      <c r="I13" s="961" t="s">
        <v>244</v>
      </c>
    </row>
    <row r="14" spans="1:9" ht="10.5">
      <c r="A14" s="962">
        <v>4</v>
      </c>
      <c r="B14" s="963">
        <v>9</v>
      </c>
      <c r="C14" s="962" t="str">
        <f ca="1">CELL("CONTENIDO",OFFSET(A1,B14,0))</f>
        <v>septiembre</v>
      </c>
      <c r="D14" s="962">
        <f ca="1">CELL("CONTENIDO",OFFSET(C1,B14,0))</f>
        <v>30</v>
      </c>
      <c r="E14" s="962">
        <f ca="1">CELL("CONTENIDO",OFFSET(D1,A14,0))</f>
        <v>2009</v>
      </c>
      <c r="F14" s="962" t="str">
        <f>"Desde el 01 al "&amp;D14&amp;" de "&amp;C14&amp;" de "&amp;E14</f>
        <v>Desde el 01 al 30 de septiembre de 2009</v>
      </c>
      <c r="G14" s="962" t="str">
        <f ca="1">CELL("CONTENIDO",OFFSET(B1,B14,0))</f>
        <v>09</v>
      </c>
      <c r="H14" s="962" t="str">
        <f>RIGHT(E14,2)</f>
        <v>09</v>
      </c>
      <c r="I14" s="964" t="s">
        <v>239</v>
      </c>
    </row>
    <row r="15" spans="1:8" ht="10.5">
      <c r="A15" s="962"/>
      <c r="B15" s="965" t="str">
        <f>"\\fileserver\files\Transporte\transporte\AA PROCESO AUT\TRANSENER\"&amp;E14</f>
        <v>\\fileserver\files\Transporte\transporte\AA PROCESO AUT\TRANSENER\2009</v>
      </c>
      <c r="C15" s="962"/>
      <c r="D15" s="962"/>
      <c r="E15" s="962"/>
      <c r="F15" s="962"/>
      <c r="G15" s="962" t="str">
        <f>"J"&amp;G14&amp;H14&amp;"NER"</f>
        <v>J0909NER</v>
      </c>
      <c r="H15" s="962"/>
    </row>
    <row r="16" spans="1:8" ht="10.5">
      <c r="A16" s="962"/>
      <c r="B16" s="965" t="str">
        <f>"\\fileserver\files\Transporte\transporte\AA PROCESO AUT\NERNOANEA\"&amp;H14&amp;G14</f>
        <v>\\fileserver\files\Transporte\transporte\AA PROCESO AUT\NERNOANEA\0909</v>
      </c>
      <c r="C16" s="962"/>
      <c r="D16" s="962"/>
      <c r="E16" s="962"/>
      <c r="F16" s="962"/>
      <c r="G16" s="962"/>
      <c r="H16" s="962"/>
    </row>
    <row r="17" spans="1:29" ht="10.5">
      <c r="A17" s="956" t="s">
        <v>157</v>
      </c>
      <c r="B17" s="956" t="s">
        <v>208</v>
      </c>
      <c r="C17" s="956" t="s">
        <v>190</v>
      </c>
      <c r="D17" s="956" t="s">
        <v>189</v>
      </c>
      <c r="E17" s="956" t="s">
        <v>174</v>
      </c>
      <c r="F17" s="956" t="s">
        <v>187</v>
      </c>
      <c r="G17" s="956" t="s">
        <v>205</v>
      </c>
      <c r="H17" s="956" t="s">
        <v>191</v>
      </c>
      <c r="I17" s="956" t="s">
        <v>192</v>
      </c>
      <c r="J17" s="956" t="s">
        <v>193</v>
      </c>
      <c r="K17" s="956" t="s">
        <v>194</v>
      </c>
      <c r="L17" s="956" t="s">
        <v>195</v>
      </c>
      <c r="M17" s="956" t="s">
        <v>196</v>
      </c>
      <c r="N17" s="956" t="s">
        <v>197</v>
      </c>
      <c r="O17" s="956" t="s">
        <v>198</v>
      </c>
      <c r="P17" s="956" t="s">
        <v>291</v>
      </c>
      <c r="Q17" s="956" t="s">
        <v>199</v>
      </c>
      <c r="R17" s="956" t="s">
        <v>200</v>
      </c>
      <c r="S17" s="956" t="s">
        <v>201</v>
      </c>
      <c r="T17" s="956" t="s">
        <v>202</v>
      </c>
      <c r="U17" s="956" t="s">
        <v>203</v>
      </c>
      <c r="V17" s="956" t="s">
        <v>204</v>
      </c>
      <c r="W17" s="956" t="s">
        <v>245</v>
      </c>
      <c r="X17" s="956" t="s">
        <v>246</v>
      </c>
      <c r="Y17" s="956" t="s">
        <v>248</v>
      </c>
      <c r="Z17" s="956" t="s">
        <v>247</v>
      </c>
      <c r="AA17" s="956" t="s">
        <v>250</v>
      </c>
      <c r="AB17" s="956" t="s">
        <v>249</v>
      </c>
      <c r="AC17" s="956" t="s">
        <v>262</v>
      </c>
    </row>
    <row r="18" spans="1:29" ht="10.5">
      <c r="A18" s="944" t="s">
        <v>158</v>
      </c>
      <c r="B18" s="944">
        <v>22</v>
      </c>
      <c r="C18" s="944">
        <v>20</v>
      </c>
      <c r="D18" s="944">
        <v>13</v>
      </c>
      <c r="E18" s="944" t="str">
        <f>"LI-"&amp;$G$14</f>
        <v>LI-09</v>
      </c>
      <c r="F18" s="944" t="s">
        <v>188</v>
      </c>
      <c r="G18" s="944">
        <v>3</v>
      </c>
      <c r="H18" s="945">
        <v>5</v>
      </c>
      <c r="I18" s="945">
        <v>4</v>
      </c>
      <c r="J18" s="944">
        <v>6</v>
      </c>
      <c r="K18" s="944">
        <v>7</v>
      </c>
      <c r="L18" s="944">
        <v>8</v>
      </c>
      <c r="M18" s="944">
        <v>9</v>
      </c>
      <c r="N18" s="944">
        <v>12</v>
      </c>
      <c r="O18" s="944">
        <v>13</v>
      </c>
      <c r="P18" s="944">
        <v>16</v>
      </c>
      <c r="Q18" s="944">
        <v>19</v>
      </c>
      <c r="R18" s="944">
        <v>30</v>
      </c>
      <c r="S18" s="944">
        <v>0</v>
      </c>
      <c r="T18" s="944">
        <v>0</v>
      </c>
      <c r="U18" s="944">
        <v>0</v>
      </c>
      <c r="V18" s="944">
        <v>0</v>
      </c>
      <c r="W18" s="944">
        <v>17</v>
      </c>
      <c r="X18" s="944">
        <v>9</v>
      </c>
      <c r="Y18" s="944">
        <v>43</v>
      </c>
      <c r="Z18" s="945">
        <v>31</v>
      </c>
      <c r="AA18" s="944">
        <v>20</v>
      </c>
      <c r="AB18" s="945">
        <v>31</v>
      </c>
      <c r="AC18" s="944">
        <v>16</v>
      </c>
    </row>
    <row r="19" spans="1:29" ht="10.5">
      <c r="A19" s="944" t="s">
        <v>161</v>
      </c>
      <c r="B19" s="944">
        <v>19</v>
      </c>
      <c r="C19" s="944">
        <v>20</v>
      </c>
      <c r="D19" s="944">
        <v>13</v>
      </c>
      <c r="E19" s="944" t="str">
        <f>"LI-YACY-"&amp;$G$14</f>
        <v>LI-YACY-09</v>
      </c>
      <c r="F19" s="944" t="s">
        <v>206</v>
      </c>
      <c r="G19" s="944">
        <v>3</v>
      </c>
      <c r="H19" s="945">
        <v>5</v>
      </c>
      <c r="I19" s="945">
        <v>4</v>
      </c>
      <c r="J19" s="944">
        <v>6</v>
      </c>
      <c r="K19" s="944">
        <v>7</v>
      </c>
      <c r="L19" s="944">
        <v>8</v>
      </c>
      <c r="M19" s="944">
        <v>2</v>
      </c>
      <c r="N19" s="944">
        <v>9</v>
      </c>
      <c r="O19" s="944">
        <v>10</v>
      </c>
      <c r="P19" s="944">
        <v>13</v>
      </c>
      <c r="Q19" s="944">
        <v>0</v>
      </c>
      <c r="R19" s="944">
        <v>0</v>
      </c>
      <c r="S19" s="944">
        <v>0</v>
      </c>
      <c r="T19" s="944">
        <v>0</v>
      </c>
      <c r="U19" s="944">
        <v>0</v>
      </c>
      <c r="V19" s="944">
        <v>0</v>
      </c>
      <c r="W19" s="944">
        <v>18</v>
      </c>
      <c r="X19" s="944">
        <v>9</v>
      </c>
      <c r="Y19" s="944">
        <v>40</v>
      </c>
      <c r="Z19" s="945">
        <v>24</v>
      </c>
      <c r="AA19" s="944">
        <v>17</v>
      </c>
      <c r="AB19" s="945">
        <v>24</v>
      </c>
      <c r="AC19" s="944">
        <v>13</v>
      </c>
    </row>
    <row r="20" spans="1:29" ht="10.5">
      <c r="A20" s="944" t="s">
        <v>162</v>
      </c>
      <c r="B20" s="944">
        <v>22</v>
      </c>
      <c r="C20" s="944">
        <v>20</v>
      </c>
      <c r="D20" s="944">
        <v>13</v>
      </c>
      <c r="E20" s="944" t="str">
        <f>"LI-LITSA-"&amp;$G$14</f>
        <v>LI-LITSA-09</v>
      </c>
      <c r="F20" s="944" t="s">
        <v>207</v>
      </c>
      <c r="G20" s="944">
        <v>3</v>
      </c>
      <c r="H20" s="945">
        <v>5</v>
      </c>
      <c r="I20" s="945">
        <v>4</v>
      </c>
      <c r="J20" s="944">
        <v>6</v>
      </c>
      <c r="K20" s="944">
        <v>7</v>
      </c>
      <c r="L20" s="944">
        <v>8</v>
      </c>
      <c r="M20" s="944">
        <v>9</v>
      </c>
      <c r="N20" s="944">
        <v>12</v>
      </c>
      <c r="O20" s="944">
        <v>13</v>
      </c>
      <c r="P20" s="944">
        <v>16</v>
      </c>
      <c r="Q20" s="944">
        <v>19</v>
      </c>
      <c r="R20" s="944">
        <v>30</v>
      </c>
      <c r="S20" s="944">
        <v>0</v>
      </c>
      <c r="T20" s="944">
        <v>0</v>
      </c>
      <c r="U20" s="944">
        <v>0</v>
      </c>
      <c r="V20" s="944">
        <v>0</v>
      </c>
      <c r="W20" s="945">
        <v>19</v>
      </c>
      <c r="X20" s="944">
        <v>9</v>
      </c>
      <c r="Y20" s="944">
        <v>43</v>
      </c>
      <c r="Z20" s="945">
        <v>32</v>
      </c>
      <c r="AA20" s="944">
        <v>20</v>
      </c>
      <c r="AB20" s="945">
        <v>32</v>
      </c>
      <c r="AC20" s="944">
        <v>16</v>
      </c>
    </row>
    <row r="21" spans="1:29" ht="10.5">
      <c r="A21" s="944" t="s">
        <v>219</v>
      </c>
      <c r="B21" s="944">
        <v>22</v>
      </c>
      <c r="C21" s="945">
        <v>20</v>
      </c>
      <c r="D21" s="944">
        <v>13</v>
      </c>
      <c r="E21" s="944" t="str">
        <f>"LI-IV-"&amp;$G$14</f>
        <v>LI-IV-09</v>
      </c>
      <c r="F21" s="944" t="s">
        <v>220</v>
      </c>
      <c r="G21" s="944">
        <v>3</v>
      </c>
      <c r="H21" s="945">
        <v>5</v>
      </c>
      <c r="I21" s="945">
        <v>4</v>
      </c>
      <c r="J21" s="944">
        <v>6</v>
      </c>
      <c r="K21" s="944">
        <v>7</v>
      </c>
      <c r="L21" s="944">
        <v>8</v>
      </c>
      <c r="M21" s="944">
        <v>9</v>
      </c>
      <c r="N21" s="944">
        <v>12</v>
      </c>
      <c r="O21" s="944">
        <v>13</v>
      </c>
      <c r="P21" s="944">
        <v>16</v>
      </c>
      <c r="Q21" s="944">
        <v>19</v>
      </c>
      <c r="R21" s="944">
        <v>30</v>
      </c>
      <c r="S21" s="944">
        <v>0</v>
      </c>
      <c r="T21" s="944">
        <v>0</v>
      </c>
      <c r="U21" s="944">
        <v>0</v>
      </c>
      <c r="V21" s="944">
        <v>0</v>
      </c>
      <c r="W21" s="945">
        <v>20</v>
      </c>
      <c r="X21" s="945">
        <v>9</v>
      </c>
      <c r="Y21" s="944">
        <v>43</v>
      </c>
      <c r="Z21" s="945">
        <v>31</v>
      </c>
      <c r="AA21" s="944">
        <v>20</v>
      </c>
      <c r="AB21" s="945">
        <v>31</v>
      </c>
      <c r="AC21" s="944">
        <v>16</v>
      </c>
    </row>
    <row r="22" spans="1:29" ht="10.5">
      <c r="A22" s="945" t="s">
        <v>269</v>
      </c>
      <c r="B22" s="945">
        <v>20</v>
      </c>
      <c r="C22" s="945">
        <v>20</v>
      </c>
      <c r="D22" s="945">
        <v>13</v>
      </c>
      <c r="E22" s="945" t="str">
        <f>"LI-INTESAR-"&amp;$G$14</f>
        <v>LI-INTESAR-09</v>
      </c>
      <c r="F22" s="945" t="s">
        <v>278</v>
      </c>
      <c r="G22" s="945">
        <v>3</v>
      </c>
      <c r="H22" s="945">
        <v>5</v>
      </c>
      <c r="I22" s="945">
        <v>4</v>
      </c>
      <c r="J22" s="945">
        <v>6</v>
      </c>
      <c r="K22" s="945">
        <v>7</v>
      </c>
      <c r="L22" s="945">
        <v>8</v>
      </c>
      <c r="M22" s="945">
        <v>9</v>
      </c>
      <c r="N22" s="945">
        <v>12</v>
      </c>
      <c r="O22" s="945">
        <v>13</v>
      </c>
      <c r="P22" s="945">
        <v>16</v>
      </c>
      <c r="Q22" s="945">
        <v>19</v>
      </c>
      <c r="R22" s="945">
        <v>30</v>
      </c>
      <c r="S22" s="945">
        <v>0</v>
      </c>
      <c r="T22" s="945">
        <v>0</v>
      </c>
      <c r="U22" s="945">
        <v>0</v>
      </c>
      <c r="V22" s="945">
        <v>0</v>
      </c>
      <c r="W22" s="945">
        <v>21</v>
      </c>
      <c r="X22" s="945">
        <v>9</v>
      </c>
      <c r="Y22" s="945">
        <v>43</v>
      </c>
      <c r="Z22" s="945">
        <v>31</v>
      </c>
      <c r="AA22" s="944">
        <v>20</v>
      </c>
      <c r="AB22" s="945">
        <v>31</v>
      </c>
      <c r="AC22" s="945">
        <v>16</v>
      </c>
    </row>
    <row r="23" spans="1:29" ht="10.5">
      <c r="A23" s="945" t="s">
        <v>270</v>
      </c>
      <c r="B23" s="945">
        <v>20</v>
      </c>
      <c r="C23" s="945">
        <v>20</v>
      </c>
      <c r="D23" s="945">
        <v>13</v>
      </c>
      <c r="E23" s="945" t="str">
        <f>"LI-CUYANA-"&amp;$G$14</f>
        <v>LI-CUYANA-09</v>
      </c>
      <c r="F23" s="945" t="s">
        <v>279</v>
      </c>
      <c r="G23" s="945">
        <v>3</v>
      </c>
      <c r="H23" s="945">
        <v>5</v>
      </c>
      <c r="I23" s="945">
        <v>4</v>
      </c>
      <c r="J23" s="945">
        <v>6</v>
      </c>
      <c r="K23" s="945">
        <v>7</v>
      </c>
      <c r="L23" s="945">
        <v>8</v>
      </c>
      <c r="M23" s="945">
        <v>9</v>
      </c>
      <c r="N23" s="945">
        <v>12</v>
      </c>
      <c r="O23" s="945">
        <v>13</v>
      </c>
      <c r="P23" s="945">
        <v>16</v>
      </c>
      <c r="Q23" s="945">
        <v>19</v>
      </c>
      <c r="R23" s="945">
        <v>30</v>
      </c>
      <c r="S23" s="945">
        <v>0</v>
      </c>
      <c r="T23" s="945">
        <v>0</v>
      </c>
      <c r="U23" s="945">
        <v>0</v>
      </c>
      <c r="V23" s="945">
        <v>0</v>
      </c>
      <c r="W23" s="945">
        <v>22</v>
      </c>
      <c r="X23" s="945">
        <v>9</v>
      </c>
      <c r="Y23" s="945">
        <v>43</v>
      </c>
      <c r="Z23" s="945">
        <v>31</v>
      </c>
      <c r="AA23" s="944">
        <v>20</v>
      </c>
      <c r="AB23" s="945">
        <v>31</v>
      </c>
      <c r="AC23" s="945">
        <v>16</v>
      </c>
    </row>
    <row r="24" spans="1:29" ht="10.5">
      <c r="A24" s="945" t="s">
        <v>266</v>
      </c>
      <c r="B24" s="945">
        <v>20</v>
      </c>
      <c r="C24" s="945">
        <v>20</v>
      </c>
      <c r="D24" s="945">
        <v>13</v>
      </c>
      <c r="E24" s="945" t="str">
        <f>"LI-LIMSA-"&amp;$G$14</f>
        <v>LI-LIMSA-09</v>
      </c>
      <c r="F24" s="945" t="s">
        <v>280</v>
      </c>
      <c r="G24" s="945">
        <v>3</v>
      </c>
      <c r="H24" s="945">
        <v>5</v>
      </c>
      <c r="I24" s="945">
        <v>4</v>
      </c>
      <c r="J24" s="945">
        <v>6</v>
      </c>
      <c r="K24" s="945">
        <v>7</v>
      </c>
      <c r="L24" s="945">
        <v>8</v>
      </c>
      <c r="M24" s="945">
        <v>9</v>
      </c>
      <c r="N24" s="945">
        <v>12</v>
      </c>
      <c r="O24" s="945">
        <v>13</v>
      </c>
      <c r="P24" s="945">
        <v>16</v>
      </c>
      <c r="Q24" s="945">
        <v>19</v>
      </c>
      <c r="R24" s="945">
        <v>30</v>
      </c>
      <c r="S24" s="945">
        <v>0</v>
      </c>
      <c r="T24" s="945">
        <v>0</v>
      </c>
      <c r="U24" s="945">
        <v>0</v>
      </c>
      <c r="V24" s="945">
        <v>0</v>
      </c>
      <c r="W24" s="945">
        <v>23</v>
      </c>
      <c r="X24" s="945">
        <v>9</v>
      </c>
      <c r="Y24" s="945">
        <v>43</v>
      </c>
      <c r="Z24" s="945">
        <v>31</v>
      </c>
      <c r="AA24" s="944">
        <v>20</v>
      </c>
      <c r="AB24" s="945">
        <v>31</v>
      </c>
      <c r="AC24" s="945">
        <v>16</v>
      </c>
    </row>
    <row r="25" spans="1:29" ht="10.5">
      <c r="A25" s="947" t="s">
        <v>159</v>
      </c>
      <c r="B25" s="947">
        <v>22</v>
      </c>
      <c r="C25" s="948">
        <v>20</v>
      </c>
      <c r="D25" s="947">
        <v>14</v>
      </c>
      <c r="E25" s="947" t="str">
        <f>"TR-"&amp;$G$14</f>
        <v>TR-09</v>
      </c>
      <c r="F25" s="947" t="s">
        <v>209</v>
      </c>
      <c r="G25" s="945">
        <v>3</v>
      </c>
      <c r="H25" s="945">
        <v>5</v>
      </c>
      <c r="I25" s="945">
        <v>4</v>
      </c>
      <c r="J25" s="945">
        <v>6</v>
      </c>
      <c r="K25" s="945">
        <v>7</v>
      </c>
      <c r="L25" s="948">
        <v>8</v>
      </c>
      <c r="M25" s="948">
        <v>9</v>
      </c>
      <c r="N25" s="948">
        <v>11</v>
      </c>
      <c r="O25" s="948">
        <v>12</v>
      </c>
      <c r="P25" s="948">
        <v>15</v>
      </c>
      <c r="Q25" s="948">
        <v>17</v>
      </c>
      <c r="R25" s="948">
        <v>18</v>
      </c>
      <c r="S25" s="948">
        <v>28</v>
      </c>
      <c r="T25" s="948">
        <v>0</v>
      </c>
      <c r="U25" s="948">
        <v>0</v>
      </c>
      <c r="V25" s="948">
        <v>0</v>
      </c>
      <c r="W25" s="948">
        <v>27</v>
      </c>
      <c r="X25" s="945">
        <v>9</v>
      </c>
      <c r="Y25" s="947">
        <v>43</v>
      </c>
      <c r="Z25" s="947">
        <v>29</v>
      </c>
      <c r="AA25" s="947">
        <v>20</v>
      </c>
      <c r="AB25" s="947">
        <v>29</v>
      </c>
      <c r="AC25" s="947">
        <v>15</v>
      </c>
    </row>
    <row r="26" spans="1:29" ht="10.5">
      <c r="A26" s="944" t="s">
        <v>163</v>
      </c>
      <c r="B26" s="944">
        <v>22</v>
      </c>
      <c r="C26" s="945">
        <v>20</v>
      </c>
      <c r="D26" s="947">
        <v>14</v>
      </c>
      <c r="E26" s="944" t="str">
        <f>"TR-LITSA-"&amp;$G$14</f>
        <v>TR-LITSA-09</v>
      </c>
      <c r="F26" s="944" t="s">
        <v>210</v>
      </c>
      <c r="G26" s="945">
        <v>3</v>
      </c>
      <c r="H26" s="945">
        <v>5</v>
      </c>
      <c r="I26" s="945">
        <v>4</v>
      </c>
      <c r="J26" s="945">
        <v>6</v>
      </c>
      <c r="K26" s="945">
        <v>7</v>
      </c>
      <c r="L26" s="948">
        <v>8</v>
      </c>
      <c r="M26" s="948">
        <v>9</v>
      </c>
      <c r="N26" s="948">
        <v>11</v>
      </c>
      <c r="O26" s="948">
        <v>12</v>
      </c>
      <c r="P26" s="948">
        <v>15</v>
      </c>
      <c r="Q26" s="948">
        <v>17</v>
      </c>
      <c r="R26" s="948">
        <v>18</v>
      </c>
      <c r="S26" s="948">
        <v>28</v>
      </c>
      <c r="T26" s="948">
        <v>0</v>
      </c>
      <c r="U26" s="948">
        <v>0</v>
      </c>
      <c r="V26" s="948">
        <v>0</v>
      </c>
      <c r="W26" s="948">
        <v>28</v>
      </c>
      <c r="X26" s="945">
        <v>9</v>
      </c>
      <c r="Y26" s="947">
        <v>43</v>
      </c>
      <c r="Z26" s="947">
        <v>29</v>
      </c>
      <c r="AA26" s="947">
        <v>20</v>
      </c>
      <c r="AB26" s="947">
        <v>29</v>
      </c>
      <c r="AC26" s="947">
        <v>15</v>
      </c>
    </row>
    <row r="27" spans="1:29" ht="10.5">
      <c r="A27" s="944" t="s">
        <v>164</v>
      </c>
      <c r="B27" s="944">
        <v>20</v>
      </c>
      <c r="C27" s="945">
        <v>20</v>
      </c>
      <c r="D27" s="947">
        <v>14</v>
      </c>
      <c r="E27" s="944" t="str">
        <f>"TR-TIBA-"&amp;$G$14</f>
        <v>TR-TIBA-09</v>
      </c>
      <c r="F27" s="944" t="s">
        <v>212</v>
      </c>
      <c r="G27" s="945">
        <v>3</v>
      </c>
      <c r="H27" s="945">
        <v>5</v>
      </c>
      <c r="I27" s="945">
        <v>4</v>
      </c>
      <c r="J27" s="945">
        <v>6</v>
      </c>
      <c r="K27" s="945">
        <v>7</v>
      </c>
      <c r="L27" s="948">
        <v>8</v>
      </c>
      <c r="M27" s="948">
        <v>9</v>
      </c>
      <c r="N27" s="948">
        <v>11</v>
      </c>
      <c r="O27" s="948">
        <v>12</v>
      </c>
      <c r="P27" s="948">
        <v>15</v>
      </c>
      <c r="Q27" s="948">
        <v>17</v>
      </c>
      <c r="R27" s="948">
        <v>18</v>
      </c>
      <c r="S27" s="948">
        <v>28</v>
      </c>
      <c r="T27" s="948">
        <v>0</v>
      </c>
      <c r="U27" s="948">
        <v>0</v>
      </c>
      <c r="V27" s="948">
        <v>0</v>
      </c>
      <c r="W27" s="948">
        <v>29</v>
      </c>
      <c r="X27" s="945">
        <v>9</v>
      </c>
      <c r="Y27" s="947">
        <v>41</v>
      </c>
      <c r="Z27" s="947">
        <v>29</v>
      </c>
      <c r="AA27" s="947">
        <v>18</v>
      </c>
      <c r="AB27" s="947">
        <v>29</v>
      </c>
      <c r="AC27" s="947">
        <v>15</v>
      </c>
    </row>
    <row r="28" spans="1:29" ht="10.5">
      <c r="A28" s="944" t="s">
        <v>165</v>
      </c>
      <c r="B28" s="944">
        <v>20</v>
      </c>
      <c r="C28" s="945">
        <v>20</v>
      </c>
      <c r="D28" s="947">
        <v>14</v>
      </c>
      <c r="E28" s="944" t="str">
        <f>"TR-ENECOR-"&amp;$G$14</f>
        <v>TR-ENECOR-09</v>
      </c>
      <c r="F28" s="944" t="s">
        <v>211</v>
      </c>
      <c r="G28" s="945">
        <v>3</v>
      </c>
      <c r="H28" s="945">
        <v>5</v>
      </c>
      <c r="I28" s="945">
        <v>4</v>
      </c>
      <c r="J28" s="945">
        <v>6</v>
      </c>
      <c r="K28" s="945">
        <v>7</v>
      </c>
      <c r="L28" s="948">
        <v>8</v>
      </c>
      <c r="M28" s="948">
        <v>9</v>
      </c>
      <c r="N28" s="948">
        <v>11</v>
      </c>
      <c r="O28" s="948">
        <v>12</v>
      </c>
      <c r="P28" s="948">
        <v>15</v>
      </c>
      <c r="Q28" s="948">
        <v>17</v>
      </c>
      <c r="R28" s="948">
        <v>18</v>
      </c>
      <c r="S28" s="948">
        <v>28</v>
      </c>
      <c r="T28" s="948">
        <v>0</v>
      </c>
      <c r="U28" s="948">
        <v>0</v>
      </c>
      <c r="V28" s="948">
        <v>0</v>
      </c>
      <c r="W28" s="948">
        <v>30</v>
      </c>
      <c r="X28" s="945">
        <v>9</v>
      </c>
      <c r="Y28" s="947">
        <v>41</v>
      </c>
      <c r="Z28" s="947">
        <v>29</v>
      </c>
      <c r="AA28" s="947">
        <v>20</v>
      </c>
      <c r="AB28" s="947">
        <v>29</v>
      </c>
      <c r="AC28" s="947">
        <v>15</v>
      </c>
    </row>
    <row r="29" spans="1:29" ht="10.5">
      <c r="A29" s="945" t="s">
        <v>285</v>
      </c>
      <c r="B29" s="945">
        <v>20</v>
      </c>
      <c r="C29" s="945">
        <v>20</v>
      </c>
      <c r="D29" s="948">
        <v>14</v>
      </c>
      <c r="E29" s="945" t="str">
        <f>"TR-INTESAR-"&amp;$G$14</f>
        <v>TR-INTESAR-09</v>
      </c>
      <c r="F29" s="945" t="s">
        <v>286</v>
      </c>
      <c r="G29" s="945">
        <v>3</v>
      </c>
      <c r="H29" s="945">
        <v>5</v>
      </c>
      <c r="I29" s="945">
        <v>4</v>
      </c>
      <c r="J29" s="945">
        <v>6</v>
      </c>
      <c r="K29" s="945">
        <v>7</v>
      </c>
      <c r="L29" s="948">
        <v>8</v>
      </c>
      <c r="M29" s="948">
        <v>9</v>
      </c>
      <c r="N29" s="948">
        <v>11</v>
      </c>
      <c r="O29" s="948">
        <v>12</v>
      </c>
      <c r="P29" s="948">
        <v>15</v>
      </c>
      <c r="Q29" s="948">
        <v>17</v>
      </c>
      <c r="R29" s="948">
        <v>18</v>
      </c>
      <c r="S29" s="948">
        <v>28</v>
      </c>
      <c r="T29" s="948">
        <v>0</v>
      </c>
      <c r="U29" s="948">
        <v>0</v>
      </c>
      <c r="V29" s="948">
        <v>0</v>
      </c>
      <c r="W29" s="948">
        <v>31</v>
      </c>
      <c r="X29" s="945">
        <v>9</v>
      </c>
      <c r="Y29" s="947">
        <v>41</v>
      </c>
      <c r="Z29" s="948">
        <v>29</v>
      </c>
      <c r="AA29" s="948">
        <v>20</v>
      </c>
      <c r="AB29" s="948">
        <v>29</v>
      </c>
      <c r="AC29" s="948">
        <v>15</v>
      </c>
    </row>
    <row r="30" spans="1:29" ht="10.5">
      <c r="A30" s="945" t="s">
        <v>267</v>
      </c>
      <c r="B30" s="945">
        <v>20</v>
      </c>
      <c r="C30" s="945">
        <v>20</v>
      </c>
      <c r="D30" s="948">
        <v>14</v>
      </c>
      <c r="E30" s="945" t="str">
        <f>"TR-LIMSA-"&amp;$G$14</f>
        <v>TR-LIMSA-09</v>
      </c>
      <c r="F30" s="945" t="s">
        <v>281</v>
      </c>
      <c r="G30" s="945">
        <v>3</v>
      </c>
      <c r="H30" s="945">
        <v>5</v>
      </c>
      <c r="I30" s="945">
        <v>4</v>
      </c>
      <c r="J30" s="945">
        <v>6</v>
      </c>
      <c r="K30" s="945">
        <v>7</v>
      </c>
      <c r="L30" s="948">
        <v>8</v>
      </c>
      <c r="M30" s="948">
        <v>9</v>
      </c>
      <c r="N30" s="948">
        <v>11</v>
      </c>
      <c r="O30" s="948">
        <v>12</v>
      </c>
      <c r="P30" s="948">
        <v>15</v>
      </c>
      <c r="Q30" s="948">
        <v>17</v>
      </c>
      <c r="R30" s="948">
        <v>18</v>
      </c>
      <c r="S30" s="948">
        <v>28</v>
      </c>
      <c r="T30" s="948">
        <v>0</v>
      </c>
      <c r="U30" s="948">
        <v>0</v>
      </c>
      <c r="V30" s="948">
        <v>0</v>
      </c>
      <c r="W30" s="948">
        <v>32</v>
      </c>
      <c r="X30" s="945">
        <v>9</v>
      </c>
      <c r="Y30" s="947">
        <v>41</v>
      </c>
      <c r="Z30" s="948">
        <v>29</v>
      </c>
      <c r="AA30" s="948">
        <v>20</v>
      </c>
      <c r="AB30" s="948">
        <v>29</v>
      </c>
      <c r="AC30" s="948">
        <v>15</v>
      </c>
    </row>
    <row r="31" spans="1:29" ht="10.5">
      <c r="A31" s="945" t="s">
        <v>271</v>
      </c>
      <c r="B31" s="945">
        <v>20</v>
      </c>
      <c r="C31" s="945">
        <v>20</v>
      </c>
      <c r="D31" s="948">
        <v>14</v>
      </c>
      <c r="E31" s="945" t="str">
        <f>"TR-CUYANA-"&amp;$G$14</f>
        <v>TR-CUYANA-09</v>
      </c>
      <c r="F31" s="945" t="s">
        <v>282</v>
      </c>
      <c r="G31" s="945">
        <v>3</v>
      </c>
      <c r="H31" s="945">
        <v>5</v>
      </c>
      <c r="I31" s="945">
        <v>4</v>
      </c>
      <c r="J31" s="945">
        <v>6</v>
      </c>
      <c r="K31" s="945">
        <v>7</v>
      </c>
      <c r="L31" s="948">
        <v>8</v>
      </c>
      <c r="M31" s="948">
        <v>9</v>
      </c>
      <c r="N31" s="948">
        <v>11</v>
      </c>
      <c r="O31" s="948">
        <v>12</v>
      </c>
      <c r="P31" s="948">
        <v>15</v>
      </c>
      <c r="Q31" s="948">
        <v>17</v>
      </c>
      <c r="R31" s="948">
        <v>18</v>
      </c>
      <c r="S31" s="948">
        <v>28</v>
      </c>
      <c r="T31" s="948">
        <v>0</v>
      </c>
      <c r="U31" s="948">
        <v>0</v>
      </c>
      <c r="V31" s="948">
        <v>0</v>
      </c>
      <c r="W31" s="948">
        <v>33</v>
      </c>
      <c r="X31" s="945">
        <v>9</v>
      </c>
      <c r="Y31" s="947">
        <v>41</v>
      </c>
      <c r="Z31" s="948">
        <v>29</v>
      </c>
      <c r="AA31" s="948">
        <v>20</v>
      </c>
      <c r="AB31" s="948">
        <v>29</v>
      </c>
      <c r="AC31" s="948">
        <v>15</v>
      </c>
    </row>
    <row r="32" spans="1:29" ht="10.5">
      <c r="A32" s="944" t="s">
        <v>160</v>
      </c>
      <c r="B32" s="944">
        <v>24</v>
      </c>
      <c r="C32" s="945">
        <v>20</v>
      </c>
      <c r="D32" s="945">
        <v>11</v>
      </c>
      <c r="E32" s="944" t="str">
        <f>"SA-"&amp;$G$14</f>
        <v>SA-09</v>
      </c>
      <c r="F32" s="944" t="s">
        <v>213</v>
      </c>
      <c r="G32" s="944">
        <v>3</v>
      </c>
      <c r="H32" s="945">
        <v>5</v>
      </c>
      <c r="I32" s="945">
        <v>4</v>
      </c>
      <c r="J32" s="944">
        <v>6</v>
      </c>
      <c r="K32" s="944">
        <v>7</v>
      </c>
      <c r="L32" s="944">
        <v>8</v>
      </c>
      <c r="M32" s="944">
        <v>10</v>
      </c>
      <c r="N32" s="944">
        <v>11</v>
      </c>
      <c r="O32" s="944">
        <v>14</v>
      </c>
      <c r="P32" s="944">
        <v>15</v>
      </c>
      <c r="Q32" s="944">
        <v>21</v>
      </c>
      <c r="R32" s="944">
        <v>0</v>
      </c>
      <c r="S32" s="944">
        <v>0</v>
      </c>
      <c r="T32" s="944">
        <v>0</v>
      </c>
      <c r="U32" s="944">
        <v>0</v>
      </c>
      <c r="V32" s="944">
        <v>0</v>
      </c>
      <c r="W32" s="945">
        <v>35</v>
      </c>
      <c r="X32" s="945">
        <v>9</v>
      </c>
      <c r="Y32" s="944">
        <v>45</v>
      </c>
      <c r="Z32" s="944">
        <v>22</v>
      </c>
      <c r="AA32" s="944">
        <v>22</v>
      </c>
      <c r="AB32" s="944">
        <v>22</v>
      </c>
      <c r="AC32" s="945">
        <v>14</v>
      </c>
    </row>
    <row r="33" spans="1:29" ht="10.5">
      <c r="A33" s="944" t="s">
        <v>166</v>
      </c>
      <c r="B33" s="944">
        <v>22</v>
      </c>
      <c r="C33" s="945">
        <v>20</v>
      </c>
      <c r="D33" s="945">
        <v>11</v>
      </c>
      <c r="E33" s="944" t="str">
        <f>"SA-TIBA-"&amp;$G$14</f>
        <v>SA-TIBA-09</v>
      </c>
      <c r="F33" s="944" t="s">
        <v>214</v>
      </c>
      <c r="G33" s="944">
        <v>3</v>
      </c>
      <c r="H33" s="945">
        <v>5</v>
      </c>
      <c r="I33" s="945">
        <v>4</v>
      </c>
      <c r="J33" s="944">
        <v>6</v>
      </c>
      <c r="K33" s="944">
        <v>7</v>
      </c>
      <c r="L33" s="944">
        <v>8</v>
      </c>
      <c r="M33" s="944">
        <v>10</v>
      </c>
      <c r="N33" s="944">
        <v>11</v>
      </c>
      <c r="O33" s="944">
        <v>14</v>
      </c>
      <c r="P33" s="944">
        <v>15</v>
      </c>
      <c r="Q33" s="944">
        <v>21</v>
      </c>
      <c r="R33" s="944">
        <v>0</v>
      </c>
      <c r="S33" s="944">
        <v>0</v>
      </c>
      <c r="T33" s="944">
        <v>0</v>
      </c>
      <c r="U33" s="944">
        <v>0</v>
      </c>
      <c r="V33" s="944">
        <v>0</v>
      </c>
      <c r="W33" s="945">
        <v>36</v>
      </c>
      <c r="X33" s="945">
        <v>9</v>
      </c>
      <c r="Y33" s="944">
        <v>43</v>
      </c>
      <c r="Z33" s="944">
        <v>22</v>
      </c>
      <c r="AA33" s="944">
        <v>20</v>
      </c>
      <c r="AB33" s="944">
        <v>22</v>
      </c>
      <c r="AC33" s="945">
        <v>14</v>
      </c>
    </row>
    <row r="34" spans="1:29" ht="10.5">
      <c r="A34" s="944" t="s">
        <v>167</v>
      </c>
      <c r="B34" s="944">
        <v>22</v>
      </c>
      <c r="C34" s="945">
        <v>20</v>
      </c>
      <c r="D34" s="945">
        <v>11</v>
      </c>
      <c r="E34" s="944" t="str">
        <f>"SA-ENECOR-"&amp;$G$14</f>
        <v>SA-ENECOR-09</v>
      </c>
      <c r="F34" s="944" t="s">
        <v>215</v>
      </c>
      <c r="G34" s="944">
        <v>3</v>
      </c>
      <c r="H34" s="945">
        <v>5</v>
      </c>
      <c r="I34" s="945">
        <v>4</v>
      </c>
      <c r="J34" s="944">
        <v>6</v>
      </c>
      <c r="K34" s="944">
        <v>7</v>
      </c>
      <c r="L34" s="944">
        <v>8</v>
      </c>
      <c r="M34" s="944">
        <v>10</v>
      </c>
      <c r="N34" s="944">
        <v>11</v>
      </c>
      <c r="O34" s="944">
        <v>14</v>
      </c>
      <c r="P34" s="944">
        <v>15</v>
      </c>
      <c r="Q34" s="944">
        <v>21</v>
      </c>
      <c r="R34" s="944">
        <v>0</v>
      </c>
      <c r="S34" s="944">
        <v>0</v>
      </c>
      <c r="T34" s="944">
        <v>0</v>
      </c>
      <c r="U34" s="944">
        <v>0</v>
      </c>
      <c r="V34" s="944">
        <v>0</v>
      </c>
      <c r="W34" s="945">
        <v>37</v>
      </c>
      <c r="X34" s="945">
        <v>9</v>
      </c>
      <c r="Y34" s="944">
        <v>43</v>
      </c>
      <c r="Z34" s="944">
        <v>22</v>
      </c>
      <c r="AA34" s="944">
        <v>20</v>
      </c>
      <c r="AB34" s="944">
        <v>22</v>
      </c>
      <c r="AC34" s="945">
        <v>14</v>
      </c>
    </row>
    <row r="35" spans="1:29" ht="10.5">
      <c r="A35" s="944" t="s">
        <v>296</v>
      </c>
      <c r="B35" s="944">
        <v>24</v>
      </c>
      <c r="C35" s="945">
        <v>20</v>
      </c>
      <c r="D35" s="945">
        <v>11</v>
      </c>
      <c r="E35" s="944" t="str">
        <f>"SA-LITSA-"&amp;$G$14</f>
        <v>SA-LITSA-09</v>
      </c>
      <c r="F35" s="944" t="s">
        <v>297</v>
      </c>
      <c r="G35" s="944">
        <v>3</v>
      </c>
      <c r="H35" s="945">
        <v>5</v>
      </c>
      <c r="I35" s="945">
        <v>4</v>
      </c>
      <c r="J35" s="944">
        <v>6</v>
      </c>
      <c r="K35" s="944">
        <v>7</v>
      </c>
      <c r="L35" s="944">
        <v>8</v>
      </c>
      <c r="M35" s="944">
        <v>10</v>
      </c>
      <c r="N35" s="944">
        <v>11</v>
      </c>
      <c r="O35" s="944">
        <v>14</v>
      </c>
      <c r="P35" s="944">
        <v>15</v>
      </c>
      <c r="Q35" s="944">
        <v>21</v>
      </c>
      <c r="R35" s="944">
        <v>0</v>
      </c>
      <c r="S35" s="944">
        <v>0</v>
      </c>
      <c r="T35" s="944">
        <v>0</v>
      </c>
      <c r="U35" s="944">
        <v>0</v>
      </c>
      <c r="V35" s="944">
        <v>0</v>
      </c>
      <c r="W35" s="945">
        <v>41</v>
      </c>
      <c r="X35" s="945">
        <v>9</v>
      </c>
      <c r="Y35" s="944">
        <v>45</v>
      </c>
      <c r="Z35" s="944">
        <v>22</v>
      </c>
      <c r="AA35" s="944">
        <v>22</v>
      </c>
      <c r="AB35" s="944">
        <v>22</v>
      </c>
      <c r="AC35" s="945">
        <v>14</v>
      </c>
    </row>
    <row r="36" spans="1:29" ht="10.5">
      <c r="A36" s="944" t="s">
        <v>294</v>
      </c>
      <c r="B36" s="944">
        <v>24</v>
      </c>
      <c r="C36" s="945">
        <v>20</v>
      </c>
      <c r="D36" s="945">
        <v>11</v>
      </c>
      <c r="E36" s="944" t="str">
        <f>"SA-LIMSA-"&amp;$G$14</f>
        <v>SA-LIMSA-09</v>
      </c>
      <c r="F36" s="944" t="s">
        <v>295</v>
      </c>
      <c r="G36" s="944">
        <v>3</v>
      </c>
      <c r="H36" s="945">
        <v>5</v>
      </c>
      <c r="I36" s="945">
        <v>4</v>
      </c>
      <c r="J36" s="944">
        <v>6</v>
      </c>
      <c r="K36" s="944">
        <v>7</v>
      </c>
      <c r="L36" s="944">
        <v>8</v>
      </c>
      <c r="M36" s="944">
        <v>10</v>
      </c>
      <c r="N36" s="944">
        <v>11</v>
      </c>
      <c r="O36" s="944">
        <v>14</v>
      </c>
      <c r="P36" s="944">
        <v>15</v>
      </c>
      <c r="Q36" s="944">
        <v>21</v>
      </c>
      <c r="R36" s="944">
        <v>0</v>
      </c>
      <c r="S36" s="944">
        <v>0</v>
      </c>
      <c r="T36" s="944">
        <v>0</v>
      </c>
      <c r="U36" s="944">
        <v>0</v>
      </c>
      <c r="V36" s="944">
        <v>0</v>
      </c>
      <c r="W36" s="945">
        <v>40</v>
      </c>
      <c r="X36" s="945">
        <v>9</v>
      </c>
      <c r="Y36" s="944">
        <v>45</v>
      </c>
      <c r="Z36" s="944">
        <v>22</v>
      </c>
      <c r="AA36" s="944">
        <v>22</v>
      </c>
      <c r="AB36" s="944">
        <v>22</v>
      </c>
      <c r="AC36" s="945">
        <v>14</v>
      </c>
    </row>
    <row r="37" spans="1:29" ht="10.5">
      <c r="A37" s="945" t="s">
        <v>272</v>
      </c>
      <c r="B37" s="944">
        <v>24</v>
      </c>
      <c r="C37" s="944">
        <v>20</v>
      </c>
      <c r="D37" s="945">
        <v>11</v>
      </c>
      <c r="E37" s="945" t="str">
        <f>"SA-TESA-"&amp;$G$14</f>
        <v>SA-TESA-09</v>
      </c>
      <c r="F37" s="945" t="s">
        <v>283</v>
      </c>
      <c r="G37" s="945">
        <v>3</v>
      </c>
      <c r="H37" s="945">
        <v>5</v>
      </c>
      <c r="I37" s="945">
        <v>4</v>
      </c>
      <c r="J37" s="945">
        <v>6</v>
      </c>
      <c r="K37" s="945">
        <v>7</v>
      </c>
      <c r="L37" s="945">
        <v>8</v>
      </c>
      <c r="M37" s="945">
        <v>10</v>
      </c>
      <c r="N37" s="945">
        <v>11</v>
      </c>
      <c r="O37" s="945">
        <v>14</v>
      </c>
      <c r="P37" s="945">
        <v>15</v>
      </c>
      <c r="Q37" s="944">
        <v>21</v>
      </c>
      <c r="R37" s="945">
        <v>0</v>
      </c>
      <c r="S37" s="945">
        <v>0</v>
      </c>
      <c r="T37" s="945">
        <v>0</v>
      </c>
      <c r="U37" s="945">
        <v>0</v>
      </c>
      <c r="V37" s="945">
        <v>0</v>
      </c>
      <c r="W37" s="945">
        <v>38</v>
      </c>
      <c r="X37" s="945">
        <v>9</v>
      </c>
      <c r="Y37" s="944">
        <v>45</v>
      </c>
      <c r="Z37" s="945">
        <v>22</v>
      </c>
      <c r="AA37" s="945">
        <v>22</v>
      </c>
      <c r="AB37" s="945">
        <v>22</v>
      </c>
      <c r="AC37" s="945">
        <v>14</v>
      </c>
    </row>
    <row r="38" spans="1:29" ht="10.5">
      <c r="A38" s="945" t="s">
        <v>273</v>
      </c>
      <c r="B38" s="944">
        <v>24</v>
      </c>
      <c r="C38" s="944">
        <v>20</v>
      </c>
      <c r="D38" s="945">
        <v>11</v>
      </c>
      <c r="E38" s="945" t="str">
        <f>"SA-CTM-"&amp;$G$14</f>
        <v>SA-CTM-09</v>
      </c>
      <c r="F38" s="945" t="s">
        <v>284</v>
      </c>
      <c r="G38" s="945">
        <v>3</v>
      </c>
      <c r="H38" s="945">
        <v>5</v>
      </c>
      <c r="I38" s="945">
        <v>4</v>
      </c>
      <c r="J38" s="945">
        <v>6</v>
      </c>
      <c r="K38" s="945">
        <v>7</v>
      </c>
      <c r="L38" s="945">
        <v>8</v>
      </c>
      <c r="M38" s="945">
        <v>10</v>
      </c>
      <c r="N38" s="945">
        <v>11</v>
      </c>
      <c r="O38" s="945">
        <v>14</v>
      </c>
      <c r="P38" s="945">
        <v>15</v>
      </c>
      <c r="Q38" s="944">
        <v>21</v>
      </c>
      <c r="R38" s="945">
        <v>0</v>
      </c>
      <c r="S38" s="945">
        <v>0</v>
      </c>
      <c r="T38" s="945">
        <v>0</v>
      </c>
      <c r="U38" s="945">
        <v>0</v>
      </c>
      <c r="V38" s="945">
        <v>0</v>
      </c>
      <c r="W38" s="945">
        <v>39</v>
      </c>
      <c r="X38" s="945">
        <v>9</v>
      </c>
      <c r="Y38" s="944">
        <v>45</v>
      </c>
      <c r="Z38" s="945">
        <v>22</v>
      </c>
      <c r="AA38" s="945">
        <v>22</v>
      </c>
      <c r="AB38" s="945">
        <v>22</v>
      </c>
      <c r="AC38" s="945">
        <v>14</v>
      </c>
    </row>
    <row r="39" spans="1:29" ht="10.5">
      <c r="A39" s="944" t="s">
        <v>168</v>
      </c>
      <c r="B39" s="944">
        <v>22</v>
      </c>
      <c r="C39" s="944">
        <v>20</v>
      </c>
      <c r="D39" s="944">
        <v>12</v>
      </c>
      <c r="E39" s="944" t="str">
        <f>"RE-"&amp;$G$14</f>
        <v>RE-09</v>
      </c>
      <c r="F39" s="944" t="s">
        <v>216</v>
      </c>
      <c r="G39" s="944">
        <v>3</v>
      </c>
      <c r="H39" s="945">
        <v>5</v>
      </c>
      <c r="I39" s="945">
        <v>4</v>
      </c>
      <c r="J39" s="944">
        <v>6</v>
      </c>
      <c r="K39" s="944">
        <v>7</v>
      </c>
      <c r="L39" s="944">
        <v>8</v>
      </c>
      <c r="M39" s="944">
        <v>10</v>
      </c>
      <c r="N39" s="944">
        <v>11</v>
      </c>
      <c r="O39" s="944">
        <v>14</v>
      </c>
      <c r="P39" s="944">
        <v>16</v>
      </c>
      <c r="Q39" s="944">
        <v>25</v>
      </c>
      <c r="R39" s="944">
        <v>15</v>
      </c>
      <c r="S39" s="944">
        <v>0</v>
      </c>
      <c r="T39" s="944">
        <v>0</v>
      </c>
      <c r="U39" s="944">
        <v>0</v>
      </c>
      <c r="V39" s="944">
        <v>0</v>
      </c>
      <c r="W39" s="945">
        <v>44</v>
      </c>
      <c r="X39" s="945">
        <v>9</v>
      </c>
      <c r="Y39" s="944">
        <v>43</v>
      </c>
      <c r="Z39" s="944">
        <v>23</v>
      </c>
      <c r="AA39" s="944">
        <v>20</v>
      </c>
      <c r="AB39" s="944">
        <v>23</v>
      </c>
      <c r="AC39" s="944">
        <v>14</v>
      </c>
    </row>
    <row r="40" spans="1:29" ht="10.5">
      <c r="A40" s="944" t="s">
        <v>172</v>
      </c>
      <c r="B40" s="944">
        <v>21</v>
      </c>
      <c r="C40" s="944">
        <v>20</v>
      </c>
      <c r="D40" s="944">
        <v>10</v>
      </c>
      <c r="E40" s="944" t="str">
        <f>"RE-YACY-"&amp;$G$14</f>
        <v>RE-YACY-09</v>
      </c>
      <c r="F40" s="944" t="s">
        <v>217</v>
      </c>
      <c r="G40" s="944">
        <v>3</v>
      </c>
      <c r="H40" s="945">
        <v>5</v>
      </c>
      <c r="I40" s="945">
        <v>4</v>
      </c>
      <c r="J40" s="944">
        <v>6</v>
      </c>
      <c r="K40" s="944">
        <v>7</v>
      </c>
      <c r="L40" s="944">
        <v>8</v>
      </c>
      <c r="M40" s="944">
        <v>9</v>
      </c>
      <c r="N40" s="944">
        <v>10</v>
      </c>
      <c r="O40" s="944">
        <v>13</v>
      </c>
      <c r="P40" s="944">
        <v>0</v>
      </c>
      <c r="Q40" s="944">
        <v>0</v>
      </c>
      <c r="R40" s="944">
        <v>0</v>
      </c>
      <c r="S40" s="944">
        <v>0</v>
      </c>
      <c r="T40" s="944">
        <v>0</v>
      </c>
      <c r="U40" s="944">
        <v>0</v>
      </c>
      <c r="V40" s="944">
        <v>0</v>
      </c>
      <c r="W40" s="945">
        <v>46</v>
      </c>
      <c r="X40" s="945">
        <v>9</v>
      </c>
      <c r="Y40" s="944">
        <v>42</v>
      </c>
      <c r="Z40" s="944">
        <v>24</v>
      </c>
      <c r="AA40" s="944">
        <v>19</v>
      </c>
      <c r="AB40" s="944">
        <v>24</v>
      </c>
      <c r="AC40" s="944">
        <v>13</v>
      </c>
    </row>
    <row r="41" spans="1:29" ht="10.5">
      <c r="A41" s="944" t="s">
        <v>173</v>
      </c>
      <c r="B41" s="944">
        <v>24</v>
      </c>
      <c r="C41" s="944">
        <v>20</v>
      </c>
      <c r="D41" s="944">
        <v>12</v>
      </c>
      <c r="E41" s="944" t="str">
        <f>"RE-LITSA-"&amp;$G$14</f>
        <v>RE-LITSA-09</v>
      </c>
      <c r="F41" s="944" t="s">
        <v>218</v>
      </c>
      <c r="G41" s="944">
        <v>3</v>
      </c>
      <c r="H41" s="945">
        <v>5</v>
      </c>
      <c r="I41" s="945">
        <v>4</v>
      </c>
      <c r="J41" s="944">
        <v>6</v>
      </c>
      <c r="K41" s="944">
        <v>7</v>
      </c>
      <c r="L41" s="944">
        <v>8</v>
      </c>
      <c r="M41" s="944">
        <v>10</v>
      </c>
      <c r="N41" s="944">
        <v>11</v>
      </c>
      <c r="O41" s="944">
        <v>14</v>
      </c>
      <c r="P41" s="944">
        <v>16</v>
      </c>
      <c r="Q41" s="944">
        <v>22</v>
      </c>
      <c r="R41" s="944">
        <v>15</v>
      </c>
      <c r="S41" s="944">
        <v>0</v>
      </c>
      <c r="T41" s="944">
        <v>0</v>
      </c>
      <c r="U41" s="944">
        <v>0</v>
      </c>
      <c r="V41" s="944">
        <v>0</v>
      </c>
      <c r="W41" s="945">
        <v>47</v>
      </c>
      <c r="X41" s="945">
        <v>9</v>
      </c>
      <c r="Y41" s="944">
        <v>45</v>
      </c>
      <c r="Z41" s="944">
        <v>24</v>
      </c>
      <c r="AA41" s="944">
        <v>22</v>
      </c>
      <c r="AB41" s="944">
        <v>24</v>
      </c>
      <c r="AC41" s="944">
        <v>15</v>
      </c>
    </row>
    <row r="42" spans="1:29" ht="10.5">
      <c r="A42" s="944" t="s">
        <v>241</v>
      </c>
      <c r="B42" s="944">
        <v>22</v>
      </c>
      <c r="C42" s="944">
        <v>20</v>
      </c>
      <c r="D42" s="944">
        <v>12</v>
      </c>
      <c r="E42" s="944" t="str">
        <f>"RE-IV-"&amp;$G$14</f>
        <v>RE-IV-09</v>
      </c>
      <c r="F42" s="944" t="s">
        <v>242</v>
      </c>
      <c r="G42" s="944">
        <v>3</v>
      </c>
      <c r="H42" s="945">
        <v>5</v>
      </c>
      <c r="I42" s="945">
        <v>4</v>
      </c>
      <c r="J42" s="944">
        <v>6</v>
      </c>
      <c r="K42" s="944">
        <v>7</v>
      </c>
      <c r="L42" s="944">
        <v>8</v>
      </c>
      <c r="M42" s="944">
        <v>10</v>
      </c>
      <c r="N42" s="944">
        <v>11</v>
      </c>
      <c r="O42" s="944">
        <v>14</v>
      </c>
      <c r="P42" s="944">
        <v>16</v>
      </c>
      <c r="Q42" s="944">
        <v>22</v>
      </c>
      <c r="R42" s="944">
        <v>15</v>
      </c>
      <c r="S42" s="944">
        <v>0</v>
      </c>
      <c r="T42" s="944">
        <v>0</v>
      </c>
      <c r="U42" s="944">
        <v>0</v>
      </c>
      <c r="V42" s="944">
        <v>0</v>
      </c>
      <c r="W42" s="945">
        <v>48</v>
      </c>
      <c r="X42" s="944">
        <v>9</v>
      </c>
      <c r="Y42" s="944">
        <v>43</v>
      </c>
      <c r="Z42" s="944">
        <v>23</v>
      </c>
      <c r="AA42" s="944">
        <v>20</v>
      </c>
      <c r="AB42" s="944">
        <v>23</v>
      </c>
      <c r="AC42" s="944">
        <v>14</v>
      </c>
    </row>
    <row r="43" spans="1:29" ht="10.5">
      <c r="A43" s="951" t="s">
        <v>221</v>
      </c>
      <c r="B43" s="949">
        <v>32</v>
      </c>
      <c r="C43" s="949">
        <v>25</v>
      </c>
      <c r="D43" s="949">
        <v>11</v>
      </c>
      <c r="E43" s="951" t="s">
        <v>221</v>
      </c>
      <c r="F43" s="949" t="s">
        <v>206</v>
      </c>
      <c r="G43" s="949">
        <v>0</v>
      </c>
      <c r="H43" s="949">
        <v>0</v>
      </c>
      <c r="I43" s="949">
        <v>0</v>
      </c>
      <c r="J43" s="949">
        <v>4</v>
      </c>
      <c r="K43" s="949">
        <v>5</v>
      </c>
      <c r="L43" s="949">
        <v>6</v>
      </c>
      <c r="M43" s="949">
        <v>7</v>
      </c>
      <c r="N43" s="949">
        <v>10</v>
      </c>
      <c r="O43" s="949">
        <v>11</v>
      </c>
      <c r="P43" s="949">
        <v>14</v>
      </c>
      <c r="Q43" s="949">
        <v>17</v>
      </c>
      <c r="R43" s="949">
        <v>28</v>
      </c>
      <c r="S43" s="949">
        <v>0</v>
      </c>
      <c r="T43" s="949">
        <v>0</v>
      </c>
      <c r="U43" s="949">
        <v>0</v>
      </c>
      <c r="V43" s="949">
        <v>0</v>
      </c>
      <c r="W43" s="949">
        <v>0</v>
      </c>
      <c r="X43" s="949">
        <v>0</v>
      </c>
      <c r="Y43" s="949">
        <v>0</v>
      </c>
      <c r="Z43" s="949">
        <v>0</v>
      </c>
      <c r="AA43" s="949">
        <v>0</v>
      </c>
      <c r="AB43" s="949">
        <v>0</v>
      </c>
      <c r="AC43" s="949">
        <v>0</v>
      </c>
    </row>
    <row r="44" spans="1:29" ht="10.5">
      <c r="A44" s="951" t="s">
        <v>236</v>
      </c>
      <c r="B44" s="949">
        <v>90</v>
      </c>
      <c r="C44" s="949">
        <v>10</v>
      </c>
      <c r="D44" s="950">
        <v>12</v>
      </c>
      <c r="E44" s="951" t="s">
        <v>236</v>
      </c>
      <c r="F44" s="949" t="s">
        <v>297</v>
      </c>
      <c r="G44" s="949">
        <v>0</v>
      </c>
      <c r="H44" s="949">
        <v>0</v>
      </c>
      <c r="I44" s="949">
        <v>0</v>
      </c>
      <c r="J44" s="949">
        <v>4</v>
      </c>
      <c r="K44" s="949">
        <v>5</v>
      </c>
      <c r="L44" s="949">
        <v>6</v>
      </c>
      <c r="M44" s="949">
        <v>10</v>
      </c>
      <c r="N44" s="949">
        <v>11</v>
      </c>
      <c r="O44" s="949">
        <v>14</v>
      </c>
      <c r="P44" s="949">
        <v>15</v>
      </c>
      <c r="Q44" s="949">
        <v>28</v>
      </c>
      <c r="R44" s="949">
        <v>0</v>
      </c>
      <c r="S44" s="949">
        <v>0</v>
      </c>
      <c r="T44" s="949">
        <v>0</v>
      </c>
      <c r="U44" s="949">
        <v>0</v>
      </c>
      <c r="V44" s="949">
        <v>0</v>
      </c>
      <c r="W44" s="949">
        <v>0</v>
      </c>
      <c r="X44" s="949">
        <v>0</v>
      </c>
      <c r="Y44" s="949">
        <v>0</v>
      </c>
      <c r="Z44" s="949">
        <v>0</v>
      </c>
      <c r="AA44" s="949">
        <v>0</v>
      </c>
      <c r="AB44" s="949">
        <v>0</v>
      </c>
      <c r="AC44" s="949">
        <v>0</v>
      </c>
    </row>
    <row r="45" spans="1:29" ht="10.5">
      <c r="A45" s="951" t="s">
        <v>236</v>
      </c>
      <c r="B45" s="949">
        <v>61</v>
      </c>
      <c r="C45" s="949">
        <v>24</v>
      </c>
      <c r="D45" s="950">
        <v>12</v>
      </c>
      <c r="E45" s="951" t="s">
        <v>236</v>
      </c>
      <c r="F45" s="949" t="s">
        <v>210</v>
      </c>
      <c r="G45" s="949">
        <v>0</v>
      </c>
      <c r="H45" s="949">
        <v>0</v>
      </c>
      <c r="I45" s="949">
        <v>0</v>
      </c>
      <c r="J45" s="949">
        <v>4</v>
      </c>
      <c r="K45" s="949">
        <v>5</v>
      </c>
      <c r="L45" s="949">
        <v>6</v>
      </c>
      <c r="M45" s="949">
        <v>8</v>
      </c>
      <c r="N45" s="949">
        <v>9</v>
      </c>
      <c r="O45" s="949">
        <v>10</v>
      </c>
      <c r="P45" s="949">
        <v>13</v>
      </c>
      <c r="Q45" s="949">
        <v>15</v>
      </c>
      <c r="R45" s="949">
        <v>16</v>
      </c>
      <c r="S45" s="949">
        <v>0</v>
      </c>
      <c r="T45" s="949">
        <v>0</v>
      </c>
      <c r="U45" s="949">
        <v>0</v>
      </c>
      <c r="V45" s="949">
        <v>0</v>
      </c>
      <c r="W45" s="949">
        <v>0</v>
      </c>
      <c r="X45" s="949">
        <v>0</v>
      </c>
      <c r="Y45" s="949">
        <v>0</v>
      </c>
      <c r="Z45" s="949">
        <v>0</v>
      </c>
      <c r="AA45" s="949">
        <v>0</v>
      </c>
      <c r="AB45" s="949">
        <v>0</v>
      </c>
      <c r="AC45" s="949">
        <v>0</v>
      </c>
    </row>
    <row r="46" spans="1:29" ht="10.5">
      <c r="A46" s="951" t="s">
        <v>236</v>
      </c>
      <c r="B46" s="949">
        <v>32</v>
      </c>
      <c r="C46" s="949">
        <v>24</v>
      </c>
      <c r="D46" s="949">
        <v>11</v>
      </c>
      <c r="E46" s="951" t="s">
        <v>236</v>
      </c>
      <c r="F46" s="949" t="s">
        <v>207</v>
      </c>
      <c r="G46" s="949">
        <v>0</v>
      </c>
      <c r="H46" s="949">
        <v>0</v>
      </c>
      <c r="I46" s="949">
        <v>0</v>
      </c>
      <c r="J46" s="949">
        <v>4</v>
      </c>
      <c r="K46" s="949">
        <v>5</v>
      </c>
      <c r="L46" s="949">
        <v>6</v>
      </c>
      <c r="M46" s="949">
        <v>7</v>
      </c>
      <c r="N46" s="949">
        <v>10</v>
      </c>
      <c r="O46" s="949">
        <v>11</v>
      </c>
      <c r="P46" s="949">
        <v>14</v>
      </c>
      <c r="Q46" s="949">
        <v>17</v>
      </c>
      <c r="R46" s="949">
        <v>28</v>
      </c>
      <c r="S46" s="949">
        <v>0</v>
      </c>
      <c r="T46" s="949">
        <v>0</v>
      </c>
      <c r="U46" s="949">
        <v>0</v>
      </c>
      <c r="V46" s="949">
        <v>0</v>
      </c>
      <c r="W46" s="949">
        <v>0</v>
      </c>
      <c r="X46" s="949">
        <v>0</v>
      </c>
      <c r="Y46" s="949">
        <v>0</v>
      </c>
      <c r="Z46" s="949">
        <v>0</v>
      </c>
      <c r="AA46" s="949">
        <v>0</v>
      </c>
      <c r="AB46" s="949">
        <v>0</v>
      </c>
      <c r="AC46" s="949">
        <v>0</v>
      </c>
    </row>
    <row r="47" spans="1:29" ht="10.5">
      <c r="A47" s="951" t="s">
        <v>237</v>
      </c>
      <c r="B47" s="949">
        <v>60</v>
      </c>
      <c r="C47" s="949">
        <v>36</v>
      </c>
      <c r="D47" s="949">
        <v>9</v>
      </c>
      <c r="E47" s="951" t="s">
        <v>237</v>
      </c>
      <c r="F47" s="949" t="s">
        <v>214</v>
      </c>
      <c r="G47" s="949">
        <v>0</v>
      </c>
      <c r="H47" s="949">
        <v>0</v>
      </c>
      <c r="I47" s="949">
        <v>0</v>
      </c>
      <c r="J47" s="949">
        <v>4</v>
      </c>
      <c r="K47" s="949">
        <v>5</v>
      </c>
      <c r="L47" s="949">
        <v>7</v>
      </c>
      <c r="M47" s="949">
        <v>9</v>
      </c>
      <c r="N47" s="949">
        <v>10</v>
      </c>
      <c r="O47" s="949">
        <v>13</v>
      </c>
      <c r="P47" s="949">
        <v>14</v>
      </c>
      <c r="Q47" s="949">
        <v>21</v>
      </c>
      <c r="R47" s="949">
        <v>0</v>
      </c>
      <c r="S47" s="949">
        <v>0</v>
      </c>
      <c r="T47" s="949">
        <v>0</v>
      </c>
      <c r="U47" s="949">
        <v>0</v>
      </c>
      <c r="V47" s="949">
        <v>0</v>
      </c>
      <c r="W47" s="949">
        <v>0</v>
      </c>
      <c r="X47" s="949">
        <v>0</v>
      </c>
      <c r="Y47" s="949">
        <v>0</v>
      </c>
      <c r="Z47" s="949">
        <v>0</v>
      </c>
      <c r="AA47" s="949">
        <v>0</v>
      </c>
      <c r="AB47" s="949">
        <v>0</v>
      </c>
      <c r="AC47" s="949">
        <v>0</v>
      </c>
    </row>
    <row r="48" spans="1:29" ht="10.5">
      <c r="A48" s="951" t="s">
        <v>237</v>
      </c>
      <c r="B48" s="949">
        <v>31</v>
      </c>
      <c r="C48" s="949">
        <v>25</v>
      </c>
      <c r="D48" s="950">
        <v>12</v>
      </c>
      <c r="E48" s="951" t="s">
        <v>237</v>
      </c>
      <c r="F48" s="949" t="s">
        <v>212</v>
      </c>
      <c r="G48" s="949">
        <v>0</v>
      </c>
      <c r="H48" s="949">
        <v>0</v>
      </c>
      <c r="I48" s="949">
        <v>0</v>
      </c>
      <c r="J48" s="949">
        <v>4</v>
      </c>
      <c r="K48" s="949">
        <v>5</v>
      </c>
      <c r="L48" s="949">
        <v>6</v>
      </c>
      <c r="M48" s="949">
        <v>7</v>
      </c>
      <c r="N48" s="949">
        <v>9</v>
      </c>
      <c r="O48" s="949">
        <v>10</v>
      </c>
      <c r="P48" s="949">
        <v>13</v>
      </c>
      <c r="Q48" s="949">
        <v>15</v>
      </c>
      <c r="R48" s="949">
        <v>16</v>
      </c>
      <c r="S48" s="949">
        <v>0</v>
      </c>
      <c r="T48" s="949">
        <v>0</v>
      </c>
      <c r="U48" s="949">
        <v>0</v>
      </c>
      <c r="V48" s="949">
        <v>0</v>
      </c>
      <c r="W48" s="949">
        <v>0</v>
      </c>
      <c r="X48" s="949">
        <v>0</v>
      </c>
      <c r="Y48" s="949">
        <v>0</v>
      </c>
      <c r="Z48" s="949">
        <v>0</v>
      </c>
      <c r="AA48" s="949">
        <v>0</v>
      </c>
      <c r="AB48" s="949">
        <v>0</v>
      </c>
      <c r="AC48" s="949">
        <v>0</v>
      </c>
    </row>
    <row r="49" spans="1:29" ht="10.5">
      <c r="A49" s="951" t="s">
        <v>238</v>
      </c>
      <c r="B49" s="949">
        <v>60</v>
      </c>
      <c r="C49" s="949">
        <v>25</v>
      </c>
      <c r="D49" s="949">
        <v>9</v>
      </c>
      <c r="E49" s="951" t="s">
        <v>238</v>
      </c>
      <c r="F49" s="949" t="s">
        <v>215</v>
      </c>
      <c r="G49" s="949">
        <v>0</v>
      </c>
      <c r="H49" s="949">
        <v>0</v>
      </c>
      <c r="I49" s="949">
        <v>0</v>
      </c>
      <c r="J49" s="949">
        <v>4</v>
      </c>
      <c r="K49" s="949">
        <v>5</v>
      </c>
      <c r="L49" s="949">
        <v>7</v>
      </c>
      <c r="M49" s="949">
        <v>9</v>
      </c>
      <c r="N49" s="949">
        <v>10</v>
      </c>
      <c r="O49" s="949">
        <v>13</v>
      </c>
      <c r="P49" s="949">
        <v>14</v>
      </c>
      <c r="Q49" s="949">
        <v>21</v>
      </c>
      <c r="R49" s="949">
        <v>0</v>
      </c>
      <c r="S49" s="949">
        <v>0</v>
      </c>
      <c r="T49" s="949">
        <v>0</v>
      </c>
      <c r="U49" s="949">
        <v>0</v>
      </c>
      <c r="V49" s="949">
        <v>0</v>
      </c>
      <c r="W49" s="949">
        <v>0</v>
      </c>
      <c r="X49" s="949">
        <v>0</v>
      </c>
      <c r="Y49" s="949">
        <v>0</v>
      </c>
      <c r="Z49" s="949">
        <v>0</v>
      </c>
      <c r="AA49" s="949">
        <v>0</v>
      </c>
      <c r="AB49" s="949">
        <v>0</v>
      </c>
      <c r="AC49" s="949">
        <v>0</v>
      </c>
    </row>
    <row r="50" spans="1:29" ht="10.5">
      <c r="A50" s="951" t="s">
        <v>238</v>
      </c>
      <c r="B50" s="949">
        <v>31</v>
      </c>
      <c r="C50" s="949">
        <v>25</v>
      </c>
      <c r="D50" s="950">
        <v>12</v>
      </c>
      <c r="E50" s="951" t="s">
        <v>238</v>
      </c>
      <c r="F50" s="949" t="s">
        <v>211</v>
      </c>
      <c r="G50" s="949">
        <v>0</v>
      </c>
      <c r="H50" s="949">
        <v>0</v>
      </c>
      <c r="I50" s="949">
        <v>0</v>
      </c>
      <c r="J50" s="949">
        <v>4</v>
      </c>
      <c r="K50" s="949">
        <v>5</v>
      </c>
      <c r="L50" s="949">
        <v>6</v>
      </c>
      <c r="M50" s="949">
        <v>7</v>
      </c>
      <c r="N50" s="949">
        <v>9</v>
      </c>
      <c r="O50" s="949">
        <v>10</v>
      </c>
      <c r="P50" s="949">
        <v>13</v>
      </c>
      <c r="Q50" s="949">
        <v>15</v>
      </c>
      <c r="R50" s="949">
        <v>16</v>
      </c>
      <c r="S50" s="949">
        <v>0</v>
      </c>
      <c r="T50" s="949">
        <v>0</v>
      </c>
      <c r="U50" s="949">
        <v>0</v>
      </c>
      <c r="V50" s="949">
        <v>0</v>
      </c>
      <c r="W50" s="949">
        <v>0</v>
      </c>
      <c r="X50" s="949">
        <v>0</v>
      </c>
      <c r="Y50" s="949">
        <v>0</v>
      </c>
      <c r="Z50" s="949">
        <v>0</v>
      </c>
      <c r="AA50" s="949">
        <v>0</v>
      </c>
      <c r="AB50" s="949">
        <v>0</v>
      </c>
      <c r="AC50" s="949">
        <v>0</v>
      </c>
    </row>
    <row r="51" spans="1:29" ht="10.5">
      <c r="A51" s="951" t="s">
        <v>274</v>
      </c>
      <c r="B51" s="951">
        <v>32</v>
      </c>
      <c r="C51" s="951">
        <v>3</v>
      </c>
      <c r="D51" s="951">
        <v>9</v>
      </c>
      <c r="E51" s="951" t="s">
        <v>274</v>
      </c>
      <c r="F51" s="951" t="s">
        <v>283</v>
      </c>
      <c r="G51" s="951">
        <v>0</v>
      </c>
      <c r="H51" s="951">
        <v>0</v>
      </c>
      <c r="I51" s="951">
        <v>0</v>
      </c>
      <c r="J51" s="951">
        <v>4</v>
      </c>
      <c r="K51" s="951">
        <v>5</v>
      </c>
      <c r="L51" s="951">
        <v>7</v>
      </c>
      <c r="M51" s="951">
        <v>9</v>
      </c>
      <c r="N51" s="951">
        <v>10</v>
      </c>
      <c r="O51" s="951">
        <v>13</v>
      </c>
      <c r="P51" s="951">
        <v>14</v>
      </c>
      <c r="Q51" s="951">
        <v>21</v>
      </c>
      <c r="R51" s="951">
        <v>0</v>
      </c>
      <c r="S51" s="951">
        <v>0</v>
      </c>
      <c r="T51" s="951">
        <v>0</v>
      </c>
      <c r="U51" s="951">
        <v>0</v>
      </c>
      <c r="V51" s="951">
        <v>0</v>
      </c>
      <c r="W51" s="951">
        <v>0</v>
      </c>
      <c r="X51" s="951">
        <v>0</v>
      </c>
      <c r="Y51" s="951">
        <v>0</v>
      </c>
      <c r="Z51" s="951">
        <v>0</v>
      </c>
      <c r="AA51" s="951">
        <v>0</v>
      </c>
      <c r="AB51" s="951">
        <v>0</v>
      </c>
      <c r="AC51" s="951">
        <v>0</v>
      </c>
    </row>
    <row r="52" spans="1:29" ht="10.5">
      <c r="A52" s="951" t="s">
        <v>275</v>
      </c>
      <c r="B52" s="951">
        <v>32</v>
      </c>
      <c r="C52" s="951">
        <v>3</v>
      </c>
      <c r="D52" s="951">
        <v>9</v>
      </c>
      <c r="E52" s="951" t="s">
        <v>275</v>
      </c>
      <c r="F52" s="951" t="s">
        <v>284</v>
      </c>
      <c r="G52" s="951">
        <v>0</v>
      </c>
      <c r="H52" s="951">
        <v>0</v>
      </c>
      <c r="I52" s="951">
        <v>0</v>
      </c>
      <c r="J52" s="951">
        <v>4</v>
      </c>
      <c r="K52" s="951">
        <v>5</v>
      </c>
      <c r="L52" s="951">
        <v>7</v>
      </c>
      <c r="M52" s="951">
        <v>9</v>
      </c>
      <c r="N52" s="951">
        <v>10</v>
      </c>
      <c r="O52" s="951">
        <v>13</v>
      </c>
      <c r="P52" s="951">
        <v>14</v>
      </c>
      <c r="Q52" s="951">
        <v>21</v>
      </c>
      <c r="R52" s="951">
        <v>0</v>
      </c>
      <c r="S52" s="951">
        <v>0</v>
      </c>
      <c r="T52" s="951">
        <v>0</v>
      </c>
      <c r="U52" s="951">
        <v>0</v>
      </c>
      <c r="V52" s="951">
        <v>0</v>
      </c>
      <c r="W52" s="951">
        <v>0</v>
      </c>
      <c r="X52" s="951">
        <v>0</v>
      </c>
      <c r="Y52" s="951">
        <v>0</v>
      </c>
      <c r="Z52" s="951">
        <v>0</v>
      </c>
      <c r="AA52" s="951">
        <v>0</v>
      </c>
      <c r="AB52" s="951">
        <v>0</v>
      </c>
      <c r="AC52" s="951">
        <v>0</v>
      </c>
    </row>
    <row r="53" spans="1:29" ht="10.5">
      <c r="A53" s="951" t="s">
        <v>277</v>
      </c>
      <c r="B53" s="951">
        <v>32</v>
      </c>
      <c r="C53" s="951">
        <v>4</v>
      </c>
      <c r="D53" s="951">
        <v>11</v>
      </c>
      <c r="E53" s="951" t="s">
        <v>277</v>
      </c>
      <c r="F53" s="951" t="s">
        <v>278</v>
      </c>
      <c r="G53" s="951">
        <v>0</v>
      </c>
      <c r="H53" s="951">
        <v>0</v>
      </c>
      <c r="I53" s="951">
        <v>0</v>
      </c>
      <c r="J53" s="951">
        <v>4</v>
      </c>
      <c r="K53" s="951">
        <v>5</v>
      </c>
      <c r="L53" s="951">
        <v>6</v>
      </c>
      <c r="M53" s="951">
        <v>7</v>
      </c>
      <c r="N53" s="951">
        <v>10</v>
      </c>
      <c r="O53" s="951">
        <v>11</v>
      </c>
      <c r="P53" s="951">
        <v>14</v>
      </c>
      <c r="Q53" s="951">
        <v>17</v>
      </c>
      <c r="R53" s="951">
        <v>28</v>
      </c>
      <c r="S53" s="951">
        <v>0</v>
      </c>
      <c r="T53" s="951">
        <v>0</v>
      </c>
      <c r="U53" s="951">
        <v>0</v>
      </c>
      <c r="V53" s="951">
        <v>0</v>
      </c>
      <c r="W53" s="951">
        <v>0</v>
      </c>
      <c r="X53" s="951">
        <v>0</v>
      </c>
      <c r="Y53" s="951">
        <v>0</v>
      </c>
      <c r="Z53" s="951">
        <v>0</v>
      </c>
      <c r="AA53" s="951">
        <v>0</v>
      </c>
      <c r="AB53" s="951">
        <v>0</v>
      </c>
      <c r="AC53" s="951">
        <v>0</v>
      </c>
    </row>
    <row r="54" spans="1:29" ht="10.5">
      <c r="A54" s="951" t="s">
        <v>277</v>
      </c>
      <c r="B54" s="951">
        <v>40</v>
      </c>
      <c r="C54" s="951">
        <v>4</v>
      </c>
      <c r="D54" s="951">
        <v>12</v>
      </c>
      <c r="E54" s="951" t="s">
        <v>277</v>
      </c>
      <c r="F54" s="951" t="s">
        <v>286</v>
      </c>
      <c r="G54" s="951">
        <v>0</v>
      </c>
      <c r="H54" s="951">
        <v>0</v>
      </c>
      <c r="I54" s="951">
        <v>0</v>
      </c>
      <c r="J54" s="951">
        <v>4</v>
      </c>
      <c r="K54" s="951">
        <v>5</v>
      </c>
      <c r="L54" s="951">
        <v>6</v>
      </c>
      <c r="M54" s="951">
        <v>8</v>
      </c>
      <c r="N54" s="951">
        <v>9</v>
      </c>
      <c r="O54" s="951">
        <v>10</v>
      </c>
      <c r="P54" s="951">
        <v>13</v>
      </c>
      <c r="Q54" s="951">
        <v>15</v>
      </c>
      <c r="R54" s="951">
        <v>16</v>
      </c>
      <c r="S54" s="951">
        <v>0</v>
      </c>
      <c r="T54" s="951">
        <v>0</v>
      </c>
      <c r="U54" s="951">
        <v>0</v>
      </c>
      <c r="V54" s="951">
        <v>0</v>
      </c>
      <c r="W54" s="951">
        <v>0</v>
      </c>
      <c r="X54" s="951">
        <v>0</v>
      </c>
      <c r="Y54" s="951">
        <v>0</v>
      </c>
      <c r="Z54" s="951">
        <v>0</v>
      </c>
      <c r="AA54" s="951">
        <v>0</v>
      </c>
      <c r="AB54" s="951">
        <v>0</v>
      </c>
      <c r="AC54" s="951">
        <v>0</v>
      </c>
    </row>
    <row r="55" spans="1:29" ht="10.5">
      <c r="A55" s="951" t="s">
        <v>276</v>
      </c>
      <c r="B55" s="951">
        <v>32</v>
      </c>
      <c r="C55" s="951">
        <v>4</v>
      </c>
      <c r="D55" s="951">
        <v>11</v>
      </c>
      <c r="E55" s="951" t="s">
        <v>276</v>
      </c>
      <c r="F55" s="951" t="s">
        <v>279</v>
      </c>
      <c r="G55" s="951">
        <v>0</v>
      </c>
      <c r="H55" s="951">
        <v>0</v>
      </c>
      <c r="I55" s="951">
        <v>0</v>
      </c>
      <c r="J55" s="951">
        <v>4</v>
      </c>
      <c r="K55" s="951">
        <v>5</v>
      </c>
      <c r="L55" s="951">
        <v>6</v>
      </c>
      <c r="M55" s="951">
        <v>7</v>
      </c>
      <c r="N55" s="951">
        <v>10</v>
      </c>
      <c r="O55" s="951">
        <v>11</v>
      </c>
      <c r="P55" s="951">
        <v>14</v>
      </c>
      <c r="Q55" s="951">
        <v>17</v>
      </c>
      <c r="R55" s="951">
        <v>28</v>
      </c>
      <c r="S55" s="951">
        <v>0</v>
      </c>
      <c r="T55" s="951">
        <v>0</v>
      </c>
      <c r="U55" s="951">
        <v>0</v>
      </c>
      <c r="V55" s="951">
        <v>0</v>
      </c>
      <c r="W55" s="951">
        <v>0</v>
      </c>
      <c r="X55" s="951">
        <v>0</v>
      </c>
      <c r="Y55" s="951">
        <v>0</v>
      </c>
      <c r="Z55" s="951">
        <v>0</v>
      </c>
      <c r="AA55" s="951">
        <v>0</v>
      </c>
      <c r="AB55" s="951">
        <v>0</v>
      </c>
      <c r="AC55" s="951">
        <v>0</v>
      </c>
    </row>
    <row r="56" spans="1:29" ht="10.5">
      <c r="A56" s="951" t="s">
        <v>276</v>
      </c>
      <c r="B56" s="951">
        <v>40</v>
      </c>
      <c r="C56" s="951">
        <v>4</v>
      </c>
      <c r="D56" s="952">
        <v>12</v>
      </c>
      <c r="E56" s="951" t="s">
        <v>276</v>
      </c>
      <c r="F56" s="951" t="s">
        <v>282</v>
      </c>
      <c r="G56" s="951">
        <v>0</v>
      </c>
      <c r="H56" s="951">
        <v>0</v>
      </c>
      <c r="I56" s="951">
        <v>0</v>
      </c>
      <c r="J56" s="951">
        <v>4</v>
      </c>
      <c r="K56" s="951">
        <v>5</v>
      </c>
      <c r="L56" s="951">
        <v>6</v>
      </c>
      <c r="M56" s="951">
        <v>8</v>
      </c>
      <c r="N56" s="951">
        <v>9</v>
      </c>
      <c r="O56" s="951">
        <v>10</v>
      </c>
      <c r="P56" s="951">
        <v>13</v>
      </c>
      <c r="Q56" s="951">
        <v>15</v>
      </c>
      <c r="R56" s="951">
        <v>16</v>
      </c>
      <c r="S56" s="951">
        <v>0</v>
      </c>
      <c r="T56" s="951">
        <v>0</v>
      </c>
      <c r="U56" s="951">
        <v>0</v>
      </c>
      <c r="V56" s="951">
        <v>0</v>
      </c>
      <c r="W56" s="951">
        <v>0</v>
      </c>
      <c r="X56" s="951">
        <v>0</v>
      </c>
      <c r="Y56" s="951">
        <v>0</v>
      </c>
      <c r="Z56" s="951">
        <v>0</v>
      </c>
      <c r="AA56" s="951">
        <v>0</v>
      </c>
      <c r="AB56" s="951">
        <v>0</v>
      </c>
      <c r="AC56" s="951">
        <v>0</v>
      </c>
    </row>
    <row r="57" spans="1:29" ht="10.5">
      <c r="A57" s="951" t="s">
        <v>268</v>
      </c>
      <c r="B57" s="951">
        <v>52</v>
      </c>
      <c r="C57" s="951">
        <v>10</v>
      </c>
      <c r="D57" s="952">
        <v>12</v>
      </c>
      <c r="E57" s="951" t="s">
        <v>268</v>
      </c>
      <c r="F57" s="951" t="s">
        <v>295</v>
      </c>
      <c r="G57" s="951">
        <v>0</v>
      </c>
      <c r="H57" s="951">
        <v>0</v>
      </c>
      <c r="I57" s="951">
        <v>0</v>
      </c>
      <c r="J57" s="949">
        <v>4</v>
      </c>
      <c r="K57" s="949">
        <v>5</v>
      </c>
      <c r="L57" s="949">
        <v>6</v>
      </c>
      <c r="M57" s="949">
        <v>10</v>
      </c>
      <c r="N57" s="949">
        <v>11</v>
      </c>
      <c r="O57" s="949">
        <v>14</v>
      </c>
      <c r="P57" s="949">
        <v>15</v>
      </c>
      <c r="Q57" s="949">
        <v>28</v>
      </c>
      <c r="R57" s="951">
        <v>0</v>
      </c>
      <c r="S57" s="951">
        <v>0</v>
      </c>
      <c r="T57" s="951">
        <v>0</v>
      </c>
      <c r="U57" s="951">
        <v>0</v>
      </c>
      <c r="V57" s="951">
        <v>0</v>
      </c>
      <c r="W57" s="951">
        <v>0</v>
      </c>
      <c r="X57" s="951">
        <v>0</v>
      </c>
      <c r="Y57" s="951">
        <v>0</v>
      </c>
      <c r="Z57" s="951">
        <v>0</v>
      </c>
      <c r="AA57" s="951">
        <v>0</v>
      </c>
      <c r="AB57" s="951">
        <v>0</v>
      </c>
      <c r="AC57" s="951">
        <v>0</v>
      </c>
    </row>
    <row r="58" spans="1:29" ht="10.5">
      <c r="A58" s="951" t="s">
        <v>268</v>
      </c>
      <c r="B58" s="951">
        <v>45</v>
      </c>
      <c r="C58" s="951">
        <v>2</v>
      </c>
      <c r="D58" s="952">
        <v>12</v>
      </c>
      <c r="E58" s="951" t="s">
        <v>268</v>
      </c>
      <c r="F58" s="951" t="s">
        <v>281</v>
      </c>
      <c r="G58" s="951">
        <v>0</v>
      </c>
      <c r="H58" s="951">
        <v>0</v>
      </c>
      <c r="I58" s="951">
        <v>0</v>
      </c>
      <c r="J58" s="951">
        <v>4</v>
      </c>
      <c r="K58" s="951">
        <v>5</v>
      </c>
      <c r="L58" s="951">
        <v>6</v>
      </c>
      <c r="M58" s="951">
        <v>8</v>
      </c>
      <c r="N58" s="951">
        <v>9</v>
      </c>
      <c r="O58" s="951">
        <v>10</v>
      </c>
      <c r="P58" s="951">
        <v>13</v>
      </c>
      <c r="Q58" s="951">
        <v>15</v>
      </c>
      <c r="R58" s="951">
        <v>16</v>
      </c>
      <c r="S58" s="951">
        <v>0</v>
      </c>
      <c r="T58" s="951">
        <v>0</v>
      </c>
      <c r="U58" s="951">
        <v>0</v>
      </c>
      <c r="V58" s="951">
        <v>0</v>
      </c>
      <c r="W58" s="951">
        <v>0</v>
      </c>
      <c r="X58" s="951">
        <v>0</v>
      </c>
      <c r="Y58" s="951">
        <v>0</v>
      </c>
      <c r="Z58" s="951">
        <v>0</v>
      </c>
      <c r="AA58" s="951">
        <v>0</v>
      </c>
      <c r="AB58" s="951">
        <v>0</v>
      </c>
      <c r="AC58" s="951">
        <v>0</v>
      </c>
    </row>
    <row r="59" spans="1:29" ht="10.5">
      <c r="A59" s="951" t="s">
        <v>268</v>
      </c>
      <c r="B59" s="951">
        <v>33</v>
      </c>
      <c r="C59" s="951">
        <v>7</v>
      </c>
      <c r="D59" s="951">
        <v>11</v>
      </c>
      <c r="E59" s="951" t="s">
        <v>268</v>
      </c>
      <c r="F59" s="951" t="s">
        <v>280</v>
      </c>
      <c r="G59" s="951">
        <v>0</v>
      </c>
      <c r="H59" s="951">
        <v>0</v>
      </c>
      <c r="I59" s="951">
        <v>0</v>
      </c>
      <c r="J59" s="951">
        <v>4</v>
      </c>
      <c r="K59" s="951">
        <v>5</v>
      </c>
      <c r="L59" s="951">
        <v>6</v>
      </c>
      <c r="M59" s="951">
        <v>7</v>
      </c>
      <c r="N59" s="951">
        <v>10</v>
      </c>
      <c r="O59" s="951">
        <v>11</v>
      </c>
      <c r="P59" s="951">
        <v>14</v>
      </c>
      <c r="Q59" s="951">
        <v>17</v>
      </c>
      <c r="R59" s="951">
        <v>28</v>
      </c>
      <c r="S59" s="951">
        <v>0</v>
      </c>
      <c r="T59" s="951">
        <v>0</v>
      </c>
      <c r="U59" s="951">
        <v>0</v>
      </c>
      <c r="V59" s="951">
        <v>0</v>
      </c>
      <c r="W59" s="951">
        <v>0</v>
      </c>
      <c r="X59" s="951">
        <v>0</v>
      </c>
      <c r="Y59" s="951">
        <v>0</v>
      </c>
      <c r="Z59" s="951">
        <v>0</v>
      </c>
      <c r="AA59" s="951">
        <v>0</v>
      </c>
      <c r="AB59" s="951">
        <v>0</v>
      </c>
      <c r="AC59" s="951">
        <v>0</v>
      </c>
    </row>
    <row r="60" spans="1:29" ht="10.5">
      <c r="A60" s="951" t="s">
        <v>289</v>
      </c>
      <c r="B60" s="951">
        <v>19</v>
      </c>
      <c r="C60" s="951">
        <v>24</v>
      </c>
      <c r="D60" s="952">
        <v>4</v>
      </c>
      <c r="E60" s="951" t="str">
        <f>"CAUSAS-VST-"&amp;$G$14</f>
        <v>CAUSAS-VST-09</v>
      </c>
      <c r="F60" s="951" t="s">
        <v>290</v>
      </c>
      <c r="G60" s="951">
        <v>3</v>
      </c>
      <c r="H60" s="951">
        <v>4</v>
      </c>
      <c r="I60" s="951">
        <v>5</v>
      </c>
      <c r="J60" s="951">
        <v>6</v>
      </c>
      <c r="K60" s="951">
        <v>7</v>
      </c>
      <c r="L60" s="951">
        <v>0</v>
      </c>
      <c r="M60" s="951">
        <v>0</v>
      </c>
      <c r="N60" s="951">
        <v>0</v>
      </c>
      <c r="O60" s="951">
        <v>0</v>
      </c>
      <c r="P60" s="951">
        <v>0</v>
      </c>
      <c r="Q60" s="951">
        <v>0</v>
      </c>
      <c r="R60" s="951">
        <v>0</v>
      </c>
      <c r="S60" s="951">
        <v>0</v>
      </c>
      <c r="T60" s="951">
        <v>0</v>
      </c>
      <c r="U60" s="951">
        <v>0</v>
      </c>
      <c r="V60" s="951">
        <v>0</v>
      </c>
      <c r="W60" s="951">
        <v>999</v>
      </c>
      <c r="X60" s="951">
        <v>999</v>
      </c>
      <c r="Y60" s="951">
        <v>0</v>
      </c>
      <c r="Z60" s="951">
        <v>0</v>
      </c>
      <c r="AA60" s="951">
        <v>0</v>
      </c>
      <c r="AB60" s="951">
        <v>0</v>
      </c>
      <c r="AC60" s="951">
        <v>0</v>
      </c>
    </row>
    <row r="61" spans="1:29" ht="10.5">
      <c r="A61" s="953"/>
      <c r="B61" s="953">
        <v>30</v>
      </c>
      <c r="C61" s="953">
        <v>10</v>
      </c>
      <c r="D61" s="954">
        <v>11</v>
      </c>
      <c r="E61" s="953" t="s">
        <v>287</v>
      </c>
      <c r="F61" s="955" t="s">
        <v>288</v>
      </c>
      <c r="G61" s="953">
        <v>3</v>
      </c>
      <c r="H61" s="953">
        <v>5</v>
      </c>
      <c r="I61" s="955">
        <v>0</v>
      </c>
      <c r="J61" s="955">
        <v>4</v>
      </c>
      <c r="K61" s="955">
        <v>5</v>
      </c>
      <c r="L61" s="955">
        <v>6</v>
      </c>
      <c r="M61" s="955">
        <v>8</v>
      </c>
      <c r="N61" s="955">
        <v>9</v>
      </c>
      <c r="O61" s="955">
        <v>10</v>
      </c>
      <c r="P61" s="955">
        <v>13</v>
      </c>
      <c r="Q61" s="955">
        <v>15</v>
      </c>
      <c r="R61" s="955">
        <v>16</v>
      </c>
      <c r="S61" s="955">
        <v>0</v>
      </c>
      <c r="T61" s="955">
        <v>0</v>
      </c>
      <c r="U61" s="955">
        <v>0</v>
      </c>
      <c r="V61" s="955">
        <v>0</v>
      </c>
      <c r="W61" s="953">
        <v>0</v>
      </c>
      <c r="X61" s="953">
        <v>0</v>
      </c>
      <c r="Y61" s="953">
        <v>0</v>
      </c>
      <c r="Z61" s="953">
        <v>0</v>
      </c>
      <c r="AA61" s="953">
        <v>0</v>
      </c>
      <c r="AB61" s="953">
        <v>0</v>
      </c>
      <c r="AC61" s="953">
        <v>0</v>
      </c>
    </row>
    <row r="64" spans="6:9" ht="12.75">
      <c r="F64" s="966"/>
      <c r="G64" s="966"/>
      <c r="H64" s="966"/>
      <c r="I64" s="966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4"/>
  <sheetViews>
    <sheetView zoomScale="70" zoomScaleNormal="70" workbookViewId="0" topLeftCell="A10">
      <selection activeCell="A22" sqref="A22:IV22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8"/>
    </row>
    <row r="2" spans="1:32" s="18" customFormat="1" ht="26.25">
      <c r="A2" s="91"/>
      <c r="B2" s="19" t="str">
        <f>+'TOT-0909'!B2</f>
        <v>ANEXO IV al Memorandum  D.T.E.E. N° 256/2011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20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4"/>
    </row>
    <row r="8" spans="2:32" s="29" customFormat="1" ht="20.25">
      <c r="B8" s="79"/>
      <c r="C8" s="30"/>
      <c r="D8" s="30"/>
      <c r="E8" s="30"/>
      <c r="F8" s="176" t="s">
        <v>69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7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12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7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155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7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'TOT-0909'!B14</f>
        <v>Desde el 01 al 30 de septiembre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04"/>
      <c r="Q14" s="204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41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205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95</v>
      </c>
      <c r="G16" s="874">
        <v>117.179</v>
      </c>
      <c r="H16" s="20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96</v>
      </c>
      <c r="G17" s="874">
        <v>97.649</v>
      </c>
      <c r="H17" s="208"/>
      <c r="I17" s="4"/>
      <c r="J17" s="4"/>
      <c r="K17" s="4"/>
      <c r="L17" s="214"/>
      <c r="M17" s="215"/>
      <c r="N17" s="4"/>
      <c r="O17" s="4"/>
      <c r="P17" s="4"/>
      <c r="Q17" s="4"/>
      <c r="R17" s="4"/>
      <c r="S17" s="4"/>
      <c r="T17" s="4"/>
      <c r="U17" s="4"/>
      <c r="V17" s="4"/>
      <c r="W17" s="4"/>
      <c r="X17" s="115"/>
      <c r="Y17" s="115"/>
      <c r="Z17" s="115"/>
      <c r="AA17" s="115"/>
      <c r="AB17" s="115"/>
      <c r="AC17" s="115"/>
      <c r="AD17" s="115"/>
      <c r="AF17" s="17"/>
    </row>
    <row r="18" spans="2:32" s="5" customFormat="1" ht="16.5" customHeight="1" thickBot="1" thickTop="1">
      <c r="B18" s="50"/>
      <c r="C18" s="967">
        <v>3</v>
      </c>
      <c r="D18" s="967">
        <v>4</v>
      </c>
      <c r="E18" s="967">
        <v>5</v>
      </c>
      <c r="F18" s="967">
        <v>6</v>
      </c>
      <c r="G18" s="967">
        <v>7</v>
      </c>
      <c r="H18" s="967">
        <v>8</v>
      </c>
      <c r="I18" s="967">
        <v>9</v>
      </c>
      <c r="J18" s="967">
        <v>10</v>
      </c>
      <c r="K18" s="967">
        <v>11</v>
      </c>
      <c r="L18" s="967">
        <v>12</v>
      </c>
      <c r="M18" s="967">
        <v>13</v>
      </c>
      <c r="N18" s="967">
        <v>14</v>
      </c>
      <c r="O18" s="967">
        <v>15</v>
      </c>
      <c r="P18" s="967">
        <v>16</v>
      </c>
      <c r="Q18" s="967">
        <v>17</v>
      </c>
      <c r="R18" s="967">
        <v>18</v>
      </c>
      <c r="S18" s="967">
        <v>19</v>
      </c>
      <c r="T18" s="967">
        <v>20</v>
      </c>
      <c r="U18" s="967">
        <v>21</v>
      </c>
      <c r="V18" s="967">
        <v>22</v>
      </c>
      <c r="W18" s="967">
        <v>23</v>
      </c>
      <c r="X18" s="967">
        <v>24</v>
      </c>
      <c r="Y18" s="967">
        <v>25</v>
      </c>
      <c r="Z18" s="967">
        <v>26</v>
      </c>
      <c r="AA18" s="967">
        <v>27</v>
      </c>
      <c r="AB18" s="967">
        <v>28</v>
      </c>
      <c r="AC18" s="967">
        <v>29</v>
      </c>
      <c r="AD18" s="967">
        <v>30</v>
      </c>
      <c r="AE18" s="967">
        <v>31</v>
      </c>
      <c r="AF18" s="17"/>
    </row>
    <row r="19" spans="2:32" s="5" customFormat="1" ht="33.75" customHeight="1" thickBot="1" thickTop="1">
      <c r="B19" s="50"/>
      <c r="C19" s="84" t="s">
        <v>13</v>
      </c>
      <c r="D19" s="84" t="s">
        <v>264</v>
      </c>
      <c r="E19" s="84" t="s">
        <v>265</v>
      </c>
      <c r="F19" s="85" t="s">
        <v>0</v>
      </c>
      <c r="G19" s="808" t="s">
        <v>14</v>
      </c>
      <c r="H19" s="86" t="s">
        <v>15</v>
      </c>
      <c r="I19" s="220" t="s">
        <v>78</v>
      </c>
      <c r="J19" s="809" t="s">
        <v>37</v>
      </c>
      <c r="K19" s="810" t="s">
        <v>16</v>
      </c>
      <c r="L19" s="85" t="s">
        <v>17</v>
      </c>
      <c r="M19" s="181" t="s">
        <v>18</v>
      </c>
      <c r="N19" s="88" t="s">
        <v>36</v>
      </c>
      <c r="O19" s="86" t="s">
        <v>31</v>
      </c>
      <c r="P19" s="88" t="s">
        <v>19</v>
      </c>
      <c r="Q19" s="86" t="s">
        <v>58</v>
      </c>
      <c r="R19" s="181" t="s">
        <v>59</v>
      </c>
      <c r="S19" s="85" t="s">
        <v>32</v>
      </c>
      <c r="T19" s="138" t="s">
        <v>20</v>
      </c>
      <c r="U19" s="811" t="s">
        <v>21</v>
      </c>
      <c r="V19" s="224" t="s">
        <v>60</v>
      </c>
      <c r="W19" s="225"/>
      <c r="X19" s="226"/>
      <c r="Y19" s="812" t="s">
        <v>156</v>
      </c>
      <c r="Z19" s="813"/>
      <c r="AA19" s="814"/>
      <c r="AB19" s="230" t="s">
        <v>22</v>
      </c>
      <c r="AC19" s="231" t="s">
        <v>81</v>
      </c>
      <c r="AD19" s="134" t="s">
        <v>82</v>
      </c>
      <c r="AE19" s="134" t="s">
        <v>24</v>
      </c>
      <c r="AF19" s="233"/>
    </row>
    <row r="20" spans="2:32" s="5" customFormat="1" ht="16.5" customHeight="1" thickTop="1">
      <c r="B20" s="50"/>
      <c r="C20" s="184"/>
      <c r="D20" s="184"/>
      <c r="E20" s="184"/>
      <c r="F20" s="857"/>
      <c r="G20" s="857"/>
      <c r="H20" s="875"/>
      <c r="I20" s="856"/>
      <c r="J20" s="858"/>
      <c r="K20" s="859"/>
      <c r="L20" s="870"/>
      <c r="M20" s="870"/>
      <c r="N20" s="856"/>
      <c r="O20" s="856"/>
      <c r="P20" s="856"/>
      <c r="Q20" s="856"/>
      <c r="R20" s="856"/>
      <c r="S20" s="856"/>
      <c r="T20" s="860"/>
      <c r="U20" s="861"/>
      <c r="V20" s="862"/>
      <c r="W20" s="863"/>
      <c r="X20" s="864"/>
      <c r="Y20" s="865"/>
      <c r="Z20" s="866"/>
      <c r="AA20" s="867"/>
      <c r="AB20" s="868"/>
      <c r="AC20" s="869"/>
      <c r="AD20" s="856"/>
      <c r="AE20" s="815"/>
      <c r="AF20" s="17"/>
    </row>
    <row r="21" spans="2:32" s="5" customFormat="1" ht="16.5" customHeight="1">
      <c r="B21" s="50"/>
      <c r="C21" s="340"/>
      <c r="D21" s="340"/>
      <c r="E21" s="340"/>
      <c r="F21" s="186"/>
      <c r="G21" s="7"/>
      <c r="H21" s="876"/>
      <c r="I21" s="186"/>
      <c r="J21" s="816"/>
      <c r="K21" s="817"/>
      <c r="L21" s="247"/>
      <c r="M21" s="115"/>
      <c r="N21" s="186"/>
      <c r="O21" s="186"/>
      <c r="P21" s="187"/>
      <c r="Q21" s="186"/>
      <c r="R21" s="186"/>
      <c r="S21" s="186"/>
      <c r="T21" s="818"/>
      <c r="U21" s="819"/>
      <c r="V21" s="820"/>
      <c r="W21" s="821"/>
      <c r="X21" s="822"/>
      <c r="Y21" s="823"/>
      <c r="Z21" s="824"/>
      <c r="AA21" s="825"/>
      <c r="AB21" s="255"/>
      <c r="AC21" s="256"/>
      <c r="AD21" s="186"/>
      <c r="AE21" s="258"/>
      <c r="AF21" s="17"/>
    </row>
    <row r="22" spans="2:32" s="5" customFormat="1" ht="16.5" customHeight="1">
      <c r="B22" s="50"/>
      <c r="C22" s="340">
        <v>2</v>
      </c>
      <c r="D22" s="340">
        <v>210934</v>
      </c>
      <c r="E22" s="340">
        <v>31</v>
      </c>
      <c r="F22" s="157" t="s">
        <v>301</v>
      </c>
      <c r="G22" s="189">
        <v>500</v>
      </c>
      <c r="H22" s="877">
        <v>4.5</v>
      </c>
      <c r="I22" s="189" t="s">
        <v>299</v>
      </c>
      <c r="J22" s="826">
        <f aca="true" t="shared" si="0" ref="J22:J40">IF(I22="A",200,IF(I22="B",60,20))</f>
        <v>20</v>
      </c>
      <c r="K22" s="827">
        <f aca="true" t="shared" si="1" ref="K22:K40">IF(G22=500,IF(H22&lt;100,100*$G$16/100,H22*$G$16/100),IF(H22&lt;100,100*$G$17/100,H22*$G$17/100))</f>
        <v>117.179</v>
      </c>
      <c r="L22" s="828">
        <v>40063.03055555555</v>
      </c>
      <c r="M22" s="829">
        <v>40063.075694444444</v>
      </c>
      <c r="N22" s="192">
        <f aca="true" t="shared" si="2" ref="N22:N40">IF(F22="","",(M22-L22)*24)</f>
        <v>1.0833333333721384</v>
      </c>
      <c r="O22" s="193">
        <f aca="true" t="shared" si="3" ref="O22:O40">IF(F22="","",ROUND((M22-L22)*24*60,0))</f>
        <v>65</v>
      </c>
      <c r="P22" s="262" t="s">
        <v>300</v>
      </c>
      <c r="Q22" s="933" t="str">
        <f aca="true" t="shared" si="4" ref="Q22:Q40">IF(F22="","","--")</f>
        <v>--</v>
      </c>
      <c r="R22" s="263" t="str">
        <f aca="true" t="shared" si="5" ref="R22:R40">IF(F22="","","NO")</f>
        <v>NO</v>
      </c>
      <c r="S22" s="263" t="s">
        <v>240</v>
      </c>
      <c r="T22" s="830" t="str">
        <f aca="true" t="shared" si="6" ref="T22:T40">IF(P22="P",K22*J22*ROUND(O22/60,2)*0.01,"--")</f>
        <v>--</v>
      </c>
      <c r="U22" s="831" t="str">
        <f aca="true" t="shared" si="7" ref="U22:U40">IF(P22="RP",K22*J22*ROUND(O22/60,2)*0.01*Q22/100,"--")</f>
        <v>--</v>
      </c>
      <c r="V22" s="266" t="str">
        <f aca="true" t="shared" si="8" ref="V22:V40">IF(AND(P22="F",S22="NO"),K22*J22*IF(R22="SI",1.2,1),"--")</f>
        <v>--</v>
      </c>
      <c r="W22" s="267">
        <f aca="true" t="shared" si="9" ref="W22:W40">IF(AND(P22="F",O22&gt;=10),K22*J22*IF(R22="SI",1.2,1)*IF(O22&lt;=300,ROUND(O22/60,2),5),"--")</f>
        <v>2531.0664</v>
      </c>
      <c r="X22" s="268" t="str">
        <f aca="true" t="shared" si="10" ref="X22:X40">IF(AND(P22="F",O22&gt;300),(ROUND(O22/60,2)-5)*K22*J22*0.1*IF(R22="SI",1.2,1),"--")</f>
        <v>--</v>
      </c>
      <c r="Y22" s="832" t="str">
        <f aca="true" t="shared" si="11" ref="Y22:Y40">IF(AND(P22="R",S22="NO"),K22*J22*Q22/100*IF(R22="SI",1.2,1),"--")</f>
        <v>--</v>
      </c>
      <c r="Z22" s="833" t="str">
        <f aca="true" t="shared" si="12" ref="Z22:Z40">IF(AND(P22="R",O22&gt;=10),K22*J22*Q22/100*IF(R22="SI",1.2,1)*IF(O22&lt;=300,ROUND(O22/60,2),5),"--")</f>
        <v>--</v>
      </c>
      <c r="AA22" s="834" t="str">
        <f aca="true" t="shared" si="13" ref="AA22:AA40">IF(AND(P22="R",O22&gt;300),(ROUND(O22/60,2)-5)*K22*J22*0.1*Q22/100*IF(R22="SI",1.2,1),"--")</f>
        <v>--</v>
      </c>
      <c r="AB22" s="272" t="str">
        <f aca="true" t="shared" si="14" ref="AB22:AB40">IF(P22="RF",ROUND(O22/60,2)*K22*J22*0.1*IF(R22="SI",1.2,1),"--")</f>
        <v>--</v>
      </c>
      <c r="AC22" s="273" t="str">
        <f aca="true" t="shared" si="15" ref="AC22:AC40">IF(P22="RR",ROUND(O22/60,2)*K22*J22*0.1*Q22/100*IF(R22="SI",1.2,1),"--")</f>
        <v>--</v>
      </c>
      <c r="AD22" s="934" t="s">
        <v>240</v>
      </c>
      <c r="AE22" s="16">
        <f aca="true" t="shared" si="16" ref="AE22:AE40">IF(F22="","",SUM(T22:AC22)*IF(AD22="SI",1,2))</f>
        <v>2531.0664</v>
      </c>
      <c r="AF22" s="835"/>
    </row>
    <row r="23" spans="2:32" s="5" customFormat="1" ht="16.5" customHeight="1">
      <c r="B23" s="50"/>
      <c r="C23" s="157">
        <v>3</v>
      </c>
      <c r="D23" s="157">
        <v>210956</v>
      </c>
      <c r="E23" s="157">
        <v>4734</v>
      </c>
      <c r="F23" s="836" t="s">
        <v>302</v>
      </c>
      <c r="G23" s="837">
        <v>220</v>
      </c>
      <c r="H23" s="878">
        <v>77</v>
      </c>
      <c r="I23" s="837" t="s">
        <v>299</v>
      </c>
      <c r="J23" s="826">
        <f t="shared" si="0"/>
        <v>20</v>
      </c>
      <c r="K23" s="827">
        <f t="shared" si="1"/>
        <v>97.649</v>
      </c>
      <c r="L23" s="838">
        <v>40067.31597222222</v>
      </c>
      <c r="M23" s="839">
        <v>40067.33541666667</v>
      </c>
      <c r="N23" s="192">
        <f t="shared" si="2"/>
        <v>0.466666666790843</v>
      </c>
      <c r="O23" s="193">
        <f t="shared" si="3"/>
        <v>28</v>
      </c>
      <c r="P23" s="262" t="s">
        <v>303</v>
      </c>
      <c r="Q23" s="933" t="str">
        <f t="shared" si="4"/>
        <v>--</v>
      </c>
      <c r="R23" s="263" t="str">
        <f t="shared" si="5"/>
        <v>NO</v>
      </c>
      <c r="S23" s="263" t="str">
        <f aca="true" t="shared" si="17" ref="S23:S40">IF(F23="","",IF(OR(P23="P",P23="RP"),"--","NO"))</f>
        <v>--</v>
      </c>
      <c r="T23" s="830">
        <f t="shared" si="6"/>
        <v>9.179006</v>
      </c>
      <c r="U23" s="831" t="str">
        <f t="shared" si="7"/>
        <v>--</v>
      </c>
      <c r="V23" s="266" t="str">
        <f t="shared" si="8"/>
        <v>--</v>
      </c>
      <c r="W23" s="267" t="str">
        <f t="shared" si="9"/>
        <v>--</v>
      </c>
      <c r="X23" s="268" t="str">
        <f t="shared" si="10"/>
        <v>--</v>
      </c>
      <c r="Y23" s="832" t="str">
        <f t="shared" si="11"/>
        <v>--</v>
      </c>
      <c r="Z23" s="833" t="str">
        <f t="shared" si="12"/>
        <v>--</v>
      </c>
      <c r="AA23" s="834" t="str">
        <f t="shared" si="13"/>
        <v>--</v>
      </c>
      <c r="AB23" s="272" t="str">
        <f t="shared" si="14"/>
        <v>--</v>
      </c>
      <c r="AC23" s="273" t="str">
        <f t="shared" si="15"/>
        <v>--</v>
      </c>
      <c r="AD23" s="934" t="s">
        <v>240</v>
      </c>
      <c r="AE23" s="16">
        <f t="shared" si="16"/>
        <v>9.179006</v>
      </c>
      <c r="AF23" s="835"/>
    </row>
    <row r="24" spans="2:32" s="5" customFormat="1" ht="16.5" customHeight="1">
      <c r="B24" s="50"/>
      <c r="C24" s="340">
        <v>4</v>
      </c>
      <c r="D24" s="340">
        <v>210958</v>
      </c>
      <c r="E24" s="340">
        <v>4733</v>
      </c>
      <c r="F24" s="836" t="s">
        <v>304</v>
      </c>
      <c r="G24" s="837">
        <v>220</v>
      </c>
      <c r="H24" s="878">
        <v>77</v>
      </c>
      <c r="I24" s="837" t="s">
        <v>299</v>
      </c>
      <c r="J24" s="826">
        <f t="shared" si="0"/>
        <v>20</v>
      </c>
      <c r="K24" s="827">
        <f t="shared" si="1"/>
        <v>97.649</v>
      </c>
      <c r="L24" s="838">
        <v>40067.339583333334</v>
      </c>
      <c r="M24" s="839">
        <v>40067.365277777775</v>
      </c>
      <c r="N24" s="192">
        <f t="shared" si="2"/>
        <v>0.6166666665812954</v>
      </c>
      <c r="O24" s="193">
        <f t="shared" si="3"/>
        <v>37</v>
      </c>
      <c r="P24" s="262" t="s">
        <v>303</v>
      </c>
      <c r="Q24" s="933" t="str">
        <f t="shared" si="4"/>
        <v>--</v>
      </c>
      <c r="R24" s="263" t="str">
        <f t="shared" si="5"/>
        <v>NO</v>
      </c>
      <c r="S24" s="263" t="str">
        <f t="shared" si="17"/>
        <v>--</v>
      </c>
      <c r="T24" s="830">
        <f t="shared" si="6"/>
        <v>12.108476000000001</v>
      </c>
      <c r="U24" s="831" t="str">
        <f t="shared" si="7"/>
        <v>--</v>
      </c>
      <c r="V24" s="266" t="str">
        <f t="shared" si="8"/>
        <v>--</v>
      </c>
      <c r="W24" s="267" t="str">
        <f t="shared" si="9"/>
        <v>--</v>
      </c>
      <c r="X24" s="268" t="str">
        <f t="shared" si="10"/>
        <v>--</v>
      </c>
      <c r="Y24" s="832" t="str">
        <f t="shared" si="11"/>
        <v>--</v>
      </c>
      <c r="Z24" s="833" t="str">
        <f t="shared" si="12"/>
        <v>--</v>
      </c>
      <c r="AA24" s="834" t="str">
        <f t="shared" si="13"/>
        <v>--</v>
      </c>
      <c r="AB24" s="272" t="str">
        <f t="shared" si="14"/>
        <v>--</v>
      </c>
      <c r="AC24" s="273" t="str">
        <f t="shared" si="15"/>
        <v>--</v>
      </c>
      <c r="AD24" s="934" t="s">
        <v>240</v>
      </c>
      <c r="AE24" s="16">
        <f t="shared" si="16"/>
        <v>12.108476000000001</v>
      </c>
      <c r="AF24" s="835"/>
    </row>
    <row r="25" spans="2:32" s="5" customFormat="1" ht="16.5" customHeight="1">
      <c r="B25" s="50"/>
      <c r="C25" s="157">
        <v>5</v>
      </c>
      <c r="D25" s="157">
        <v>211160</v>
      </c>
      <c r="E25" s="157">
        <v>18</v>
      </c>
      <c r="F25" s="157" t="s">
        <v>305</v>
      </c>
      <c r="G25" s="189">
        <v>500</v>
      </c>
      <c r="H25" s="877">
        <v>27</v>
      </c>
      <c r="I25" s="189" t="s">
        <v>299</v>
      </c>
      <c r="J25" s="826">
        <f t="shared" si="0"/>
        <v>20</v>
      </c>
      <c r="K25" s="827">
        <f t="shared" si="1"/>
        <v>117.179</v>
      </c>
      <c r="L25" s="828">
        <v>40075.334027777775</v>
      </c>
      <c r="M25" s="829">
        <v>40075.73472222222</v>
      </c>
      <c r="N25" s="192">
        <f t="shared" si="2"/>
        <v>9.616666666755918</v>
      </c>
      <c r="O25" s="193">
        <f t="shared" si="3"/>
        <v>577</v>
      </c>
      <c r="P25" s="262" t="s">
        <v>303</v>
      </c>
      <c r="Q25" s="933" t="str">
        <f t="shared" si="4"/>
        <v>--</v>
      </c>
      <c r="R25" s="263" t="str">
        <f t="shared" si="5"/>
        <v>NO</v>
      </c>
      <c r="S25" s="263" t="str">
        <f t="shared" si="17"/>
        <v>--</v>
      </c>
      <c r="T25" s="830">
        <f t="shared" si="6"/>
        <v>225.45239599999996</v>
      </c>
      <c r="U25" s="831" t="str">
        <f t="shared" si="7"/>
        <v>--</v>
      </c>
      <c r="V25" s="266" t="str">
        <f t="shared" si="8"/>
        <v>--</v>
      </c>
      <c r="W25" s="267" t="str">
        <f t="shared" si="9"/>
        <v>--</v>
      </c>
      <c r="X25" s="268" t="str">
        <f t="shared" si="10"/>
        <v>--</v>
      </c>
      <c r="Y25" s="832" t="str">
        <f t="shared" si="11"/>
        <v>--</v>
      </c>
      <c r="Z25" s="833" t="str">
        <f t="shared" si="12"/>
        <v>--</v>
      </c>
      <c r="AA25" s="834" t="str">
        <f t="shared" si="13"/>
        <v>--</v>
      </c>
      <c r="AB25" s="272" t="str">
        <f t="shared" si="14"/>
        <v>--</v>
      </c>
      <c r="AC25" s="273" t="str">
        <f t="shared" si="15"/>
        <v>--</v>
      </c>
      <c r="AD25" s="934" t="s">
        <v>240</v>
      </c>
      <c r="AE25" s="16">
        <f t="shared" si="16"/>
        <v>225.45239599999996</v>
      </c>
      <c r="AF25" s="835"/>
    </row>
    <row r="26" spans="2:32" s="5" customFormat="1" ht="16.5" customHeight="1">
      <c r="B26" s="50"/>
      <c r="C26" s="340">
        <v>6</v>
      </c>
      <c r="D26" s="340">
        <v>211161</v>
      </c>
      <c r="E26" s="340">
        <v>18</v>
      </c>
      <c r="F26" s="157" t="s">
        <v>305</v>
      </c>
      <c r="G26" s="189">
        <v>500</v>
      </c>
      <c r="H26" s="877">
        <v>27</v>
      </c>
      <c r="I26" s="189" t="s">
        <v>299</v>
      </c>
      <c r="J26" s="826">
        <f t="shared" si="0"/>
        <v>20</v>
      </c>
      <c r="K26" s="827">
        <f t="shared" si="1"/>
        <v>117.179</v>
      </c>
      <c r="L26" s="828">
        <v>40076.333333333336</v>
      </c>
      <c r="M26" s="829">
        <v>40076.73541666667</v>
      </c>
      <c r="N26" s="192">
        <f t="shared" si="2"/>
        <v>9.650000000023283</v>
      </c>
      <c r="O26" s="193">
        <f t="shared" si="3"/>
        <v>579</v>
      </c>
      <c r="P26" s="262" t="s">
        <v>303</v>
      </c>
      <c r="Q26" s="933" t="str">
        <f t="shared" si="4"/>
        <v>--</v>
      </c>
      <c r="R26" s="263" t="str">
        <f t="shared" si="5"/>
        <v>NO</v>
      </c>
      <c r="S26" s="263" t="str">
        <f t="shared" si="17"/>
        <v>--</v>
      </c>
      <c r="T26" s="830">
        <f t="shared" si="6"/>
        <v>226.15546999999998</v>
      </c>
      <c r="U26" s="831" t="str">
        <f t="shared" si="7"/>
        <v>--</v>
      </c>
      <c r="V26" s="266" t="str">
        <f t="shared" si="8"/>
        <v>--</v>
      </c>
      <c r="W26" s="267" t="str">
        <f t="shared" si="9"/>
        <v>--</v>
      </c>
      <c r="X26" s="268" t="str">
        <f t="shared" si="10"/>
        <v>--</v>
      </c>
      <c r="Y26" s="832" t="str">
        <f t="shared" si="11"/>
        <v>--</v>
      </c>
      <c r="Z26" s="833" t="str">
        <f t="shared" si="12"/>
        <v>--</v>
      </c>
      <c r="AA26" s="834" t="str">
        <f t="shared" si="13"/>
        <v>--</v>
      </c>
      <c r="AB26" s="272" t="str">
        <f t="shared" si="14"/>
        <v>--</v>
      </c>
      <c r="AC26" s="273" t="str">
        <f t="shared" si="15"/>
        <v>--</v>
      </c>
      <c r="AD26" s="934" t="s">
        <v>240</v>
      </c>
      <c r="AE26" s="16">
        <f t="shared" si="16"/>
        <v>226.15546999999998</v>
      </c>
      <c r="AF26" s="835"/>
    </row>
    <row r="27" spans="2:32" s="5" customFormat="1" ht="16.5" customHeight="1">
      <c r="B27" s="50"/>
      <c r="C27" s="157">
        <v>7</v>
      </c>
      <c r="D27" s="157">
        <v>211333</v>
      </c>
      <c r="E27" s="157">
        <v>13</v>
      </c>
      <c r="F27" s="150" t="s">
        <v>306</v>
      </c>
      <c r="G27" s="151">
        <v>500</v>
      </c>
      <c r="H27" s="879">
        <v>255</v>
      </c>
      <c r="I27" s="151" t="s">
        <v>307</v>
      </c>
      <c r="J27" s="826">
        <f t="shared" si="0"/>
        <v>60</v>
      </c>
      <c r="K27" s="827">
        <f t="shared" si="1"/>
        <v>298.80645</v>
      </c>
      <c r="L27" s="190">
        <v>40079.26597222222</v>
      </c>
      <c r="M27" s="261">
        <v>40079.294444444444</v>
      </c>
      <c r="N27" s="192">
        <f t="shared" si="2"/>
        <v>0.6833333332906477</v>
      </c>
      <c r="O27" s="193">
        <f t="shared" si="3"/>
        <v>41</v>
      </c>
      <c r="P27" s="262" t="s">
        <v>300</v>
      </c>
      <c r="Q27" s="933" t="str">
        <f t="shared" si="4"/>
        <v>--</v>
      </c>
      <c r="R27" s="263" t="str">
        <f t="shared" si="5"/>
        <v>NO</v>
      </c>
      <c r="S27" s="263" t="str">
        <f t="shared" si="17"/>
        <v>NO</v>
      </c>
      <c r="T27" s="830" t="str">
        <f t="shared" si="6"/>
        <v>--</v>
      </c>
      <c r="U27" s="831" t="str">
        <f t="shared" si="7"/>
        <v>--</v>
      </c>
      <c r="V27" s="266">
        <f t="shared" si="8"/>
        <v>17928.387</v>
      </c>
      <c r="W27" s="267">
        <f t="shared" si="9"/>
        <v>12191.30316</v>
      </c>
      <c r="X27" s="268" t="str">
        <f t="shared" si="10"/>
        <v>--</v>
      </c>
      <c r="Y27" s="832" t="str">
        <f t="shared" si="11"/>
        <v>--</v>
      </c>
      <c r="Z27" s="833" t="str">
        <f t="shared" si="12"/>
        <v>--</v>
      </c>
      <c r="AA27" s="834" t="str">
        <f t="shared" si="13"/>
        <v>--</v>
      </c>
      <c r="AB27" s="272" t="str">
        <f t="shared" si="14"/>
        <v>--</v>
      </c>
      <c r="AC27" s="273" t="str">
        <f t="shared" si="15"/>
        <v>--</v>
      </c>
      <c r="AD27" s="934" t="s">
        <v>240</v>
      </c>
      <c r="AE27" s="16">
        <f t="shared" si="16"/>
        <v>30119.69016</v>
      </c>
      <c r="AF27" s="835"/>
    </row>
    <row r="28" spans="2:32" s="5" customFormat="1" ht="16.5" customHeight="1">
      <c r="B28" s="50"/>
      <c r="C28" s="340"/>
      <c r="D28" s="340"/>
      <c r="E28" s="340"/>
      <c r="F28" s="150"/>
      <c r="G28" s="151"/>
      <c r="H28" s="879"/>
      <c r="I28" s="151"/>
      <c r="J28" s="826">
        <f t="shared" si="0"/>
        <v>20</v>
      </c>
      <c r="K28" s="827">
        <f t="shared" si="1"/>
        <v>97.649</v>
      </c>
      <c r="L28" s="190"/>
      <c r="M28" s="261"/>
      <c r="N28" s="192">
        <f t="shared" si="2"/>
      </c>
      <c r="O28" s="193">
        <f t="shared" si="3"/>
      </c>
      <c r="P28" s="262"/>
      <c r="Q28" s="933">
        <f t="shared" si="4"/>
      </c>
      <c r="R28" s="263">
        <f t="shared" si="5"/>
      </c>
      <c r="S28" s="263">
        <f t="shared" si="17"/>
      </c>
      <c r="T28" s="830" t="str">
        <f t="shared" si="6"/>
        <v>--</v>
      </c>
      <c r="U28" s="831" t="str">
        <f t="shared" si="7"/>
        <v>--</v>
      </c>
      <c r="V28" s="266" t="str">
        <f t="shared" si="8"/>
        <v>--</v>
      </c>
      <c r="W28" s="267" t="str">
        <f t="shared" si="9"/>
        <v>--</v>
      </c>
      <c r="X28" s="268" t="str">
        <f t="shared" si="10"/>
        <v>--</v>
      </c>
      <c r="Y28" s="832" t="str">
        <f t="shared" si="11"/>
        <v>--</v>
      </c>
      <c r="Z28" s="833" t="str">
        <f t="shared" si="12"/>
        <v>--</v>
      </c>
      <c r="AA28" s="834" t="str">
        <f t="shared" si="13"/>
        <v>--</v>
      </c>
      <c r="AB28" s="272" t="str">
        <f t="shared" si="14"/>
        <v>--</v>
      </c>
      <c r="AC28" s="273" t="str">
        <f t="shared" si="15"/>
        <v>--</v>
      </c>
      <c r="AD28" s="934">
        <f aca="true" t="shared" si="18" ref="AD28:AD40">IF(F28="","","SI")</f>
      </c>
      <c r="AE28" s="16">
        <f t="shared" si="16"/>
      </c>
      <c r="AF28" s="835"/>
    </row>
    <row r="29" spans="2:32" s="5" customFormat="1" ht="16.5" customHeight="1">
      <c r="B29" s="50"/>
      <c r="C29" s="157"/>
      <c r="D29" s="157"/>
      <c r="E29" s="157"/>
      <c r="F29" s="150"/>
      <c r="G29" s="151"/>
      <c r="H29" s="879"/>
      <c r="I29" s="151"/>
      <c r="J29" s="826">
        <f t="shared" si="0"/>
        <v>20</v>
      </c>
      <c r="K29" s="827">
        <f t="shared" si="1"/>
        <v>97.649</v>
      </c>
      <c r="L29" s="190"/>
      <c r="M29" s="261"/>
      <c r="N29" s="192">
        <f t="shared" si="2"/>
      </c>
      <c r="O29" s="193">
        <f t="shared" si="3"/>
      </c>
      <c r="P29" s="262"/>
      <c r="Q29" s="933">
        <f t="shared" si="4"/>
      </c>
      <c r="R29" s="263">
        <f t="shared" si="5"/>
      </c>
      <c r="S29" s="263">
        <f t="shared" si="17"/>
      </c>
      <c r="T29" s="830" t="str">
        <f t="shared" si="6"/>
        <v>--</v>
      </c>
      <c r="U29" s="831" t="str">
        <f t="shared" si="7"/>
        <v>--</v>
      </c>
      <c r="V29" s="266" t="str">
        <f t="shared" si="8"/>
        <v>--</v>
      </c>
      <c r="W29" s="267" t="str">
        <f t="shared" si="9"/>
        <v>--</v>
      </c>
      <c r="X29" s="268" t="str">
        <f t="shared" si="10"/>
        <v>--</v>
      </c>
      <c r="Y29" s="832" t="str">
        <f t="shared" si="11"/>
        <v>--</v>
      </c>
      <c r="Z29" s="833" t="str">
        <f t="shared" si="12"/>
        <v>--</v>
      </c>
      <c r="AA29" s="834" t="str">
        <f t="shared" si="13"/>
        <v>--</v>
      </c>
      <c r="AB29" s="272" t="str">
        <f t="shared" si="14"/>
        <v>--</v>
      </c>
      <c r="AC29" s="273" t="str">
        <f t="shared" si="15"/>
        <v>--</v>
      </c>
      <c r="AD29" s="934">
        <f t="shared" si="18"/>
      </c>
      <c r="AE29" s="16">
        <f t="shared" si="16"/>
      </c>
      <c r="AF29" s="835"/>
    </row>
    <row r="30" spans="2:32" s="5" customFormat="1" ht="16.5" customHeight="1">
      <c r="B30" s="50"/>
      <c r="C30" s="340"/>
      <c r="D30" s="340"/>
      <c r="E30" s="340"/>
      <c r="F30" s="150"/>
      <c r="G30" s="151"/>
      <c r="H30" s="879"/>
      <c r="I30" s="151"/>
      <c r="J30" s="826">
        <f t="shared" si="0"/>
        <v>20</v>
      </c>
      <c r="K30" s="827">
        <f t="shared" si="1"/>
        <v>97.649</v>
      </c>
      <c r="L30" s="190"/>
      <c r="M30" s="261"/>
      <c r="N30" s="192">
        <f t="shared" si="2"/>
      </c>
      <c r="O30" s="193">
        <f t="shared" si="3"/>
      </c>
      <c r="P30" s="262"/>
      <c r="Q30" s="933">
        <f t="shared" si="4"/>
      </c>
      <c r="R30" s="263">
        <f t="shared" si="5"/>
      </c>
      <c r="S30" s="263">
        <f t="shared" si="17"/>
      </c>
      <c r="T30" s="830" t="str">
        <f t="shared" si="6"/>
        <v>--</v>
      </c>
      <c r="U30" s="831" t="str">
        <f t="shared" si="7"/>
        <v>--</v>
      </c>
      <c r="V30" s="266" t="str">
        <f t="shared" si="8"/>
        <v>--</v>
      </c>
      <c r="W30" s="267" t="str">
        <f t="shared" si="9"/>
        <v>--</v>
      </c>
      <c r="X30" s="268" t="str">
        <f t="shared" si="10"/>
        <v>--</v>
      </c>
      <c r="Y30" s="832" t="str">
        <f t="shared" si="11"/>
        <v>--</v>
      </c>
      <c r="Z30" s="833" t="str">
        <f t="shared" si="12"/>
        <v>--</v>
      </c>
      <c r="AA30" s="834" t="str">
        <f t="shared" si="13"/>
        <v>--</v>
      </c>
      <c r="AB30" s="272" t="str">
        <f t="shared" si="14"/>
        <v>--</v>
      </c>
      <c r="AC30" s="273" t="str">
        <f t="shared" si="15"/>
        <v>--</v>
      </c>
      <c r="AD30" s="934">
        <f t="shared" si="18"/>
      </c>
      <c r="AE30" s="16">
        <f t="shared" si="16"/>
      </c>
      <c r="AF30" s="835"/>
    </row>
    <row r="31" spans="2:32" s="5" customFormat="1" ht="16.5" customHeight="1">
      <c r="B31" s="50"/>
      <c r="C31" s="157"/>
      <c r="D31" s="157"/>
      <c r="E31" s="157"/>
      <c r="F31" s="150"/>
      <c r="G31" s="151"/>
      <c r="H31" s="879"/>
      <c r="I31" s="151"/>
      <c r="J31" s="826">
        <f t="shared" si="0"/>
        <v>20</v>
      </c>
      <c r="K31" s="827">
        <f t="shared" si="1"/>
        <v>97.649</v>
      </c>
      <c r="L31" s="190"/>
      <c r="M31" s="261"/>
      <c r="N31" s="192">
        <f t="shared" si="2"/>
      </c>
      <c r="O31" s="193">
        <f t="shared" si="3"/>
      </c>
      <c r="P31" s="262"/>
      <c r="Q31" s="933">
        <f t="shared" si="4"/>
      </c>
      <c r="R31" s="263">
        <f t="shared" si="5"/>
      </c>
      <c r="S31" s="263">
        <f t="shared" si="17"/>
      </c>
      <c r="T31" s="830" t="str">
        <f t="shared" si="6"/>
        <v>--</v>
      </c>
      <c r="U31" s="831" t="str">
        <f t="shared" si="7"/>
        <v>--</v>
      </c>
      <c r="V31" s="266" t="str">
        <f t="shared" si="8"/>
        <v>--</v>
      </c>
      <c r="W31" s="267" t="str">
        <f t="shared" si="9"/>
        <v>--</v>
      </c>
      <c r="X31" s="268" t="str">
        <f t="shared" si="10"/>
        <v>--</v>
      </c>
      <c r="Y31" s="832" t="str">
        <f t="shared" si="11"/>
        <v>--</v>
      </c>
      <c r="Z31" s="833" t="str">
        <f t="shared" si="12"/>
        <v>--</v>
      </c>
      <c r="AA31" s="834" t="str">
        <f t="shared" si="13"/>
        <v>--</v>
      </c>
      <c r="AB31" s="272" t="str">
        <f t="shared" si="14"/>
        <v>--</v>
      </c>
      <c r="AC31" s="273" t="str">
        <f t="shared" si="15"/>
        <v>--</v>
      </c>
      <c r="AD31" s="934">
        <f t="shared" si="18"/>
      </c>
      <c r="AE31" s="16">
        <f t="shared" si="16"/>
      </c>
      <c r="AF31" s="835"/>
    </row>
    <row r="32" spans="2:32" s="5" customFormat="1" ht="16.5" customHeight="1">
      <c r="B32" s="50"/>
      <c r="C32" s="340"/>
      <c r="D32" s="340"/>
      <c r="E32" s="340"/>
      <c r="F32" s="150"/>
      <c r="G32" s="151"/>
      <c r="H32" s="879"/>
      <c r="I32" s="151"/>
      <c r="J32" s="826">
        <f t="shared" si="0"/>
        <v>20</v>
      </c>
      <c r="K32" s="827">
        <f t="shared" si="1"/>
        <v>97.649</v>
      </c>
      <c r="L32" s="190"/>
      <c r="M32" s="191"/>
      <c r="N32" s="192">
        <f t="shared" si="2"/>
      </c>
      <c r="O32" s="193">
        <f t="shared" si="3"/>
      </c>
      <c r="P32" s="262"/>
      <c r="Q32" s="933">
        <f t="shared" si="4"/>
      </c>
      <c r="R32" s="263">
        <f t="shared" si="5"/>
      </c>
      <c r="S32" s="263">
        <f t="shared" si="17"/>
      </c>
      <c r="T32" s="830" t="str">
        <f t="shared" si="6"/>
        <v>--</v>
      </c>
      <c r="U32" s="831" t="str">
        <f t="shared" si="7"/>
        <v>--</v>
      </c>
      <c r="V32" s="266" t="str">
        <f t="shared" si="8"/>
        <v>--</v>
      </c>
      <c r="W32" s="267" t="str">
        <f t="shared" si="9"/>
        <v>--</v>
      </c>
      <c r="X32" s="268" t="str">
        <f t="shared" si="10"/>
        <v>--</v>
      </c>
      <c r="Y32" s="832" t="str">
        <f t="shared" si="11"/>
        <v>--</v>
      </c>
      <c r="Z32" s="833" t="str">
        <f t="shared" si="12"/>
        <v>--</v>
      </c>
      <c r="AA32" s="834" t="str">
        <f t="shared" si="13"/>
        <v>--</v>
      </c>
      <c r="AB32" s="272" t="str">
        <f t="shared" si="14"/>
        <v>--</v>
      </c>
      <c r="AC32" s="273" t="str">
        <f t="shared" si="15"/>
        <v>--</v>
      </c>
      <c r="AD32" s="934">
        <f t="shared" si="18"/>
      </c>
      <c r="AE32" s="16">
        <f t="shared" si="16"/>
      </c>
      <c r="AF32" s="835"/>
    </row>
    <row r="33" spans="2:32" s="5" customFormat="1" ht="16.5" customHeight="1">
      <c r="B33" s="50"/>
      <c r="C33" s="157"/>
      <c r="D33" s="157"/>
      <c r="E33" s="157"/>
      <c r="F33" s="150"/>
      <c r="G33" s="151"/>
      <c r="H33" s="879"/>
      <c r="I33" s="151"/>
      <c r="J33" s="826">
        <f t="shared" si="0"/>
        <v>20</v>
      </c>
      <c r="K33" s="827">
        <f t="shared" si="1"/>
        <v>97.649</v>
      </c>
      <c r="L33" s="190"/>
      <c r="M33" s="191"/>
      <c r="N33" s="192">
        <f t="shared" si="2"/>
      </c>
      <c r="O33" s="193">
        <f t="shared" si="3"/>
      </c>
      <c r="P33" s="262"/>
      <c r="Q33" s="933">
        <f t="shared" si="4"/>
      </c>
      <c r="R33" s="263">
        <f t="shared" si="5"/>
      </c>
      <c r="S33" s="263">
        <f t="shared" si="17"/>
      </c>
      <c r="T33" s="830" t="str">
        <f t="shared" si="6"/>
        <v>--</v>
      </c>
      <c r="U33" s="831" t="str">
        <f t="shared" si="7"/>
        <v>--</v>
      </c>
      <c r="V33" s="266" t="str">
        <f t="shared" si="8"/>
        <v>--</v>
      </c>
      <c r="W33" s="267" t="str">
        <f t="shared" si="9"/>
        <v>--</v>
      </c>
      <c r="X33" s="268" t="str">
        <f t="shared" si="10"/>
        <v>--</v>
      </c>
      <c r="Y33" s="832" t="str">
        <f t="shared" si="11"/>
        <v>--</v>
      </c>
      <c r="Z33" s="833" t="str">
        <f t="shared" si="12"/>
        <v>--</v>
      </c>
      <c r="AA33" s="834" t="str">
        <f t="shared" si="13"/>
        <v>--</v>
      </c>
      <c r="AB33" s="272" t="str">
        <f t="shared" si="14"/>
        <v>--</v>
      </c>
      <c r="AC33" s="273" t="str">
        <f t="shared" si="15"/>
        <v>--</v>
      </c>
      <c r="AD33" s="934">
        <f t="shared" si="18"/>
      </c>
      <c r="AE33" s="16">
        <f t="shared" si="16"/>
      </c>
      <c r="AF33" s="835"/>
    </row>
    <row r="34" spans="2:32" s="5" customFormat="1" ht="16.5" customHeight="1">
      <c r="B34" s="50"/>
      <c r="C34" s="340"/>
      <c r="D34" s="340"/>
      <c r="E34" s="340"/>
      <c r="F34" s="150"/>
      <c r="G34" s="151"/>
      <c r="H34" s="879"/>
      <c r="I34" s="151"/>
      <c r="J34" s="826">
        <f t="shared" si="0"/>
        <v>20</v>
      </c>
      <c r="K34" s="827">
        <f t="shared" si="1"/>
        <v>97.649</v>
      </c>
      <c r="L34" s="190"/>
      <c r="M34" s="191"/>
      <c r="N34" s="192">
        <f t="shared" si="2"/>
      </c>
      <c r="O34" s="193">
        <f t="shared" si="3"/>
      </c>
      <c r="P34" s="262"/>
      <c r="Q34" s="933">
        <f t="shared" si="4"/>
      </c>
      <c r="R34" s="263">
        <f t="shared" si="5"/>
      </c>
      <c r="S34" s="263">
        <f t="shared" si="17"/>
      </c>
      <c r="T34" s="830" t="str">
        <f t="shared" si="6"/>
        <v>--</v>
      </c>
      <c r="U34" s="831" t="str">
        <f t="shared" si="7"/>
        <v>--</v>
      </c>
      <c r="V34" s="266" t="str">
        <f t="shared" si="8"/>
        <v>--</v>
      </c>
      <c r="W34" s="267" t="str">
        <f t="shared" si="9"/>
        <v>--</v>
      </c>
      <c r="X34" s="268" t="str">
        <f t="shared" si="10"/>
        <v>--</v>
      </c>
      <c r="Y34" s="832" t="str">
        <f t="shared" si="11"/>
        <v>--</v>
      </c>
      <c r="Z34" s="833" t="str">
        <f t="shared" si="12"/>
        <v>--</v>
      </c>
      <c r="AA34" s="834" t="str">
        <f t="shared" si="13"/>
        <v>--</v>
      </c>
      <c r="AB34" s="272" t="str">
        <f t="shared" si="14"/>
        <v>--</v>
      </c>
      <c r="AC34" s="273" t="str">
        <f t="shared" si="15"/>
        <v>--</v>
      </c>
      <c r="AD34" s="934">
        <f t="shared" si="18"/>
      </c>
      <c r="AE34" s="16">
        <f t="shared" si="16"/>
      </c>
      <c r="AF34" s="835"/>
    </row>
    <row r="35" spans="2:32" s="5" customFormat="1" ht="16.5" customHeight="1">
      <c r="B35" s="50"/>
      <c r="C35" s="157"/>
      <c r="D35" s="157"/>
      <c r="E35" s="157"/>
      <c r="F35" s="150"/>
      <c r="G35" s="151"/>
      <c r="H35" s="879"/>
      <c r="I35" s="151"/>
      <c r="J35" s="826">
        <f t="shared" si="0"/>
        <v>20</v>
      </c>
      <c r="K35" s="827">
        <f t="shared" si="1"/>
        <v>97.649</v>
      </c>
      <c r="L35" s="190"/>
      <c r="M35" s="191"/>
      <c r="N35" s="192">
        <f t="shared" si="2"/>
      </c>
      <c r="O35" s="193">
        <f t="shared" si="3"/>
      </c>
      <c r="P35" s="262"/>
      <c r="Q35" s="933">
        <f t="shared" si="4"/>
      </c>
      <c r="R35" s="263">
        <f t="shared" si="5"/>
      </c>
      <c r="S35" s="263">
        <f t="shared" si="17"/>
      </c>
      <c r="T35" s="830" t="str">
        <f t="shared" si="6"/>
        <v>--</v>
      </c>
      <c r="U35" s="831" t="str">
        <f t="shared" si="7"/>
        <v>--</v>
      </c>
      <c r="V35" s="266" t="str">
        <f t="shared" si="8"/>
        <v>--</v>
      </c>
      <c r="W35" s="267" t="str">
        <f t="shared" si="9"/>
        <v>--</v>
      </c>
      <c r="X35" s="268" t="str">
        <f t="shared" si="10"/>
        <v>--</v>
      </c>
      <c r="Y35" s="832" t="str">
        <f t="shared" si="11"/>
        <v>--</v>
      </c>
      <c r="Z35" s="833" t="str">
        <f t="shared" si="12"/>
        <v>--</v>
      </c>
      <c r="AA35" s="834" t="str">
        <f t="shared" si="13"/>
        <v>--</v>
      </c>
      <c r="AB35" s="272" t="str">
        <f t="shared" si="14"/>
        <v>--</v>
      </c>
      <c r="AC35" s="273" t="str">
        <f t="shared" si="15"/>
        <v>--</v>
      </c>
      <c r="AD35" s="934">
        <f t="shared" si="18"/>
      </c>
      <c r="AE35" s="16">
        <f t="shared" si="16"/>
      </c>
      <c r="AF35" s="835"/>
    </row>
    <row r="36" spans="2:32" s="5" customFormat="1" ht="16.5" customHeight="1">
      <c r="B36" s="50"/>
      <c r="C36" s="340"/>
      <c r="D36" s="340"/>
      <c r="E36" s="340"/>
      <c r="F36" s="150"/>
      <c r="G36" s="151"/>
      <c r="H36" s="879"/>
      <c r="I36" s="151"/>
      <c r="J36" s="826">
        <f t="shared" si="0"/>
        <v>20</v>
      </c>
      <c r="K36" s="827">
        <f t="shared" si="1"/>
        <v>97.649</v>
      </c>
      <c r="L36" s="190"/>
      <c r="M36" s="191"/>
      <c r="N36" s="192">
        <f t="shared" si="2"/>
      </c>
      <c r="O36" s="193">
        <f t="shared" si="3"/>
      </c>
      <c r="P36" s="262"/>
      <c r="Q36" s="933">
        <f t="shared" si="4"/>
      </c>
      <c r="R36" s="263">
        <f t="shared" si="5"/>
      </c>
      <c r="S36" s="263">
        <f t="shared" si="17"/>
      </c>
      <c r="T36" s="830" t="str">
        <f t="shared" si="6"/>
        <v>--</v>
      </c>
      <c r="U36" s="831" t="str">
        <f t="shared" si="7"/>
        <v>--</v>
      </c>
      <c r="V36" s="266" t="str">
        <f t="shared" si="8"/>
        <v>--</v>
      </c>
      <c r="W36" s="267" t="str">
        <f t="shared" si="9"/>
        <v>--</v>
      </c>
      <c r="X36" s="268" t="str">
        <f t="shared" si="10"/>
        <v>--</v>
      </c>
      <c r="Y36" s="832" t="str">
        <f t="shared" si="11"/>
        <v>--</v>
      </c>
      <c r="Z36" s="833" t="str">
        <f t="shared" si="12"/>
        <v>--</v>
      </c>
      <c r="AA36" s="834" t="str">
        <f t="shared" si="13"/>
        <v>--</v>
      </c>
      <c r="AB36" s="272" t="str">
        <f t="shared" si="14"/>
        <v>--</v>
      </c>
      <c r="AC36" s="273" t="str">
        <f t="shared" si="15"/>
        <v>--</v>
      </c>
      <c r="AD36" s="934">
        <f t="shared" si="18"/>
      </c>
      <c r="AE36" s="16">
        <f t="shared" si="16"/>
      </c>
      <c r="AF36" s="835"/>
    </row>
    <row r="37" spans="2:32" s="5" customFormat="1" ht="16.5" customHeight="1">
      <c r="B37" s="50"/>
      <c r="C37" s="157"/>
      <c r="D37" s="157"/>
      <c r="E37" s="157"/>
      <c r="F37" s="150"/>
      <c r="G37" s="151"/>
      <c r="H37" s="879"/>
      <c r="I37" s="151"/>
      <c r="J37" s="826">
        <f t="shared" si="0"/>
        <v>20</v>
      </c>
      <c r="K37" s="827">
        <f t="shared" si="1"/>
        <v>97.649</v>
      </c>
      <c r="L37" s="190"/>
      <c r="M37" s="191"/>
      <c r="N37" s="192">
        <f t="shared" si="2"/>
      </c>
      <c r="O37" s="193">
        <f t="shared" si="3"/>
      </c>
      <c r="P37" s="262"/>
      <c r="Q37" s="933">
        <f t="shared" si="4"/>
      </c>
      <c r="R37" s="263">
        <f t="shared" si="5"/>
      </c>
      <c r="S37" s="263">
        <f t="shared" si="17"/>
      </c>
      <c r="T37" s="830" t="str">
        <f t="shared" si="6"/>
        <v>--</v>
      </c>
      <c r="U37" s="831" t="str">
        <f t="shared" si="7"/>
        <v>--</v>
      </c>
      <c r="V37" s="266" t="str">
        <f t="shared" si="8"/>
        <v>--</v>
      </c>
      <c r="W37" s="267" t="str">
        <f t="shared" si="9"/>
        <v>--</v>
      </c>
      <c r="X37" s="268" t="str">
        <f t="shared" si="10"/>
        <v>--</v>
      </c>
      <c r="Y37" s="832" t="str">
        <f t="shared" si="11"/>
        <v>--</v>
      </c>
      <c r="Z37" s="833" t="str">
        <f t="shared" si="12"/>
        <v>--</v>
      </c>
      <c r="AA37" s="834" t="str">
        <f t="shared" si="13"/>
        <v>--</v>
      </c>
      <c r="AB37" s="272" t="str">
        <f t="shared" si="14"/>
        <v>--</v>
      </c>
      <c r="AC37" s="273" t="str">
        <f t="shared" si="15"/>
        <v>--</v>
      </c>
      <c r="AD37" s="934">
        <f t="shared" si="18"/>
      </c>
      <c r="AE37" s="16">
        <f t="shared" si="16"/>
      </c>
      <c r="AF37" s="835"/>
    </row>
    <row r="38" spans="2:32" s="5" customFormat="1" ht="16.5" customHeight="1">
      <c r="B38" s="50"/>
      <c r="C38" s="340"/>
      <c r="D38" s="340"/>
      <c r="E38" s="340"/>
      <c r="F38" s="150"/>
      <c r="G38" s="151"/>
      <c r="H38" s="879"/>
      <c r="I38" s="151"/>
      <c r="J38" s="826">
        <f t="shared" si="0"/>
        <v>20</v>
      </c>
      <c r="K38" s="827">
        <f t="shared" si="1"/>
        <v>97.649</v>
      </c>
      <c r="L38" s="190"/>
      <c r="M38" s="191"/>
      <c r="N38" s="192">
        <f t="shared" si="2"/>
      </c>
      <c r="O38" s="193">
        <f t="shared" si="3"/>
      </c>
      <c r="P38" s="262"/>
      <c r="Q38" s="933">
        <f t="shared" si="4"/>
      </c>
      <c r="R38" s="263">
        <f t="shared" si="5"/>
      </c>
      <c r="S38" s="263">
        <f t="shared" si="17"/>
      </c>
      <c r="T38" s="830" t="str">
        <f t="shared" si="6"/>
        <v>--</v>
      </c>
      <c r="U38" s="831" t="str">
        <f t="shared" si="7"/>
        <v>--</v>
      </c>
      <c r="V38" s="266" t="str">
        <f t="shared" si="8"/>
        <v>--</v>
      </c>
      <c r="W38" s="267" t="str">
        <f t="shared" si="9"/>
        <v>--</v>
      </c>
      <c r="X38" s="268" t="str">
        <f t="shared" si="10"/>
        <v>--</v>
      </c>
      <c r="Y38" s="832" t="str">
        <f t="shared" si="11"/>
        <v>--</v>
      </c>
      <c r="Z38" s="833" t="str">
        <f t="shared" si="12"/>
        <v>--</v>
      </c>
      <c r="AA38" s="834" t="str">
        <f t="shared" si="13"/>
        <v>--</v>
      </c>
      <c r="AB38" s="272" t="str">
        <f t="shared" si="14"/>
        <v>--</v>
      </c>
      <c r="AC38" s="273" t="str">
        <f t="shared" si="15"/>
        <v>--</v>
      </c>
      <c r="AD38" s="934">
        <f t="shared" si="18"/>
      </c>
      <c r="AE38" s="16">
        <f t="shared" si="16"/>
      </c>
      <c r="AF38" s="835"/>
    </row>
    <row r="39" spans="2:32" s="5" customFormat="1" ht="16.5" customHeight="1">
      <c r="B39" s="50"/>
      <c r="C39" s="157"/>
      <c r="D39" s="157"/>
      <c r="E39" s="157"/>
      <c r="F39" s="150"/>
      <c r="G39" s="151"/>
      <c r="H39" s="879"/>
      <c r="I39" s="151"/>
      <c r="J39" s="826">
        <f t="shared" si="0"/>
        <v>20</v>
      </c>
      <c r="K39" s="827">
        <f t="shared" si="1"/>
        <v>97.649</v>
      </c>
      <c r="L39" s="190"/>
      <c r="M39" s="191"/>
      <c r="N39" s="192">
        <f t="shared" si="2"/>
      </c>
      <c r="O39" s="193">
        <f t="shared" si="3"/>
      </c>
      <c r="P39" s="262"/>
      <c r="Q39" s="933">
        <f t="shared" si="4"/>
      </c>
      <c r="R39" s="263">
        <f t="shared" si="5"/>
      </c>
      <c r="S39" s="263">
        <f t="shared" si="17"/>
      </c>
      <c r="T39" s="830" t="str">
        <f t="shared" si="6"/>
        <v>--</v>
      </c>
      <c r="U39" s="831" t="str">
        <f t="shared" si="7"/>
        <v>--</v>
      </c>
      <c r="V39" s="266" t="str">
        <f t="shared" si="8"/>
        <v>--</v>
      </c>
      <c r="W39" s="267" t="str">
        <f t="shared" si="9"/>
        <v>--</v>
      </c>
      <c r="X39" s="268" t="str">
        <f t="shared" si="10"/>
        <v>--</v>
      </c>
      <c r="Y39" s="832" t="str">
        <f t="shared" si="11"/>
        <v>--</v>
      </c>
      <c r="Z39" s="833" t="str">
        <f t="shared" si="12"/>
        <v>--</v>
      </c>
      <c r="AA39" s="834" t="str">
        <f t="shared" si="13"/>
        <v>--</v>
      </c>
      <c r="AB39" s="272" t="str">
        <f t="shared" si="14"/>
        <v>--</v>
      </c>
      <c r="AC39" s="273" t="str">
        <f t="shared" si="15"/>
        <v>--</v>
      </c>
      <c r="AD39" s="934">
        <f t="shared" si="18"/>
      </c>
      <c r="AE39" s="16">
        <f t="shared" si="16"/>
      </c>
      <c r="AF39" s="835"/>
    </row>
    <row r="40" spans="2:32" s="5" customFormat="1" ht="16.5" customHeight="1">
      <c r="B40" s="50"/>
      <c r="C40" s="340"/>
      <c r="D40" s="340"/>
      <c r="E40" s="340"/>
      <c r="F40" s="150"/>
      <c r="G40" s="974"/>
      <c r="H40" s="879"/>
      <c r="I40" s="151"/>
      <c r="J40" s="826">
        <f t="shared" si="0"/>
        <v>20</v>
      </c>
      <c r="K40" s="827">
        <f t="shared" si="1"/>
        <v>97.649</v>
      </c>
      <c r="L40" s="190"/>
      <c r="M40" s="191"/>
      <c r="N40" s="192">
        <f t="shared" si="2"/>
      </c>
      <c r="O40" s="193">
        <f t="shared" si="3"/>
      </c>
      <c r="P40" s="262"/>
      <c r="Q40" s="933">
        <f t="shared" si="4"/>
      </c>
      <c r="R40" s="263">
        <f t="shared" si="5"/>
      </c>
      <c r="S40" s="263">
        <f t="shared" si="17"/>
      </c>
      <c r="T40" s="830" t="str">
        <f t="shared" si="6"/>
        <v>--</v>
      </c>
      <c r="U40" s="831" t="str">
        <f t="shared" si="7"/>
        <v>--</v>
      </c>
      <c r="V40" s="266" t="str">
        <f t="shared" si="8"/>
        <v>--</v>
      </c>
      <c r="W40" s="267" t="str">
        <f t="shared" si="9"/>
        <v>--</v>
      </c>
      <c r="X40" s="268" t="str">
        <f t="shared" si="10"/>
        <v>--</v>
      </c>
      <c r="Y40" s="832" t="str">
        <f t="shared" si="11"/>
        <v>--</v>
      </c>
      <c r="Z40" s="833" t="str">
        <f t="shared" si="12"/>
        <v>--</v>
      </c>
      <c r="AA40" s="834" t="str">
        <f t="shared" si="13"/>
        <v>--</v>
      </c>
      <c r="AB40" s="272" t="str">
        <f t="shared" si="14"/>
        <v>--</v>
      </c>
      <c r="AC40" s="273" t="str">
        <f t="shared" si="15"/>
        <v>--</v>
      </c>
      <c r="AD40" s="934">
        <f t="shared" si="18"/>
      </c>
      <c r="AE40" s="16">
        <f t="shared" si="16"/>
      </c>
      <c r="AF40" s="835"/>
    </row>
    <row r="41" spans="2:32" s="5" customFormat="1" ht="16.5" customHeight="1" thickBot="1">
      <c r="B41" s="50"/>
      <c r="C41" s="932"/>
      <c r="D41" s="935"/>
      <c r="E41" s="157"/>
      <c r="F41" s="154"/>
      <c r="G41" s="277"/>
      <c r="H41" s="873"/>
      <c r="I41" s="278"/>
      <c r="J41" s="840"/>
      <c r="K41" s="841"/>
      <c r="L41" s="871"/>
      <c r="M41" s="871"/>
      <c r="N41" s="9"/>
      <c r="O41" s="9"/>
      <c r="P41" s="156"/>
      <c r="Q41" s="195"/>
      <c r="R41" s="156"/>
      <c r="S41" s="156"/>
      <c r="T41" s="842"/>
      <c r="U41" s="843"/>
      <c r="V41" s="283"/>
      <c r="W41" s="284"/>
      <c r="X41" s="285"/>
      <c r="Y41" s="844"/>
      <c r="Z41" s="845"/>
      <c r="AA41" s="846"/>
      <c r="AB41" s="289"/>
      <c r="AC41" s="290"/>
      <c r="AD41" s="847"/>
      <c r="AE41" s="293"/>
      <c r="AF41" s="835"/>
    </row>
    <row r="42" spans="2:32" s="5" customFormat="1" ht="16.5" customHeight="1" thickBot="1" thickTop="1">
      <c r="B42" s="50"/>
      <c r="C42" s="127" t="s">
        <v>25</v>
      </c>
      <c r="D42" s="943" t="s">
        <v>361</v>
      </c>
      <c r="E42" s="127"/>
      <c r="F42" s="128"/>
      <c r="G42" s="294"/>
      <c r="H42" s="218"/>
      <c r="I42" s="295"/>
      <c r="J42" s="218"/>
      <c r="K42" s="196"/>
      <c r="L42" s="196"/>
      <c r="M42" s="196"/>
      <c r="N42" s="196"/>
      <c r="O42" s="196"/>
      <c r="P42" s="196"/>
      <c r="Q42" s="296"/>
      <c r="R42" s="196"/>
      <c r="S42" s="196"/>
      <c r="T42" s="848">
        <f aca="true" t="shared" si="19" ref="T42:AC42">SUM(T20:T41)</f>
        <v>472.89534799999996</v>
      </c>
      <c r="U42" s="849">
        <f t="shared" si="19"/>
        <v>0</v>
      </c>
      <c r="V42" s="850">
        <f t="shared" si="19"/>
        <v>17928.387</v>
      </c>
      <c r="W42" s="850">
        <f t="shared" si="19"/>
        <v>14722.36956</v>
      </c>
      <c r="X42" s="850">
        <f t="shared" si="19"/>
        <v>0</v>
      </c>
      <c r="Y42" s="851">
        <f t="shared" si="19"/>
        <v>0</v>
      </c>
      <c r="Z42" s="851">
        <f t="shared" si="19"/>
        <v>0</v>
      </c>
      <c r="AA42" s="851">
        <f t="shared" si="19"/>
        <v>0</v>
      </c>
      <c r="AB42" s="304">
        <f t="shared" si="19"/>
        <v>0</v>
      </c>
      <c r="AC42" s="305">
        <f t="shared" si="19"/>
        <v>0</v>
      </c>
      <c r="AD42" s="306"/>
      <c r="AE42" s="308">
        <f>ROUND(SUM(AE20:AE41),2)</f>
        <v>33123.65</v>
      </c>
      <c r="AF42" s="835"/>
    </row>
    <row r="43" spans="2:32" s="5" customFormat="1" ht="16.5" customHeight="1" thickBot="1" thickTop="1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6"/>
    </row>
    <row r="44" spans="2:32" ht="16.5" customHeight="1" thickTop="1">
      <c r="B44" s="1"/>
      <c r="C44" s="1"/>
      <c r="D44" s="1"/>
      <c r="AF44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5"/>
  <sheetViews>
    <sheetView zoomScale="70" zoomScaleNormal="70" workbookViewId="0" topLeftCell="A2">
      <selection activeCell="E12" sqref="E1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9"/>
    </row>
    <row r="2" spans="1:30" s="18" customFormat="1" ht="26.25">
      <c r="A2" s="91"/>
      <c r="B2" s="309" t="str">
        <f>+'TOT-0909'!B2</f>
        <v>ANEXO IV al Memorandum  D.T.E.E. N° 256/2011</v>
      </c>
      <c r="C2" s="309"/>
      <c r="D2" s="309"/>
      <c r="E2" s="309"/>
      <c r="F2" s="309"/>
      <c r="G2" s="1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310" t="s">
        <v>83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310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311" t="s">
        <v>69</v>
      </c>
      <c r="G8" s="105"/>
      <c r="H8" s="105"/>
      <c r="I8" s="312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313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901" customFormat="1" ht="30" customHeight="1">
      <c r="A10" s="895"/>
      <c r="B10" s="896"/>
      <c r="C10" s="899"/>
      <c r="D10" s="899"/>
      <c r="E10" s="895"/>
      <c r="F10" s="897" t="s">
        <v>253</v>
      </c>
      <c r="G10" s="895"/>
      <c r="H10" s="898"/>
      <c r="I10" s="899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9"/>
      <c r="U10" s="899"/>
      <c r="V10" s="899"/>
      <c r="W10" s="899"/>
      <c r="X10" s="899"/>
      <c r="Y10" s="899"/>
      <c r="Z10" s="899"/>
      <c r="AA10" s="899"/>
      <c r="AB10" s="899"/>
      <c r="AC10" s="899"/>
      <c r="AD10" s="900"/>
    </row>
    <row r="11" spans="1:30" s="906" customFormat="1" ht="9.75" customHeight="1">
      <c r="A11" s="902"/>
      <c r="B11" s="903"/>
      <c r="C11" s="904"/>
      <c r="D11" s="904"/>
      <c r="E11" s="902"/>
      <c r="G11" s="904"/>
      <c r="H11" s="904"/>
      <c r="I11" s="904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5"/>
    </row>
    <row r="12" spans="1:30" s="906" customFormat="1" ht="21" customHeight="1">
      <c r="A12" s="895"/>
      <c r="B12" s="896"/>
      <c r="C12" s="899"/>
      <c r="D12" s="899"/>
      <c r="E12" s="895"/>
      <c r="F12" s="907" t="s">
        <v>254</v>
      </c>
      <c r="G12" s="895"/>
      <c r="H12" s="895"/>
      <c r="I12" s="895"/>
      <c r="J12" s="908"/>
      <c r="K12" s="908"/>
      <c r="L12" s="908"/>
      <c r="M12" s="908"/>
      <c r="N12" s="908"/>
      <c r="O12" s="902"/>
      <c r="P12" s="902"/>
      <c r="Q12" s="902"/>
      <c r="R12" s="902"/>
      <c r="S12" s="902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5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'TOT-0909'!B14</f>
        <v>Desde el 01 al 30 de septiembre de 2009</v>
      </c>
      <c r="C14" s="40"/>
      <c r="D14" s="40"/>
      <c r="E14" s="314"/>
      <c r="F14" s="112"/>
      <c r="G14" s="112"/>
      <c r="H14" s="112"/>
      <c r="I14" s="112"/>
      <c r="J14" s="112"/>
      <c r="K14" s="112"/>
      <c r="L14" s="112"/>
      <c r="M14" s="112"/>
      <c r="N14" s="112"/>
      <c r="O14" s="314"/>
      <c r="P14" s="314"/>
      <c r="Q14" s="314"/>
      <c r="R14" s="314"/>
      <c r="S14" s="314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315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316" t="s">
        <v>84</v>
      </c>
      <c r="G16" s="317"/>
      <c r="H16" s="318">
        <v>0.319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882">
        <v>200</v>
      </c>
      <c r="I17"/>
      <c r="J17" s="15"/>
      <c r="K17" s="214"/>
      <c r="L17" s="215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68">
        <v>3</v>
      </c>
      <c r="D18" s="968">
        <v>4</v>
      </c>
      <c r="E18" s="968">
        <v>5</v>
      </c>
      <c r="F18" s="968">
        <v>6</v>
      </c>
      <c r="G18" s="968">
        <v>7</v>
      </c>
      <c r="H18" s="968">
        <v>8</v>
      </c>
      <c r="I18" s="968">
        <v>9</v>
      </c>
      <c r="J18" s="968">
        <v>10</v>
      </c>
      <c r="K18" s="968">
        <v>11</v>
      </c>
      <c r="L18" s="968">
        <v>12</v>
      </c>
      <c r="M18" s="968">
        <v>13</v>
      </c>
      <c r="N18" s="968">
        <v>14</v>
      </c>
      <c r="O18" s="968">
        <v>15</v>
      </c>
      <c r="P18" s="968">
        <v>16</v>
      </c>
      <c r="Q18" s="968">
        <v>17</v>
      </c>
      <c r="R18" s="968">
        <v>18</v>
      </c>
      <c r="S18" s="968">
        <v>19</v>
      </c>
      <c r="T18" s="968">
        <v>20</v>
      </c>
      <c r="U18" s="968">
        <v>21</v>
      </c>
      <c r="V18" s="968">
        <v>22</v>
      </c>
      <c r="W18" s="968">
        <v>23</v>
      </c>
      <c r="X18" s="968">
        <v>24</v>
      </c>
      <c r="Y18" s="968">
        <v>25</v>
      </c>
      <c r="Z18" s="968">
        <v>26</v>
      </c>
      <c r="AA18" s="968">
        <v>27</v>
      </c>
      <c r="AB18" s="968">
        <v>28</v>
      </c>
      <c r="AC18" s="968">
        <v>29</v>
      </c>
      <c r="AD18" s="17"/>
    </row>
    <row r="19" spans="1:30" s="5" customFormat="1" ht="33.75" customHeight="1" thickBot="1" thickTop="1">
      <c r="A19" s="90"/>
      <c r="B19" s="95"/>
      <c r="C19" s="123" t="s">
        <v>13</v>
      </c>
      <c r="D19" s="84" t="s">
        <v>264</v>
      </c>
      <c r="E19" s="84" t="s">
        <v>265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9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58</v>
      </c>
      <c r="Q19" s="122" t="s">
        <v>32</v>
      </c>
      <c r="R19" s="118" t="s">
        <v>33</v>
      </c>
      <c r="S19" s="319" t="s">
        <v>37</v>
      </c>
      <c r="T19" s="320" t="s">
        <v>20</v>
      </c>
      <c r="U19" s="321" t="s">
        <v>21</v>
      </c>
      <c r="V19" s="224" t="s">
        <v>85</v>
      </c>
      <c r="W19" s="226"/>
      <c r="X19" s="322" t="s">
        <v>86</v>
      </c>
      <c r="Y19" s="323"/>
      <c r="Z19" s="324" t="s">
        <v>22</v>
      </c>
      <c r="AA19" s="325" t="s">
        <v>81</v>
      </c>
      <c r="AB19" s="134" t="s">
        <v>82</v>
      </c>
      <c r="AC19" s="121" t="s">
        <v>24</v>
      </c>
      <c r="AD19" s="17"/>
    </row>
    <row r="20" spans="1:30" s="5" customFormat="1" ht="16.5" customHeight="1" thickTop="1">
      <c r="A20" s="90"/>
      <c r="B20" s="95"/>
      <c r="C20" s="326"/>
      <c r="D20" s="326"/>
      <c r="E20" s="326"/>
      <c r="F20" s="326"/>
      <c r="G20" s="326"/>
      <c r="H20" s="326"/>
      <c r="I20" s="327"/>
      <c r="J20" s="328"/>
      <c r="K20" s="326"/>
      <c r="L20" s="326"/>
      <c r="M20" s="326"/>
      <c r="N20" s="326"/>
      <c r="O20" s="326"/>
      <c r="P20" s="184"/>
      <c r="Q20" s="329"/>
      <c r="R20" s="326"/>
      <c r="S20" s="330"/>
      <c r="T20" s="331"/>
      <c r="U20" s="332"/>
      <c r="V20" s="333"/>
      <c r="W20" s="334"/>
      <c r="X20" s="335"/>
      <c r="Y20" s="336"/>
      <c r="Z20" s="337"/>
      <c r="AA20" s="338"/>
      <c r="AB20" s="329"/>
      <c r="AC20" s="339"/>
      <c r="AD20" s="17"/>
    </row>
    <row r="21" spans="1:30" s="5" customFormat="1" ht="16.5" customHeight="1">
      <c r="A21" s="90"/>
      <c r="B21" s="95"/>
      <c r="C21" s="340"/>
      <c r="D21" s="340"/>
      <c r="E21" s="340"/>
      <c r="F21" s="340"/>
      <c r="G21" s="340"/>
      <c r="H21" s="340"/>
      <c r="I21" s="341"/>
      <c r="J21" s="342"/>
      <c r="K21" s="340"/>
      <c r="L21" s="340"/>
      <c r="M21" s="340"/>
      <c r="N21" s="340"/>
      <c r="O21" s="340"/>
      <c r="P21" s="187"/>
      <c r="Q21" s="343"/>
      <c r="R21" s="340"/>
      <c r="S21" s="344"/>
      <c r="T21" s="345"/>
      <c r="U21" s="346"/>
      <c r="V21" s="347"/>
      <c r="W21" s="348"/>
      <c r="X21" s="349"/>
      <c r="Y21" s="350"/>
      <c r="Z21" s="351"/>
      <c r="AA21" s="352"/>
      <c r="AB21" s="343"/>
      <c r="AC21" s="353"/>
      <c r="AD21" s="17"/>
    </row>
    <row r="22" spans="1:30" s="5" customFormat="1" ht="16.5" customHeight="1">
      <c r="A22" s="90"/>
      <c r="B22" s="95"/>
      <c r="C22" s="340">
        <v>9</v>
      </c>
      <c r="D22" s="340">
        <v>210740</v>
      </c>
      <c r="E22" s="340">
        <v>75</v>
      </c>
      <c r="F22" s="153" t="s">
        <v>312</v>
      </c>
      <c r="G22" s="354" t="s">
        <v>313</v>
      </c>
      <c r="H22" s="355">
        <v>150</v>
      </c>
      <c r="I22" s="356" t="s">
        <v>366</v>
      </c>
      <c r="J22" s="357">
        <f aca="true" t="shared" si="0" ref="J22:J40">H22*$H$16</f>
        <v>47.85</v>
      </c>
      <c r="K22" s="158">
        <v>40057.379166666666</v>
      </c>
      <c r="L22" s="158">
        <v>40057.41388888889</v>
      </c>
      <c r="M22" s="358">
        <f aca="true" t="shared" si="1" ref="M22:M40">IF(F22="","",(L22-K22)*24)</f>
        <v>0.8333333334303461</v>
      </c>
      <c r="N22" s="14">
        <f aca="true" t="shared" si="2" ref="N22:N40">IF(F22="","",ROUND((L22-K22)*24*60,0))</f>
        <v>50</v>
      </c>
      <c r="O22" s="159" t="s">
        <v>303</v>
      </c>
      <c r="P22" s="584" t="str">
        <f aca="true" t="shared" si="3" ref="P22:P40">IF(F22="","","--")</f>
        <v>--</v>
      </c>
      <c r="Q22" s="8" t="str">
        <f aca="true" t="shared" si="4" ref="Q22:Q40">IF(F22="","",IF(OR(O22="P",O22="RP"),"--","NO"))</f>
        <v>--</v>
      </c>
      <c r="R22" s="263" t="str">
        <f aca="true" t="shared" si="5" ref="R22:R40">IF(F22="","","NO")</f>
        <v>NO</v>
      </c>
      <c r="S22" s="359">
        <f aca="true" t="shared" si="6" ref="S22:S40">$H$17*IF(OR(O22="P",O22="RP"),0.1,1)*IF(R22="SI",1,0.1)</f>
        <v>2</v>
      </c>
      <c r="T22" s="360">
        <f aca="true" t="shared" si="7" ref="T22:T40">IF(O22="P",J22*S22*ROUND(N22/60,2),"--")</f>
        <v>79.431</v>
      </c>
      <c r="U22" s="361" t="str">
        <f aca="true" t="shared" si="8" ref="U22:U40">IF(O22="RP",J22*S22*P22/100*ROUND(N22/60,2),"--")</f>
        <v>--</v>
      </c>
      <c r="V22" s="362" t="str">
        <f aca="true" t="shared" si="9" ref="V22:V40">IF(AND(O22="F",Q22="NO"),J22*S22,"--")</f>
        <v>--</v>
      </c>
      <c r="W22" s="363" t="str">
        <f aca="true" t="shared" si="10" ref="W22:W40">IF(O22="F",J22*S22*ROUND(N22/60,2),"--")</f>
        <v>--</v>
      </c>
      <c r="X22" s="364" t="str">
        <f aca="true" t="shared" si="11" ref="X22:X40">IF(AND(O22="R",Q22="NO"),J22*S22*P22/100,"--")</f>
        <v>--</v>
      </c>
      <c r="Y22" s="365" t="str">
        <f aca="true" t="shared" si="12" ref="Y22:Y40">IF(O22="R",J22*S22*P22/100*ROUND(N22/60,2),"--")</f>
        <v>--</v>
      </c>
      <c r="Z22" s="366" t="str">
        <f aca="true" t="shared" si="13" ref="Z22:Z40">IF(O22="RF",J22*S22*ROUND(N22/60,2),"--")</f>
        <v>--</v>
      </c>
      <c r="AA22" s="367" t="str">
        <f aca="true" t="shared" si="14" ref="AA22:AA40">IF(O22="RR",J22*S22*P22/100*ROUND(N22/60,2),"--")</f>
        <v>--</v>
      </c>
      <c r="AB22" s="368" t="s">
        <v>240</v>
      </c>
      <c r="AC22" s="16">
        <f aca="true" t="shared" si="15" ref="AC22:AC40">IF(F22="","",(SUM(T22:AA22)*IF(AB22="SI",1,2)*IF(AND(P22&lt;&gt;"--",O22="RF"),P22/100,1)))</f>
        <v>79.431</v>
      </c>
      <c r="AD22" s="17"/>
    </row>
    <row r="23" spans="1:30" s="5" customFormat="1" ht="16.5" customHeight="1">
      <c r="A23" s="90"/>
      <c r="B23" s="95"/>
      <c r="C23" s="157">
        <v>10</v>
      </c>
      <c r="D23" s="157">
        <v>210748</v>
      </c>
      <c r="E23" s="157">
        <v>61</v>
      </c>
      <c r="F23" s="153" t="s">
        <v>314</v>
      </c>
      <c r="G23" s="354" t="s">
        <v>315</v>
      </c>
      <c r="H23" s="355">
        <v>150</v>
      </c>
      <c r="I23" s="356" t="s">
        <v>311</v>
      </c>
      <c r="J23" s="357">
        <f t="shared" si="0"/>
        <v>47.85</v>
      </c>
      <c r="K23" s="158">
        <v>40060.350694444445</v>
      </c>
      <c r="L23" s="158">
        <v>40060.74652777778</v>
      </c>
      <c r="M23" s="358">
        <f t="shared" si="1"/>
        <v>9.500000000058208</v>
      </c>
      <c r="N23" s="14">
        <f t="shared" si="2"/>
        <v>570</v>
      </c>
      <c r="O23" s="159" t="s">
        <v>303</v>
      </c>
      <c r="P23" s="584" t="str">
        <f t="shared" si="3"/>
        <v>--</v>
      </c>
      <c r="Q23" s="8" t="str">
        <f t="shared" si="4"/>
        <v>--</v>
      </c>
      <c r="R23" s="263" t="str">
        <f t="shared" si="5"/>
        <v>NO</v>
      </c>
      <c r="S23" s="359">
        <f t="shared" si="6"/>
        <v>2</v>
      </c>
      <c r="T23" s="360">
        <f t="shared" si="7"/>
        <v>909.15</v>
      </c>
      <c r="U23" s="361" t="str">
        <f t="shared" si="8"/>
        <v>--</v>
      </c>
      <c r="V23" s="362" t="str">
        <f t="shared" si="9"/>
        <v>--</v>
      </c>
      <c r="W23" s="363" t="str">
        <f t="shared" si="10"/>
        <v>--</v>
      </c>
      <c r="X23" s="364" t="str">
        <f t="shared" si="11"/>
        <v>--</v>
      </c>
      <c r="Y23" s="365" t="str">
        <f t="shared" si="12"/>
        <v>--</v>
      </c>
      <c r="Z23" s="366" t="str">
        <f t="shared" si="13"/>
        <v>--</v>
      </c>
      <c r="AA23" s="367" t="str">
        <f t="shared" si="14"/>
        <v>--</v>
      </c>
      <c r="AB23" s="368" t="s">
        <v>240</v>
      </c>
      <c r="AC23" s="16">
        <f t="shared" si="15"/>
        <v>909.15</v>
      </c>
      <c r="AD23" s="17"/>
    </row>
    <row r="24" spans="1:30" s="5" customFormat="1" ht="16.5" customHeight="1">
      <c r="A24" s="90"/>
      <c r="B24" s="95"/>
      <c r="C24" s="340">
        <v>11</v>
      </c>
      <c r="D24" s="340">
        <v>210752</v>
      </c>
      <c r="E24" s="340">
        <v>61</v>
      </c>
      <c r="F24" s="153" t="s">
        <v>314</v>
      </c>
      <c r="G24" s="354" t="s">
        <v>315</v>
      </c>
      <c r="H24" s="355">
        <v>150</v>
      </c>
      <c r="I24" s="356" t="s">
        <v>311</v>
      </c>
      <c r="J24" s="357">
        <f t="shared" si="0"/>
        <v>47.85</v>
      </c>
      <c r="K24" s="158">
        <v>40061.33541666667</v>
      </c>
      <c r="L24" s="158">
        <v>40061.73472222222</v>
      </c>
      <c r="M24" s="358">
        <f t="shared" si="1"/>
        <v>9.58333333331393</v>
      </c>
      <c r="N24" s="14">
        <f t="shared" si="2"/>
        <v>575</v>
      </c>
      <c r="O24" s="159" t="s">
        <v>303</v>
      </c>
      <c r="P24" s="584" t="str">
        <f t="shared" si="3"/>
        <v>--</v>
      </c>
      <c r="Q24" s="8" t="str">
        <f t="shared" si="4"/>
        <v>--</v>
      </c>
      <c r="R24" s="263" t="str">
        <f t="shared" si="5"/>
        <v>NO</v>
      </c>
      <c r="S24" s="359">
        <f t="shared" si="6"/>
        <v>2</v>
      </c>
      <c r="T24" s="360">
        <f t="shared" si="7"/>
        <v>916.806</v>
      </c>
      <c r="U24" s="361" t="str">
        <f t="shared" si="8"/>
        <v>--</v>
      </c>
      <c r="V24" s="362" t="str">
        <f t="shared" si="9"/>
        <v>--</v>
      </c>
      <c r="W24" s="363" t="str">
        <f t="shared" si="10"/>
        <v>--</v>
      </c>
      <c r="X24" s="364" t="str">
        <f t="shared" si="11"/>
        <v>--</v>
      </c>
      <c r="Y24" s="365" t="str">
        <f t="shared" si="12"/>
        <v>--</v>
      </c>
      <c r="Z24" s="366" t="str">
        <f t="shared" si="13"/>
        <v>--</v>
      </c>
      <c r="AA24" s="367" t="str">
        <f t="shared" si="14"/>
        <v>--</v>
      </c>
      <c r="AB24" s="368" t="s">
        <v>240</v>
      </c>
      <c r="AC24" s="16">
        <f t="shared" si="15"/>
        <v>916.806</v>
      </c>
      <c r="AD24" s="17"/>
    </row>
    <row r="25" spans="1:30" s="5" customFormat="1" ht="16.5" customHeight="1">
      <c r="A25" s="90"/>
      <c r="B25" s="95"/>
      <c r="C25" s="157">
        <v>12</v>
      </c>
      <c r="D25" s="157">
        <v>210756</v>
      </c>
      <c r="E25" s="157">
        <v>61</v>
      </c>
      <c r="F25" s="153" t="s">
        <v>314</v>
      </c>
      <c r="G25" s="354" t="s">
        <v>315</v>
      </c>
      <c r="H25" s="355">
        <v>150</v>
      </c>
      <c r="I25" s="356" t="s">
        <v>311</v>
      </c>
      <c r="J25" s="357">
        <f t="shared" si="0"/>
        <v>47.85</v>
      </c>
      <c r="K25" s="158">
        <v>40062.342361111114</v>
      </c>
      <c r="L25" s="158">
        <v>40062.74375</v>
      </c>
      <c r="M25" s="358">
        <f t="shared" si="1"/>
        <v>9.63333333330229</v>
      </c>
      <c r="N25" s="14">
        <f t="shared" si="2"/>
        <v>578</v>
      </c>
      <c r="O25" s="159" t="s">
        <v>303</v>
      </c>
      <c r="P25" s="584" t="str">
        <f t="shared" si="3"/>
        <v>--</v>
      </c>
      <c r="Q25" s="8" t="str">
        <f t="shared" si="4"/>
        <v>--</v>
      </c>
      <c r="R25" s="263" t="str">
        <f t="shared" si="5"/>
        <v>NO</v>
      </c>
      <c r="S25" s="359">
        <f t="shared" si="6"/>
        <v>2</v>
      </c>
      <c r="T25" s="360">
        <f t="shared" si="7"/>
        <v>921.5910000000001</v>
      </c>
      <c r="U25" s="361" t="str">
        <f t="shared" si="8"/>
        <v>--</v>
      </c>
      <c r="V25" s="362" t="str">
        <f t="shared" si="9"/>
        <v>--</v>
      </c>
      <c r="W25" s="363" t="str">
        <f t="shared" si="10"/>
        <v>--</v>
      </c>
      <c r="X25" s="364" t="str">
        <f t="shared" si="11"/>
        <v>--</v>
      </c>
      <c r="Y25" s="365" t="str">
        <f t="shared" si="12"/>
        <v>--</v>
      </c>
      <c r="Z25" s="366" t="str">
        <f t="shared" si="13"/>
        <v>--</v>
      </c>
      <c r="AA25" s="367" t="str">
        <f t="shared" si="14"/>
        <v>--</v>
      </c>
      <c r="AB25" s="368" t="s">
        <v>240</v>
      </c>
      <c r="AC25" s="16">
        <f t="shared" si="15"/>
        <v>921.5910000000001</v>
      </c>
      <c r="AD25" s="17"/>
    </row>
    <row r="26" spans="1:30" s="5" customFormat="1" ht="16.5" customHeight="1">
      <c r="A26" s="90"/>
      <c r="B26" s="95"/>
      <c r="C26" s="340">
        <v>13</v>
      </c>
      <c r="D26" s="340">
        <v>210954</v>
      </c>
      <c r="E26" s="340">
        <v>81</v>
      </c>
      <c r="F26" s="153" t="s">
        <v>316</v>
      </c>
      <c r="G26" s="354" t="s">
        <v>313</v>
      </c>
      <c r="H26" s="355">
        <v>300</v>
      </c>
      <c r="I26" s="356" t="s">
        <v>144</v>
      </c>
      <c r="J26" s="357">
        <f t="shared" si="0"/>
        <v>95.7</v>
      </c>
      <c r="K26" s="158">
        <v>40066.4</v>
      </c>
      <c r="L26" s="158">
        <v>40066.709027777775</v>
      </c>
      <c r="M26" s="358">
        <f t="shared" si="1"/>
        <v>7.416666666569654</v>
      </c>
      <c r="N26" s="14">
        <f t="shared" si="2"/>
        <v>445</v>
      </c>
      <c r="O26" s="159" t="s">
        <v>303</v>
      </c>
      <c r="P26" s="584" t="str">
        <f t="shared" si="3"/>
        <v>--</v>
      </c>
      <c r="Q26" s="8" t="str">
        <f t="shared" si="4"/>
        <v>--</v>
      </c>
      <c r="R26" s="263" t="str">
        <f t="shared" si="5"/>
        <v>NO</v>
      </c>
      <c r="S26" s="359">
        <f t="shared" si="6"/>
        <v>2</v>
      </c>
      <c r="T26" s="360">
        <f t="shared" si="7"/>
        <v>1420.188</v>
      </c>
      <c r="U26" s="361" t="str">
        <f t="shared" si="8"/>
        <v>--</v>
      </c>
      <c r="V26" s="362" t="str">
        <f t="shared" si="9"/>
        <v>--</v>
      </c>
      <c r="W26" s="363" t="str">
        <f t="shared" si="10"/>
        <v>--</v>
      </c>
      <c r="X26" s="364" t="str">
        <f t="shared" si="11"/>
        <v>--</v>
      </c>
      <c r="Y26" s="365" t="str">
        <f t="shared" si="12"/>
        <v>--</v>
      </c>
      <c r="Z26" s="366" t="str">
        <f t="shared" si="13"/>
        <v>--</v>
      </c>
      <c r="AA26" s="367" t="str">
        <f t="shared" si="14"/>
        <v>--</v>
      </c>
      <c r="AB26" s="368" t="s">
        <v>240</v>
      </c>
      <c r="AC26" s="16">
        <f t="shared" si="15"/>
        <v>1420.188</v>
      </c>
      <c r="AD26" s="17"/>
    </row>
    <row r="27" spans="1:31" s="5" customFormat="1" ht="16.5" customHeight="1">
      <c r="A27" s="90"/>
      <c r="B27" s="95"/>
      <c r="C27" s="157">
        <v>14</v>
      </c>
      <c r="D27" s="157">
        <v>210955</v>
      </c>
      <c r="E27" s="157">
        <v>81</v>
      </c>
      <c r="F27" s="153" t="s">
        <v>316</v>
      </c>
      <c r="G27" s="354" t="s">
        <v>313</v>
      </c>
      <c r="H27" s="355">
        <v>300</v>
      </c>
      <c r="I27" s="356" t="s">
        <v>144</v>
      </c>
      <c r="J27" s="357">
        <f t="shared" si="0"/>
        <v>95.7</v>
      </c>
      <c r="K27" s="158">
        <v>40067.305555555555</v>
      </c>
      <c r="L27" s="158">
        <v>40067.67222222222</v>
      </c>
      <c r="M27" s="358">
        <f t="shared" si="1"/>
        <v>8.800000000046566</v>
      </c>
      <c r="N27" s="14">
        <f t="shared" si="2"/>
        <v>528</v>
      </c>
      <c r="O27" s="159" t="s">
        <v>303</v>
      </c>
      <c r="P27" s="584" t="str">
        <f t="shared" si="3"/>
        <v>--</v>
      </c>
      <c r="Q27" s="8" t="str">
        <f t="shared" si="4"/>
        <v>--</v>
      </c>
      <c r="R27" s="263" t="str">
        <f t="shared" si="5"/>
        <v>NO</v>
      </c>
      <c r="S27" s="359">
        <f t="shared" si="6"/>
        <v>2</v>
      </c>
      <c r="T27" s="360">
        <f t="shared" si="7"/>
        <v>1684.3200000000002</v>
      </c>
      <c r="U27" s="361" t="str">
        <f t="shared" si="8"/>
        <v>--</v>
      </c>
      <c r="V27" s="362" t="str">
        <f t="shared" si="9"/>
        <v>--</v>
      </c>
      <c r="W27" s="363" t="str">
        <f t="shared" si="10"/>
        <v>--</v>
      </c>
      <c r="X27" s="364" t="str">
        <f t="shared" si="11"/>
        <v>--</v>
      </c>
      <c r="Y27" s="365" t="str">
        <f t="shared" si="12"/>
        <v>--</v>
      </c>
      <c r="Z27" s="366" t="str">
        <f t="shared" si="13"/>
        <v>--</v>
      </c>
      <c r="AA27" s="367" t="str">
        <f t="shared" si="14"/>
        <v>--</v>
      </c>
      <c r="AB27" s="368" t="s">
        <v>240</v>
      </c>
      <c r="AC27" s="16">
        <f t="shared" si="15"/>
        <v>1684.3200000000002</v>
      </c>
      <c r="AD27" s="17"/>
      <c r="AE27" s="15"/>
    </row>
    <row r="28" spans="1:30" s="5" customFormat="1" ht="16.5" customHeight="1">
      <c r="A28" s="90"/>
      <c r="B28" s="95"/>
      <c r="C28" s="340">
        <v>15</v>
      </c>
      <c r="D28" s="340">
        <v>210960</v>
      </c>
      <c r="E28" s="340">
        <v>81</v>
      </c>
      <c r="F28" s="153" t="s">
        <v>316</v>
      </c>
      <c r="G28" s="354" t="s">
        <v>313</v>
      </c>
      <c r="H28" s="355">
        <v>300</v>
      </c>
      <c r="I28" s="356" t="s">
        <v>144</v>
      </c>
      <c r="J28" s="357">
        <f t="shared" si="0"/>
        <v>95.7</v>
      </c>
      <c r="K28" s="158">
        <v>40068.31875</v>
      </c>
      <c r="L28" s="158">
        <v>40068.592361111114</v>
      </c>
      <c r="M28" s="358">
        <f t="shared" si="1"/>
        <v>6.56666666676756</v>
      </c>
      <c r="N28" s="14">
        <f t="shared" si="2"/>
        <v>394</v>
      </c>
      <c r="O28" s="159" t="s">
        <v>303</v>
      </c>
      <c r="P28" s="584" t="str">
        <f t="shared" si="3"/>
        <v>--</v>
      </c>
      <c r="Q28" s="8" t="str">
        <f t="shared" si="4"/>
        <v>--</v>
      </c>
      <c r="R28" s="263" t="str">
        <f t="shared" si="5"/>
        <v>NO</v>
      </c>
      <c r="S28" s="359">
        <f t="shared" si="6"/>
        <v>2</v>
      </c>
      <c r="T28" s="360">
        <f t="shared" si="7"/>
        <v>1257.498</v>
      </c>
      <c r="U28" s="361" t="str">
        <f t="shared" si="8"/>
        <v>--</v>
      </c>
      <c r="V28" s="362" t="str">
        <f t="shared" si="9"/>
        <v>--</v>
      </c>
      <c r="W28" s="363" t="str">
        <f t="shared" si="10"/>
        <v>--</v>
      </c>
      <c r="X28" s="364" t="str">
        <f t="shared" si="11"/>
        <v>--</v>
      </c>
      <c r="Y28" s="365" t="str">
        <f t="shared" si="12"/>
        <v>--</v>
      </c>
      <c r="Z28" s="366" t="str">
        <f t="shared" si="13"/>
        <v>--</v>
      </c>
      <c r="AA28" s="367" t="str">
        <f t="shared" si="14"/>
        <v>--</v>
      </c>
      <c r="AB28" s="368" t="s">
        <v>240</v>
      </c>
      <c r="AC28" s="16">
        <f t="shared" si="15"/>
        <v>1257.498</v>
      </c>
      <c r="AD28" s="17"/>
    </row>
    <row r="29" spans="1:30" s="5" customFormat="1" ht="16.5" customHeight="1">
      <c r="A29" s="90"/>
      <c r="B29" s="95"/>
      <c r="C29" s="157">
        <v>16</v>
      </c>
      <c r="D29" s="157">
        <v>210965</v>
      </c>
      <c r="E29" s="157">
        <v>80</v>
      </c>
      <c r="F29" s="153" t="s">
        <v>317</v>
      </c>
      <c r="G29" s="354" t="s">
        <v>318</v>
      </c>
      <c r="H29" s="355">
        <v>150</v>
      </c>
      <c r="I29" s="356" t="s">
        <v>311</v>
      </c>
      <c r="J29" s="357">
        <f t="shared" si="0"/>
        <v>47.85</v>
      </c>
      <c r="K29" s="158">
        <v>40069.33611111111</v>
      </c>
      <c r="L29" s="158">
        <v>40069.34097222222</v>
      </c>
      <c r="M29" s="358">
        <f t="shared" si="1"/>
        <v>0.11666666669771075</v>
      </c>
      <c r="N29" s="14">
        <f t="shared" si="2"/>
        <v>7</v>
      </c>
      <c r="O29" s="159" t="s">
        <v>303</v>
      </c>
      <c r="P29" s="584" t="str">
        <f t="shared" si="3"/>
        <v>--</v>
      </c>
      <c r="Q29" s="8" t="str">
        <f t="shared" si="4"/>
        <v>--</v>
      </c>
      <c r="R29" s="263" t="str">
        <f t="shared" si="5"/>
        <v>NO</v>
      </c>
      <c r="S29" s="359">
        <f t="shared" si="6"/>
        <v>2</v>
      </c>
      <c r="T29" s="360">
        <f t="shared" si="7"/>
        <v>11.484</v>
      </c>
      <c r="U29" s="361" t="str">
        <f t="shared" si="8"/>
        <v>--</v>
      </c>
      <c r="V29" s="362" t="str">
        <f t="shared" si="9"/>
        <v>--</v>
      </c>
      <c r="W29" s="363" t="str">
        <f t="shared" si="10"/>
        <v>--</v>
      </c>
      <c r="X29" s="364" t="str">
        <f t="shared" si="11"/>
        <v>--</v>
      </c>
      <c r="Y29" s="365" t="str">
        <f t="shared" si="12"/>
        <v>--</v>
      </c>
      <c r="Z29" s="366" t="str">
        <f t="shared" si="13"/>
        <v>--</v>
      </c>
      <c r="AA29" s="367" t="str">
        <f t="shared" si="14"/>
        <v>--</v>
      </c>
      <c r="AB29" s="368" t="s">
        <v>240</v>
      </c>
      <c r="AC29" s="16">
        <f t="shared" si="15"/>
        <v>11.484</v>
      </c>
      <c r="AD29" s="17"/>
    </row>
    <row r="30" spans="1:30" s="5" customFormat="1" ht="16.5" customHeight="1">
      <c r="A30" s="90"/>
      <c r="B30" s="95"/>
      <c r="C30" s="340">
        <v>17</v>
      </c>
      <c r="D30" s="340">
        <v>211140</v>
      </c>
      <c r="E30" s="340">
        <v>76</v>
      </c>
      <c r="F30" s="153" t="s">
        <v>312</v>
      </c>
      <c r="G30" s="354" t="s">
        <v>319</v>
      </c>
      <c r="H30" s="355">
        <v>150</v>
      </c>
      <c r="I30" s="356" t="s">
        <v>366</v>
      </c>
      <c r="J30" s="357">
        <f t="shared" si="0"/>
        <v>47.85</v>
      </c>
      <c r="K30" s="158">
        <v>40072.37569444445</v>
      </c>
      <c r="L30" s="158">
        <v>40072.40625</v>
      </c>
      <c r="M30" s="358">
        <f t="shared" si="1"/>
        <v>0.7333333332790062</v>
      </c>
      <c r="N30" s="14">
        <f t="shared" si="2"/>
        <v>44</v>
      </c>
      <c r="O30" s="159" t="s">
        <v>303</v>
      </c>
      <c r="P30" s="584" t="str">
        <f t="shared" si="3"/>
        <v>--</v>
      </c>
      <c r="Q30" s="8" t="str">
        <f t="shared" si="4"/>
        <v>--</v>
      </c>
      <c r="R30" s="263" t="str">
        <f t="shared" si="5"/>
        <v>NO</v>
      </c>
      <c r="S30" s="359">
        <f t="shared" si="6"/>
        <v>2</v>
      </c>
      <c r="T30" s="360">
        <f t="shared" si="7"/>
        <v>69.861</v>
      </c>
      <c r="U30" s="361" t="str">
        <f t="shared" si="8"/>
        <v>--</v>
      </c>
      <c r="V30" s="362" t="str">
        <f t="shared" si="9"/>
        <v>--</v>
      </c>
      <c r="W30" s="363" t="str">
        <f t="shared" si="10"/>
        <v>--</v>
      </c>
      <c r="X30" s="364" t="str">
        <f t="shared" si="11"/>
        <v>--</v>
      </c>
      <c r="Y30" s="365" t="str">
        <f t="shared" si="12"/>
        <v>--</v>
      </c>
      <c r="Z30" s="366" t="str">
        <f t="shared" si="13"/>
        <v>--</v>
      </c>
      <c r="AA30" s="367" t="str">
        <f t="shared" si="14"/>
        <v>--</v>
      </c>
      <c r="AB30" s="368" t="s">
        <v>240</v>
      </c>
      <c r="AC30" s="16">
        <f t="shared" si="15"/>
        <v>69.861</v>
      </c>
      <c r="AD30" s="17"/>
    </row>
    <row r="31" spans="1:30" s="5" customFormat="1" ht="16.5" customHeight="1">
      <c r="A31" s="90"/>
      <c r="B31" s="95"/>
      <c r="C31" s="157">
        <v>18</v>
      </c>
      <c r="D31" s="157">
        <v>211149</v>
      </c>
      <c r="E31" s="157">
        <v>4574</v>
      </c>
      <c r="F31" s="153" t="s">
        <v>367</v>
      </c>
      <c r="G31" s="370" t="s">
        <v>319</v>
      </c>
      <c r="H31" s="1042">
        <v>300</v>
      </c>
      <c r="I31" s="970" t="s">
        <v>311</v>
      </c>
      <c r="J31" s="357">
        <f t="shared" si="0"/>
        <v>95.7</v>
      </c>
      <c r="K31" s="158">
        <v>40075.330555555556</v>
      </c>
      <c r="L31" s="158">
        <v>40075.72152777778</v>
      </c>
      <c r="M31" s="358">
        <f t="shared" si="1"/>
        <v>9.383333333360497</v>
      </c>
      <c r="N31" s="14">
        <f t="shared" si="2"/>
        <v>563</v>
      </c>
      <c r="O31" s="159" t="s">
        <v>303</v>
      </c>
      <c r="P31" s="584" t="str">
        <f t="shared" si="3"/>
        <v>--</v>
      </c>
      <c r="Q31" s="8" t="str">
        <f t="shared" si="4"/>
        <v>--</v>
      </c>
      <c r="R31" s="263" t="str">
        <f t="shared" si="5"/>
        <v>NO</v>
      </c>
      <c r="S31" s="359">
        <f t="shared" si="6"/>
        <v>2</v>
      </c>
      <c r="T31" s="360">
        <f t="shared" si="7"/>
        <v>1795.332</v>
      </c>
      <c r="U31" s="361" t="str">
        <f t="shared" si="8"/>
        <v>--</v>
      </c>
      <c r="V31" s="362" t="str">
        <f t="shared" si="9"/>
        <v>--</v>
      </c>
      <c r="W31" s="363" t="str">
        <f t="shared" si="10"/>
        <v>--</v>
      </c>
      <c r="X31" s="364" t="str">
        <f t="shared" si="11"/>
        <v>--</v>
      </c>
      <c r="Y31" s="365" t="str">
        <f t="shared" si="12"/>
        <v>--</v>
      </c>
      <c r="Z31" s="366" t="str">
        <f t="shared" si="13"/>
        <v>--</v>
      </c>
      <c r="AA31" s="367" t="str">
        <f t="shared" si="14"/>
        <v>--</v>
      </c>
      <c r="AB31" s="368" t="s">
        <v>240</v>
      </c>
      <c r="AC31" s="16">
        <f t="shared" si="15"/>
        <v>1795.332</v>
      </c>
      <c r="AD31" s="17"/>
    </row>
    <row r="32" spans="1:30" s="5" customFormat="1" ht="16.5" customHeight="1">
      <c r="A32" s="90"/>
      <c r="B32" s="95"/>
      <c r="C32" s="340">
        <v>19</v>
      </c>
      <c r="D32" s="340">
        <v>211150</v>
      </c>
      <c r="E32" s="340">
        <v>61</v>
      </c>
      <c r="F32" s="153" t="s">
        <v>314</v>
      </c>
      <c r="G32" s="370" t="s">
        <v>315</v>
      </c>
      <c r="H32" s="355">
        <v>150</v>
      </c>
      <c r="I32" s="356" t="s">
        <v>311</v>
      </c>
      <c r="J32" s="357">
        <f t="shared" si="0"/>
        <v>47.85</v>
      </c>
      <c r="K32" s="158">
        <v>40075.33194444444</v>
      </c>
      <c r="L32" s="158">
        <v>40075.73611111111</v>
      </c>
      <c r="M32" s="358">
        <f t="shared" si="1"/>
        <v>9.700000000011642</v>
      </c>
      <c r="N32" s="14">
        <f t="shared" si="2"/>
        <v>582</v>
      </c>
      <c r="O32" s="159" t="s">
        <v>303</v>
      </c>
      <c r="P32" s="584" t="str">
        <f t="shared" si="3"/>
        <v>--</v>
      </c>
      <c r="Q32" s="8" t="str">
        <f t="shared" si="4"/>
        <v>--</v>
      </c>
      <c r="R32" s="263" t="str">
        <f t="shared" si="5"/>
        <v>NO</v>
      </c>
      <c r="S32" s="359">
        <f t="shared" si="6"/>
        <v>2</v>
      </c>
      <c r="T32" s="360">
        <f t="shared" si="7"/>
        <v>928.29</v>
      </c>
      <c r="U32" s="361" t="str">
        <f t="shared" si="8"/>
        <v>--</v>
      </c>
      <c r="V32" s="362" t="str">
        <f t="shared" si="9"/>
        <v>--</v>
      </c>
      <c r="W32" s="363" t="str">
        <f t="shared" si="10"/>
        <v>--</v>
      </c>
      <c r="X32" s="364" t="str">
        <f t="shared" si="11"/>
        <v>--</v>
      </c>
      <c r="Y32" s="365" t="str">
        <f t="shared" si="12"/>
        <v>--</v>
      </c>
      <c r="Z32" s="366" t="str">
        <f t="shared" si="13"/>
        <v>--</v>
      </c>
      <c r="AA32" s="367" t="str">
        <f t="shared" si="14"/>
        <v>--</v>
      </c>
      <c r="AB32" s="368" t="s">
        <v>240</v>
      </c>
      <c r="AC32" s="16">
        <f t="shared" si="15"/>
        <v>928.29</v>
      </c>
      <c r="AD32" s="17"/>
    </row>
    <row r="33" spans="1:30" s="5" customFormat="1" ht="16.5" customHeight="1">
      <c r="A33" s="90"/>
      <c r="B33" s="95"/>
      <c r="C33" s="157">
        <v>20</v>
      </c>
      <c r="D33" s="157">
        <v>211152</v>
      </c>
      <c r="E33" s="157">
        <v>4574</v>
      </c>
      <c r="F33" s="153" t="s">
        <v>367</v>
      </c>
      <c r="G33" s="370" t="s">
        <v>319</v>
      </c>
      <c r="H33" s="1042">
        <v>300</v>
      </c>
      <c r="I33" s="970" t="s">
        <v>311</v>
      </c>
      <c r="J33" s="357">
        <f t="shared" si="0"/>
        <v>95.7</v>
      </c>
      <c r="K33" s="158">
        <v>40076.31458333333</v>
      </c>
      <c r="L33" s="158">
        <v>40076.74166666667</v>
      </c>
      <c r="M33" s="358">
        <f t="shared" si="1"/>
        <v>10.250000000058208</v>
      </c>
      <c r="N33" s="14">
        <f t="shared" si="2"/>
        <v>615</v>
      </c>
      <c r="O33" s="159" t="s">
        <v>303</v>
      </c>
      <c r="P33" s="584" t="str">
        <f t="shared" si="3"/>
        <v>--</v>
      </c>
      <c r="Q33" s="8" t="str">
        <f t="shared" si="4"/>
        <v>--</v>
      </c>
      <c r="R33" s="263" t="str">
        <f t="shared" si="5"/>
        <v>NO</v>
      </c>
      <c r="S33" s="359">
        <f t="shared" si="6"/>
        <v>2</v>
      </c>
      <c r="T33" s="360">
        <f t="shared" si="7"/>
        <v>1961.8500000000001</v>
      </c>
      <c r="U33" s="361" t="str">
        <f t="shared" si="8"/>
        <v>--</v>
      </c>
      <c r="V33" s="362" t="str">
        <f t="shared" si="9"/>
        <v>--</v>
      </c>
      <c r="W33" s="363" t="str">
        <f t="shared" si="10"/>
        <v>--</v>
      </c>
      <c r="X33" s="364" t="str">
        <f t="shared" si="11"/>
        <v>--</v>
      </c>
      <c r="Y33" s="365" t="str">
        <f t="shared" si="12"/>
        <v>--</v>
      </c>
      <c r="Z33" s="366" t="str">
        <f t="shared" si="13"/>
        <v>--</v>
      </c>
      <c r="AA33" s="367" t="str">
        <f t="shared" si="14"/>
        <v>--</v>
      </c>
      <c r="AB33" s="368" t="s">
        <v>240</v>
      </c>
      <c r="AC33" s="16">
        <f t="shared" si="15"/>
        <v>1961.8500000000001</v>
      </c>
      <c r="AD33" s="17"/>
    </row>
    <row r="34" spans="1:30" s="5" customFormat="1" ht="16.5" customHeight="1">
      <c r="A34" s="90"/>
      <c r="B34" s="95"/>
      <c r="C34" s="340">
        <v>21</v>
      </c>
      <c r="D34" s="340">
        <v>211157</v>
      </c>
      <c r="E34" s="340">
        <v>61</v>
      </c>
      <c r="F34" s="153" t="s">
        <v>314</v>
      </c>
      <c r="G34" s="370" t="s">
        <v>315</v>
      </c>
      <c r="H34" s="355">
        <v>150</v>
      </c>
      <c r="I34" s="356" t="s">
        <v>311</v>
      </c>
      <c r="J34" s="357">
        <f t="shared" si="0"/>
        <v>47.85</v>
      </c>
      <c r="K34" s="158">
        <v>40076.33263888889</v>
      </c>
      <c r="L34" s="158">
        <v>40076.75069444445</v>
      </c>
      <c r="M34" s="358">
        <f t="shared" si="1"/>
        <v>10.03333333338378</v>
      </c>
      <c r="N34" s="14">
        <f t="shared" si="2"/>
        <v>602</v>
      </c>
      <c r="O34" s="159" t="s">
        <v>303</v>
      </c>
      <c r="P34" s="584" t="str">
        <f t="shared" si="3"/>
        <v>--</v>
      </c>
      <c r="Q34" s="8" t="str">
        <f t="shared" si="4"/>
        <v>--</v>
      </c>
      <c r="R34" s="263" t="str">
        <f t="shared" si="5"/>
        <v>NO</v>
      </c>
      <c r="S34" s="359">
        <f t="shared" si="6"/>
        <v>2</v>
      </c>
      <c r="T34" s="360">
        <f t="shared" si="7"/>
        <v>959.871</v>
      </c>
      <c r="U34" s="361" t="str">
        <f t="shared" si="8"/>
        <v>--</v>
      </c>
      <c r="V34" s="362" t="str">
        <f t="shared" si="9"/>
        <v>--</v>
      </c>
      <c r="W34" s="363" t="str">
        <f t="shared" si="10"/>
        <v>--</v>
      </c>
      <c r="X34" s="364" t="str">
        <f t="shared" si="11"/>
        <v>--</v>
      </c>
      <c r="Y34" s="365" t="str">
        <f t="shared" si="12"/>
        <v>--</v>
      </c>
      <c r="Z34" s="366" t="str">
        <f t="shared" si="13"/>
        <v>--</v>
      </c>
      <c r="AA34" s="367" t="str">
        <f t="shared" si="14"/>
        <v>--</v>
      </c>
      <c r="AB34" s="368" t="s">
        <v>240</v>
      </c>
      <c r="AC34" s="16">
        <f t="shared" si="15"/>
        <v>959.871</v>
      </c>
      <c r="AD34" s="17"/>
    </row>
    <row r="35" spans="1:30" s="5" customFormat="1" ht="16.5" customHeight="1">
      <c r="A35" s="90"/>
      <c r="B35" s="95"/>
      <c r="C35" s="157">
        <v>22</v>
      </c>
      <c r="D35" s="157">
        <v>211158</v>
      </c>
      <c r="E35" s="157">
        <v>61</v>
      </c>
      <c r="F35" s="153" t="s">
        <v>314</v>
      </c>
      <c r="G35" s="370" t="s">
        <v>315</v>
      </c>
      <c r="H35" s="355">
        <v>150</v>
      </c>
      <c r="I35" s="356" t="s">
        <v>311</v>
      </c>
      <c r="J35" s="357">
        <f t="shared" si="0"/>
        <v>47.85</v>
      </c>
      <c r="K35" s="158">
        <v>40076.751388888886</v>
      </c>
      <c r="L35" s="158">
        <v>40076.90833333333</v>
      </c>
      <c r="M35" s="358">
        <f t="shared" si="1"/>
        <v>3.766666666720994</v>
      </c>
      <c r="N35" s="14">
        <f t="shared" si="2"/>
        <v>226</v>
      </c>
      <c r="O35" s="159" t="s">
        <v>300</v>
      </c>
      <c r="P35" s="584" t="str">
        <f t="shared" si="3"/>
        <v>--</v>
      </c>
      <c r="Q35" s="263" t="s">
        <v>240</v>
      </c>
      <c r="R35" s="263" t="str">
        <f t="shared" si="5"/>
        <v>NO</v>
      </c>
      <c r="S35" s="359">
        <f t="shared" si="6"/>
        <v>20</v>
      </c>
      <c r="T35" s="360" t="str">
        <f t="shared" si="7"/>
        <v>--</v>
      </c>
      <c r="U35" s="361" t="str">
        <f t="shared" si="8"/>
        <v>--</v>
      </c>
      <c r="V35" s="362" t="str">
        <f t="shared" si="9"/>
        <v>--</v>
      </c>
      <c r="W35" s="363">
        <f t="shared" si="10"/>
        <v>3607.89</v>
      </c>
      <c r="X35" s="364" t="str">
        <f t="shared" si="11"/>
        <v>--</v>
      </c>
      <c r="Y35" s="365" t="str">
        <f t="shared" si="12"/>
        <v>--</v>
      </c>
      <c r="Z35" s="366" t="str">
        <f t="shared" si="13"/>
        <v>--</v>
      </c>
      <c r="AA35" s="367" t="str">
        <f t="shared" si="14"/>
        <v>--</v>
      </c>
      <c r="AB35" s="368" t="s">
        <v>240</v>
      </c>
      <c r="AC35" s="16">
        <f t="shared" si="15"/>
        <v>3607.89</v>
      </c>
      <c r="AD35" s="17"/>
    </row>
    <row r="36" spans="1:30" s="5" customFormat="1" ht="16.5" customHeight="1">
      <c r="A36" s="90"/>
      <c r="B36" s="95"/>
      <c r="C36" s="340">
        <v>23</v>
      </c>
      <c r="D36" s="340">
        <v>211335</v>
      </c>
      <c r="E36" s="340">
        <v>75</v>
      </c>
      <c r="F36" s="153" t="s">
        <v>312</v>
      </c>
      <c r="G36" s="370" t="s">
        <v>313</v>
      </c>
      <c r="H36" s="355">
        <v>150</v>
      </c>
      <c r="I36" s="356" t="s">
        <v>366</v>
      </c>
      <c r="J36" s="357">
        <f t="shared" si="0"/>
        <v>47.85</v>
      </c>
      <c r="K36" s="158">
        <v>40079.350694444445</v>
      </c>
      <c r="L36" s="158">
        <v>40079.72986111111</v>
      </c>
      <c r="M36" s="358">
        <f t="shared" si="1"/>
        <v>9.099999999976717</v>
      </c>
      <c r="N36" s="14">
        <f t="shared" si="2"/>
        <v>546</v>
      </c>
      <c r="O36" s="159" t="s">
        <v>303</v>
      </c>
      <c r="P36" s="584" t="str">
        <f t="shared" si="3"/>
        <v>--</v>
      </c>
      <c r="Q36" s="8" t="str">
        <f t="shared" si="4"/>
        <v>--</v>
      </c>
      <c r="R36" s="263" t="str">
        <f t="shared" si="5"/>
        <v>NO</v>
      </c>
      <c r="S36" s="359">
        <f t="shared" si="6"/>
        <v>2</v>
      </c>
      <c r="T36" s="360">
        <f t="shared" si="7"/>
        <v>870.87</v>
      </c>
      <c r="U36" s="361" t="str">
        <f t="shared" si="8"/>
        <v>--</v>
      </c>
      <c r="V36" s="362" t="str">
        <f t="shared" si="9"/>
        <v>--</v>
      </c>
      <c r="W36" s="363" t="str">
        <f t="shared" si="10"/>
        <v>--</v>
      </c>
      <c r="X36" s="364" t="str">
        <f t="shared" si="11"/>
        <v>--</v>
      </c>
      <c r="Y36" s="365" t="str">
        <f t="shared" si="12"/>
        <v>--</v>
      </c>
      <c r="Z36" s="366" t="str">
        <f t="shared" si="13"/>
        <v>--</v>
      </c>
      <c r="AA36" s="367" t="str">
        <f t="shared" si="14"/>
        <v>--</v>
      </c>
      <c r="AB36" s="368" t="s">
        <v>240</v>
      </c>
      <c r="AC36" s="16">
        <f t="shared" si="15"/>
        <v>870.87</v>
      </c>
      <c r="AD36" s="17"/>
    </row>
    <row r="37" spans="1:30" s="5" customFormat="1" ht="16.5" customHeight="1">
      <c r="A37" s="90"/>
      <c r="B37" s="95"/>
      <c r="C37" s="157">
        <v>24</v>
      </c>
      <c r="D37" s="157">
        <v>211338</v>
      </c>
      <c r="E37" s="157">
        <v>76</v>
      </c>
      <c r="F37" s="153" t="s">
        <v>312</v>
      </c>
      <c r="G37" s="370" t="s">
        <v>319</v>
      </c>
      <c r="H37" s="355">
        <v>150</v>
      </c>
      <c r="I37" s="356" t="s">
        <v>366</v>
      </c>
      <c r="J37" s="357">
        <f t="shared" si="0"/>
        <v>47.85</v>
      </c>
      <c r="K37" s="158">
        <v>40080.339583333334</v>
      </c>
      <c r="L37" s="158">
        <v>40080.71041666667</v>
      </c>
      <c r="M37" s="358">
        <f t="shared" si="1"/>
        <v>8.900000000023283</v>
      </c>
      <c r="N37" s="14">
        <f t="shared" si="2"/>
        <v>534</v>
      </c>
      <c r="O37" s="159" t="s">
        <v>303</v>
      </c>
      <c r="P37" s="584" t="str">
        <f t="shared" si="3"/>
        <v>--</v>
      </c>
      <c r="Q37" s="8" t="str">
        <f t="shared" si="4"/>
        <v>--</v>
      </c>
      <c r="R37" s="263" t="str">
        <f t="shared" si="5"/>
        <v>NO</v>
      </c>
      <c r="S37" s="359">
        <f t="shared" si="6"/>
        <v>2</v>
      </c>
      <c r="T37" s="360">
        <f t="shared" si="7"/>
        <v>851.73</v>
      </c>
      <c r="U37" s="361" t="str">
        <f t="shared" si="8"/>
        <v>--</v>
      </c>
      <c r="V37" s="362" t="str">
        <f t="shared" si="9"/>
        <v>--</v>
      </c>
      <c r="W37" s="363" t="str">
        <f t="shared" si="10"/>
        <v>--</v>
      </c>
      <c r="X37" s="364" t="str">
        <f t="shared" si="11"/>
        <v>--</v>
      </c>
      <c r="Y37" s="365" t="str">
        <f t="shared" si="12"/>
        <v>--</v>
      </c>
      <c r="Z37" s="366" t="str">
        <f t="shared" si="13"/>
        <v>--</v>
      </c>
      <c r="AA37" s="367" t="str">
        <f t="shared" si="14"/>
        <v>--</v>
      </c>
      <c r="AB37" s="368" t="s">
        <v>240</v>
      </c>
      <c r="AC37" s="16">
        <f t="shared" si="15"/>
        <v>851.73</v>
      </c>
      <c r="AD37" s="17"/>
    </row>
    <row r="38" spans="1:30" s="5" customFormat="1" ht="16.5" customHeight="1">
      <c r="A38" s="90"/>
      <c r="B38" s="95"/>
      <c r="C38" s="340">
        <v>25</v>
      </c>
      <c r="D38" s="340">
        <v>211350</v>
      </c>
      <c r="E38" s="340">
        <v>3803</v>
      </c>
      <c r="F38" s="153" t="s">
        <v>320</v>
      </c>
      <c r="G38" s="370" t="s">
        <v>313</v>
      </c>
      <c r="H38" s="355">
        <v>150</v>
      </c>
      <c r="I38" s="356" t="s">
        <v>144</v>
      </c>
      <c r="J38" s="357">
        <f t="shared" si="0"/>
        <v>47.85</v>
      </c>
      <c r="K38" s="158">
        <v>40082.76527777778</v>
      </c>
      <c r="L38" s="158">
        <v>40082.89444444444</v>
      </c>
      <c r="M38" s="358">
        <f t="shared" si="1"/>
        <v>3.099999999976717</v>
      </c>
      <c r="N38" s="14">
        <f t="shared" si="2"/>
        <v>186</v>
      </c>
      <c r="O38" s="159" t="s">
        <v>300</v>
      </c>
      <c r="P38" s="584" t="str">
        <f t="shared" si="3"/>
        <v>--</v>
      </c>
      <c r="Q38" s="8" t="str">
        <f t="shared" si="4"/>
        <v>NO</v>
      </c>
      <c r="R38" s="263" t="str">
        <f t="shared" si="5"/>
        <v>NO</v>
      </c>
      <c r="S38" s="359">
        <f t="shared" si="6"/>
        <v>20</v>
      </c>
      <c r="T38" s="360" t="str">
        <f t="shared" si="7"/>
        <v>--</v>
      </c>
      <c r="U38" s="361" t="str">
        <f t="shared" si="8"/>
        <v>--</v>
      </c>
      <c r="V38" s="362">
        <f t="shared" si="9"/>
        <v>957</v>
      </c>
      <c r="W38" s="363">
        <f t="shared" si="10"/>
        <v>2966.7000000000003</v>
      </c>
      <c r="X38" s="364" t="str">
        <f t="shared" si="11"/>
        <v>--</v>
      </c>
      <c r="Y38" s="365" t="str">
        <f t="shared" si="12"/>
        <v>--</v>
      </c>
      <c r="Z38" s="366" t="str">
        <f t="shared" si="13"/>
        <v>--</v>
      </c>
      <c r="AA38" s="367" t="str">
        <f t="shared" si="14"/>
        <v>--</v>
      </c>
      <c r="AB38" s="368" t="s">
        <v>240</v>
      </c>
      <c r="AC38" s="16">
        <f t="shared" si="15"/>
        <v>3923.7000000000003</v>
      </c>
      <c r="AD38" s="17"/>
    </row>
    <row r="39" spans="1:30" s="5" customFormat="1" ht="16.5" customHeight="1">
      <c r="A39" s="90"/>
      <c r="B39" s="95"/>
      <c r="C39" s="157">
        <v>26</v>
      </c>
      <c r="D39" s="157">
        <v>211524</v>
      </c>
      <c r="E39" s="157">
        <v>3265</v>
      </c>
      <c r="F39" s="153" t="s">
        <v>321</v>
      </c>
      <c r="G39" s="370" t="s">
        <v>318</v>
      </c>
      <c r="H39" s="355">
        <v>150</v>
      </c>
      <c r="I39" s="356" t="s">
        <v>144</v>
      </c>
      <c r="J39" s="357">
        <f t="shared" si="0"/>
        <v>47.85</v>
      </c>
      <c r="K39" s="158">
        <v>40086.302777777775</v>
      </c>
      <c r="L39" s="158">
        <v>40086.44097222222</v>
      </c>
      <c r="M39" s="358">
        <f t="shared" si="1"/>
        <v>3.3166666666511446</v>
      </c>
      <c r="N39" s="14">
        <f t="shared" si="2"/>
        <v>199</v>
      </c>
      <c r="O39" s="159" t="s">
        <v>303</v>
      </c>
      <c r="P39" s="584" t="str">
        <f t="shared" si="3"/>
        <v>--</v>
      </c>
      <c r="Q39" s="8" t="str">
        <f t="shared" si="4"/>
        <v>--</v>
      </c>
      <c r="R39" s="263" t="str">
        <f t="shared" si="5"/>
        <v>NO</v>
      </c>
      <c r="S39" s="359">
        <f t="shared" si="6"/>
        <v>2</v>
      </c>
      <c r="T39" s="360">
        <f t="shared" si="7"/>
        <v>317.724</v>
      </c>
      <c r="U39" s="361" t="str">
        <f t="shared" si="8"/>
        <v>--</v>
      </c>
      <c r="V39" s="362" t="str">
        <f t="shared" si="9"/>
        <v>--</v>
      </c>
      <c r="W39" s="363" t="str">
        <f t="shared" si="10"/>
        <v>--</v>
      </c>
      <c r="X39" s="364" t="str">
        <f t="shared" si="11"/>
        <v>--</v>
      </c>
      <c r="Y39" s="365" t="str">
        <f t="shared" si="12"/>
        <v>--</v>
      </c>
      <c r="Z39" s="366" t="str">
        <f t="shared" si="13"/>
        <v>--</v>
      </c>
      <c r="AA39" s="367" t="str">
        <f t="shared" si="14"/>
        <v>--</v>
      </c>
      <c r="AB39" s="368" t="s">
        <v>240</v>
      </c>
      <c r="AC39" s="16">
        <f t="shared" si="15"/>
        <v>317.724</v>
      </c>
      <c r="AD39" s="17"/>
    </row>
    <row r="40" spans="1:30" s="5" customFormat="1" ht="16.5" customHeight="1">
      <c r="A40" s="90"/>
      <c r="B40" s="95"/>
      <c r="C40" s="340"/>
      <c r="D40" s="340"/>
      <c r="E40" s="340"/>
      <c r="F40" s="153"/>
      <c r="G40" s="370"/>
      <c r="H40" s="355"/>
      <c r="I40" s="356"/>
      <c r="J40" s="357">
        <f t="shared" si="0"/>
        <v>0</v>
      </c>
      <c r="K40" s="158"/>
      <c r="L40" s="158"/>
      <c r="M40" s="358">
        <f t="shared" si="1"/>
      </c>
      <c r="N40" s="14">
        <f t="shared" si="2"/>
      </c>
      <c r="O40" s="159"/>
      <c r="P40" s="584">
        <f t="shared" si="3"/>
      </c>
      <c r="Q40" s="8">
        <f t="shared" si="4"/>
      </c>
      <c r="R40" s="263">
        <f t="shared" si="5"/>
      </c>
      <c r="S40" s="359">
        <f t="shared" si="6"/>
        <v>20</v>
      </c>
      <c r="T40" s="360" t="str">
        <f t="shared" si="7"/>
        <v>--</v>
      </c>
      <c r="U40" s="361" t="str">
        <f t="shared" si="8"/>
        <v>--</v>
      </c>
      <c r="V40" s="362" t="str">
        <f t="shared" si="9"/>
        <v>--</v>
      </c>
      <c r="W40" s="363" t="str">
        <f t="shared" si="10"/>
        <v>--</v>
      </c>
      <c r="X40" s="364" t="str">
        <f t="shared" si="11"/>
        <v>--</v>
      </c>
      <c r="Y40" s="365" t="str">
        <f t="shared" si="12"/>
        <v>--</v>
      </c>
      <c r="Z40" s="366" t="str">
        <f t="shared" si="13"/>
        <v>--</v>
      </c>
      <c r="AA40" s="367" t="str">
        <f t="shared" si="14"/>
        <v>--</v>
      </c>
      <c r="AB40" s="368">
        <f>IF(F40="","","SI")</f>
      </c>
      <c r="AC40" s="16">
        <f t="shared" si="15"/>
      </c>
      <c r="AD40" s="17"/>
    </row>
    <row r="41" spans="1:30" s="5" customFormat="1" ht="16.5" customHeight="1" thickBot="1">
      <c r="A41" s="90"/>
      <c r="B41" s="95"/>
      <c r="C41" s="157"/>
      <c r="D41" s="157"/>
      <c r="E41" s="157"/>
      <c r="F41" s="371"/>
      <c r="G41" s="372"/>
      <c r="H41" s="371"/>
      <c r="I41" s="373"/>
      <c r="J41" s="131"/>
      <c r="K41" s="160"/>
      <c r="L41" s="374"/>
      <c r="M41" s="375"/>
      <c r="N41" s="376"/>
      <c r="O41" s="163"/>
      <c r="P41" s="195"/>
      <c r="Q41" s="161"/>
      <c r="R41" s="163"/>
      <c r="S41" s="377"/>
      <c r="T41" s="378"/>
      <c r="U41" s="379"/>
      <c r="V41" s="380"/>
      <c r="W41" s="381"/>
      <c r="X41" s="382"/>
      <c r="Y41" s="383"/>
      <c r="Z41" s="384"/>
      <c r="AA41" s="385"/>
      <c r="AB41" s="386"/>
      <c r="AC41" s="387"/>
      <c r="AD41" s="17"/>
    </row>
    <row r="42" spans="1:30" s="5" customFormat="1" ht="16.5" customHeight="1" thickBot="1" thickTop="1">
      <c r="A42" s="90"/>
      <c r="B42" s="95"/>
      <c r="C42" s="127" t="s">
        <v>25</v>
      </c>
      <c r="D42" s="973" t="s">
        <v>361</v>
      </c>
      <c r="E42" s="127"/>
      <c r="F42" s="128"/>
      <c r="G42" s="15"/>
      <c r="H42" s="15"/>
      <c r="I42" s="15"/>
      <c r="J42" s="15"/>
      <c r="K42" s="15"/>
      <c r="L42" s="99"/>
      <c r="M42" s="15"/>
      <c r="N42" s="15"/>
      <c r="O42" s="15"/>
      <c r="P42" s="15"/>
      <c r="Q42" s="15"/>
      <c r="R42" s="15"/>
      <c r="S42" s="15"/>
      <c r="T42" s="388">
        <f aca="true" t="shared" si="16" ref="T42:AA42">SUM(T20:T41)</f>
        <v>14955.996000000001</v>
      </c>
      <c r="U42" s="389">
        <f t="shared" si="16"/>
        <v>0</v>
      </c>
      <c r="V42" s="390">
        <f t="shared" si="16"/>
        <v>957</v>
      </c>
      <c r="W42" s="391">
        <f t="shared" si="16"/>
        <v>6574.59</v>
      </c>
      <c r="X42" s="392">
        <f t="shared" si="16"/>
        <v>0</v>
      </c>
      <c r="Y42" s="393">
        <f t="shared" si="16"/>
        <v>0</v>
      </c>
      <c r="Z42" s="394">
        <f t="shared" si="16"/>
        <v>0</v>
      </c>
      <c r="AA42" s="395">
        <f t="shared" si="16"/>
        <v>0</v>
      </c>
      <c r="AB42" s="90"/>
      <c r="AC42" s="396">
        <f>ROUND(SUM(AC20:AC41),2)</f>
        <v>22487.59</v>
      </c>
      <c r="AD42" s="17"/>
    </row>
    <row r="43" spans="1:30" s="5" customFormat="1" ht="16.5" customHeight="1" thickBot="1" thickTop="1">
      <c r="A43" s="90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3"/>
    </row>
    <row r="44" spans="1:31" ht="16.5" customHeight="1" thickTop="1">
      <c r="A44" s="2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1:31" ht="16.5" customHeight="1">
      <c r="A45" s="2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</row>
    <row r="46" spans="1:31" ht="16.5" customHeight="1">
      <c r="A46" s="2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</row>
    <row r="47" spans="1:31" ht="16.5" customHeight="1">
      <c r="A47" s="2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</row>
    <row r="48" spans="6:31" ht="16.5" customHeight="1"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</row>
    <row r="49" spans="6:31" ht="16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</row>
    <row r="50" spans="6:31" ht="16.5" customHeight="1"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</row>
    <row r="51" spans="6:31" ht="16.5" customHeight="1"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</row>
    <row r="52" spans="6:31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</row>
    <row r="53" spans="6:31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</row>
    <row r="54" spans="6:31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</row>
    <row r="55" spans="6:31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</row>
    <row r="56" spans="6:31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</row>
    <row r="57" spans="6:31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</row>
    <row r="58" spans="6:31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</row>
    <row r="59" spans="6:31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</row>
    <row r="60" spans="6:31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</row>
    <row r="61" spans="6:31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</row>
    <row r="62" spans="6:31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</row>
    <row r="63" spans="6:31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</row>
    <row r="64" spans="6:31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</row>
    <row r="65" spans="6:31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</row>
    <row r="66" spans="6:31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</row>
    <row r="67" spans="6:31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</row>
    <row r="68" spans="6:31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</row>
    <row r="69" spans="6:31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</row>
    <row r="70" spans="6:31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</row>
    <row r="71" spans="6:31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</row>
    <row r="72" spans="6:31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</row>
    <row r="73" spans="6:31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</row>
    <row r="74" spans="6:31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</row>
    <row r="75" spans="6:31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</row>
    <row r="76" spans="6:31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</row>
    <row r="77" spans="6:31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6:31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</row>
    <row r="79" spans="6:31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</row>
    <row r="80" spans="6:31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6:31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6:31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6:31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6:31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6:31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6:31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6:31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6:31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6:31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6:31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6:31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6:31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6:31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6:31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</row>
    <row r="95" spans="6:31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</row>
    <row r="96" spans="6:31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</row>
    <row r="97" spans="6:31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</row>
    <row r="98" spans="6:31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</row>
    <row r="99" spans="6:31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</row>
    <row r="100" spans="6:31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</row>
    <row r="101" spans="6:31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</row>
    <row r="102" spans="6:31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</row>
    <row r="103" spans="6:31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</row>
    <row r="104" spans="6:31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</row>
    <row r="105" spans="6:31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</row>
    <row r="106" spans="6:31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</row>
    <row r="107" spans="6:31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</row>
    <row r="108" spans="6:31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</row>
    <row r="109" spans="6:31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</row>
    <row r="110" spans="6:31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</row>
    <row r="111" spans="6:31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</row>
    <row r="112" spans="6:31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</row>
    <row r="113" spans="6:31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</row>
    <row r="114" spans="6:31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</row>
    <row r="115" spans="6:31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</row>
    <row r="116" spans="6:31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</row>
    <row r="117" spans="6:31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</row>
    <row r="118" spans="6:31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</row>
    <row r="119" spans="6:31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</row>
    <row r="120" spans="6:31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</row>
    <row r="121" spans="6:31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6:31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6:31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6:31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6:31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6:31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6:31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6:31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6:31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</row>
    <row r="130" spans="6:31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6:31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</row>
    <row r="132" spans="6:31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</row>
    <row r="133" spans="6:31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</row>
    <row r="134" spans="6:31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6:31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</row>
    <row r="136" spans="6:31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</row>
    <row r="137" spans="6:31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</row>
    <row r="138" spans="6:31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</row>
    <row r="139" spans="6:31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</row>
    <row r="140" spans="6:31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</row>
    <row r="141" spans="6:31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</row>
    <row r="142" spans="6:31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</row>
    <row r="143" spans="6:31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</row>
    <row r="144" spans="6:31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</row>
    <row r="145" spans="6:31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</row>
    <row r="146" spans="6:31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</row>
    <row r="147" spans="6:31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</row>
    <row r="148" spans="6:31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</row>
    <row r="149" spans="6:31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</row>
    <row r="150" spans="6:31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</row>
    <row r="151" spans="6:31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</row>
    <row r="152" ht="16.5" customHeight="1">
      <c r="AE152" s="177"/>
    </row>
    <row r="153" ht="16.5" customHeight="1">
      <c r="AE153" s="177"/>
    </row>
    <row r="154" ht="16.5" customHeight="1">
      <c r="AE154" s="177"/>
    </row>
    <row r="155" ht="16.5" customHeight="1">
      <c r="AE155" s="177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E156"/>
  <sheetViews>
    <sheetView zoomScale="70" zoomScaleNormal="70" workbookViewId="0" topLeftCell="A1">
      <selection activeCell="F54" sqref="F5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9"/>
    </row>
    <row r="2" spans="1:30" s="18" customFormat="1" ht="26.25">
      <c r="A2" s="91"/>
      <c r="B2" s="309" t="str">
        <f>'TOT-0909'!B2</f>
        <v>ANEXO IV al Memorandum  D.T.E.E. N° 256/2011</v>
      </c>
      <c r="C2" s="309"/>
      <c r="D2" s="309"/>
      <c r="E2" s="309"/>
      <c r="F2" s="309"/>
      <c r="G2" s="1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310" t="s">
        <v>83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310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311" t="s">
        <v>69</v>
      </c>
      <c r="G8" s="105"/>
      <c r="H8" s="105"/>
      <c r="I8" s="312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313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901" customFormat="1" ht="30" customHeight="1">
      <c r="A10" s="895"/>
      <c r="B10" s="896"/>
      <c r="C10" s="899"/>
      <c r="D10" s="899"/>
      <c r="E10" s="895"/>
      <c r="F10" s="897" t="s">
        <v>253</v>
      </c>
      <c r="G10" s="895"/>
      <c r="H10" s="898"/>
      <c r="I10" s="899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9"/>
      <c r="U10" s="899"/>
      <c r="V10" s="899"/>
      <c r="W10" s="899"/>
      <c r="X10" s="899"/>
      <c r="Y10" s="899"/>
      <c r="Z10" s="899"/>
      <c r="AA10" s="899"/>
      <c r="AB10" s="899"/>
      <c r="AC10" s="899"/>
      <c r="AD10" s="900"/>
    </row>
    <row r="11" spans="1:30" s="906" customFormat="1" ht="9.75" customHeight="1">
      <c r="A11" s="902"/>
      <c r="B11" s="903"/>
      <c r="C11" s="904"/>
      <c r="D11" s="904"/>
      <c r="E11" s="902"/>
      <c r="G11" s="904"/>
      <c r="H11" s="904"/>
      <c r="I11" s="904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4"/>
      <c r="U11" s="904"/>
      <c r="V11" s="904"/>
      <c r="W11" s="904"/>
      <c r="X11" s="904"/>
      <c r="Y11" s="904"/>
      <c r="Z11" s="904"/>
      <c r="AA11" s="904"/>
      <c r="AB11" s="904"/>
      <c r="AC11" s="904"/>
      <c r="AD11" s="905"/>
    </row>
    <row r="12" spans="1:30" s="906" customFormat="1" ht="21" customHeight="1">
      <c r="A12" s="895"/>
      <c r="B12" s="896"/>
      <c r="C12" s="899"/>
      <c r="D12" s="899"/>
      <c r="E12" s="895"/>
      <c r="F12" s="897" t="s">
        <v>397</v>
      </c>
      <c r="G12" s="895"/>
      <c r="H12" s="895"/>
      <c r="I12" s="895"/>
      <c r="J12" s="908"/>
      <c r="K12" s="908"/>
      <c r="L12" s="908"/>
      <c r="M12" s="908"/>
      <c r="N12" s="908"/>
      <c r="O12" s="902"/>
      <c r="P12" s="902"/>
      <c r="Q12" s="902"/>
      <c r="R12" s="902"/>
      <c r="S12" s="902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5"/>
    </row>
    <row r="13" spans="1:30" s="5" customFormat="1" ht="12.75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9"/>
      <c r="B14" s="37" t="str">
        <f>'TOT-0909'!B14</f>
        <v>Desde el 01 al 30 de septiembre de 2009</v>
      </c>
      <c r="C14" s="40"/>
      <c r="D14" s="40"/>
      <c r="E14" s="314"/>
      <c r="F14" s="112"/>
      <c r="G14" s="112"/>
      <c r="H14" s="112"/>
      <c r="I14" s="112"/>
      <c r="J14" s="112"/>
      <c r="K14" s="112"/>
      <c r="L14" s="112"/>
      <c r="M14" s="112"/>
      <c r="N14" s="112"/>
      <c r="O14" s="314"/>
      <c r="P14" s="314"/>
      <c r="Q14" s="314"/>
      <c r="R14" s="314"/>
      <c r="S14" s="314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315"/>
    </row>
    <row r="15" spans="1:30" s="5" customFormat="1" ht="13.5" thickBot="1">
      <c r="A15" s="90"/>
      <c r="B15" s="95"/>
      <c r="C15" s="15"/>
      <c r="D15" s="15"/>
      <c r="E15" s="90"/>
      <c r="F15" s="15"/>
      <c r="G15" s="15"/>
      <c r="H15" s="15"/>
      <c r="I15" s="98"/>
      <c r="J15" s="15"/>
      <c r="K15" s="15"/>
      <c r="L15" s="15"/>
      <c r="M15" s="15"/>
      <c r="N15" s="15"/>
      <c r="O15" s="90"/>
      <c r="P15" s="90"/>
      <c r="Q15" s="90"/>
      <c r="R15" s="90"/>
      <c r="S15" s="9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90"/>
      <c r="B16" s="95"/>
      <c r="C16" s="15"/>
      <c r="D16" s="15"/>
      <c r="E16" s="90"/>
      <c r="F16" s="316" t="s">
        <v>84</v>
      </c>
      <c r="G16" s="317"/>
      <c r="H16" s="318">
        <v>0.319</v>
      </c>
      <c r="J16" s="90"/>
      <c r="K16" s="90"/>
      <c r="L16" s="90"/>
      <c r="M16" s="90"/>
      <c r="N16" s="90"/>
      <c r="O16" s="90"/>
      <c r="P16" s="9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90"/>
      <c r="B17" s="95"/>
      <c r="C17" s="15"/>
      <c r="D17" s="15"/>
      <c r="E17" s="90"/>
      <c r="F17" s="110" t="s">
        <v>26</v>
      </c>
      <c r="G17" s="111"/>
      <c r="H17" s="882">
        <v>200</v>
      </c>
      <c r="I17"/>
      <c r="J17" s="15"/>
      <c r="K17" s="214"/>
      <c r="L17" s="215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9"/>
      <c r="X17" s="99"/>
      <c r="Y17" s="99"/>
      <c r="Z17" s="99"/>
      <c r="AA17" s="99"/>
      <c r="AB17" s="99"/>
      <c r="AC17" s="90"/>
      <c r="AD17" s="17"/>
    </row>
    <row r="18" spans="1:30" s="5" customFormat="1" ht="16.5" customHeight="1" thickBot="1" thickTop="1">
      <c r="A18" s="90"/>
      <c r="B18" s="95"/>
      <c r="C18" s="968">
        <v>3</v>
      </c>
      <c r="D18" s="968">
        <v>4</v>
      </c>
      <c r="E18" s="968">
        <v>5</v>
      </c>
      <c r="F18" s="968">
        <v>6</v>
      </c>
      <c r="G18" s="968">
        <v>7</v>
      </c>
      <c r="H18" s="968">
        <v>8</v>
      </c>
      <c r="I18" s="968">
        <v>9</v>
      </c>
      <c r="J18" s="968">
        <v>10</v>
      </c>
      <c r="K18" s="968">
        <v>11</v>
      </c>
      <c r="L18" s="968">
        <v>12</v>
      </c>
      <c r="M18" s="968">
        <v>13</v>
      </c>
      <c r="N18" s="968">
        <v>14</v>
      </c>
      <c r="O18" s="968">
        <v>15</v>
      </c>
      <c r="P18" s="968">
        <v>16</v>
      </c>
      <c r="Q18" s="968">
        <v>17</v>
      </c>
      <c r="R18" s="968">
        <v>18</v>
      </c>
      <c r="S18" s="968">
        <v>19</v>
      </c>
      <c r="T18" s="968">
        <v>20</v>
      </c>
      <c r="U18" s="968">
        <v>21</v>
      </c>
      <c r="V18" s="968">
        <v>22</v>
      </c>
      <c r="W18" s="968">
        <v>23</v>
      </c>
      <c r="X18" s="968">
        <v>24</v>
      </c>
      <c r="Y18" s="968">
        <v>25</v>
      </c>
      <c r="Z18" s="968">
        <v>26</v>
      </c>
      <c r="AA18" s="968">
        <v>27</v>
      </c>
      <c r="AB18" s="968">
        <v>28</v>
      </c>
      <c r="AC18" s="968">
        <v>29</v>
      </c>
      <c r="AD18" s="17"/>
    </row>
    <row r="19" spans="1:30" s="5" customFormat="1" ht="33.75" customHeight="1" thickBot="1" thickTop="1">
      <c r="A19" s="90"/>
      <c r="B19" s="95"/>
      <c r="C19" s="123" t="s">
        <v>13</v>
      </c>
      <c r="D19" s="84" t="s">
        <v>264</v>
      </c>
      <c r="E19" s="84" t="s">
        <v>265</v>
      </c>
      <c r="F19" s="119" t="s">
        <v>27</v>
      </c>
      <c r="G19" s="118" t="s">
        <v>28</v>
      </c>
      <c r="H19" s="120" t="s">
        <v>29</v>
      </c>
      <c r="I19" s="121" t="s">
        <v>14</v>
      </c>
      <c r="J19" s="129" t="s">
        <v>16</v>
      </c>
      <c r="K19" s="118" t="s">
        <v>17</v>
      </c>
      <c r="L19" s="118" t="s">
        <v>18</v>
      </c>
      <c r="M19" s="119" t="s">
        <v>30</v>
      </c>
      <c r="N19" s="119" t="s">
        <v>31</v>
      </c>
      <c r="O19" s="88" t="s">
        <v>19</v>
      </c>
      <c r="P19" s="88" t="s">
        <v>58</v>
      </c>
      <c r="Q19" s="122" t="s">
        <v>32</v>
      </c>
      <c r="R19" s="118" t="s">
        <v>33</v>
      </c>
      <c r="S19" s="319" t="s">
        <v>37</v>
      </c>
      <c r="T19" s="320" t="s">
        <v>20</v>
      </c>
      <c r="U19" s="321" t="s">
        <v>21</v>
      </c>
      <c r="V19" s="224" t="s">
        <v>85</v>
      </c>
      <c r="W19" s="226"/>
      <c r="X19" s="322" t="s">
        <v>86</v>
      </c>
      <c r="Y19" s="323"/>
      <c r="Z19" s="324" t="s">
        <v>22</v>
      </c>
      <c r="AA19" s="325" t="s">
        <v>81</v>
      </c>
      <c r="AB19" s="134" t="s">
        <v>82</v>
      </c>
      <c r="AC19" s="121" t="s">
        <v>24</v>
      </c>
      <c r="AD19" s="17"/>
    </row>
    <row r="20" spans="1:30" s="5" customFormat="1" ht="16.5" customHeight="1" thickTop="1">
      <c r="A20" s="90"/>
      <c r="B20" s="95"/>
      <c r="C20" s="326"/>
      <c r="D20" s="326"/>
      <c r="E20" s="326"/>
      <c r="F20" s="326"/>
      <c r="G20" s="326"/>
      <c r="H20" s="326"/>
      <c r="I20" s="327"/>
      <c r="J20" s="328"/>
      <c r="K20" s="326"/>
      <c r="L20" s="326"/>
      <c r="M20" s="326"/>
      <c r="N20" s="326"/>
      <c r="O20" s="326"/>
      <c r="P20" s="184"/>
      <c r="Q20" s="329"/>
      <c r="R20" s="326"/>
      <c r="S20" s="330"/>
      <c r="T20" s="331"/>
      <c r="U20" s="332"/>
      <c r="V20" s="333"/>
      <c r="W20" s="334"/>
      <c r="X20" s="335"/>
      <c r="Y20" s="336"/>
      <c r="Z20" s="337"/>
      <c r="AA20" s="338"/>
      <c r="AB20" s="329"/>
      <c r="AC20" s="339"/>
      <c r="AD20" s="17"/>
    </row>
    <row r="21" spans="1:30" s="5" customFormat="1" ht="16.5" customHeight="1">
      <c r="A21" s="90"/>
      <c r="B21" s="95"/>
      <c r="C21" s="340"/>
      <c r="D21" s="340"/>
      <c r="E21" s="340"/>
      <c r="F21" s="340"/>
      <c r="G21" s="340"/>
      <c r="H21" s="340"/>
      <c r="I21" s="341"/>
      <c r="J21" s="342"/>
      <c r="K21" s="340"/>
      <c r="L21" s="340"/>
      <c r="M21" s="340"/>
      <c r="N21" s="340"/>
      <c r="O21" s="340"/>
      <c r="P21" s="187"/>
      <c r="Q21" s="343"/>
      <c r="R21" s="340"/>
      <c r="S21" s="344"/>
      <c r="T21" s="345"/>
      <c r="U21" s="346"/>
      <c r="V21" s="347"/>
      <c r="W21" s="348"/>
      <c r="X21" s="349"/>
      <c r="Y21" s="350"/>
      <c r="Z21" s="351"/>
      <c r="AA21" s="352"/>
      <c r="AB21" s="343"/>
      <c r="AC21" s="353"/>
      <c r="AD21" s="17"/>
    </row>
    <row r="22" spans="1:30" s="5" customFormat="1" ht="16.5" customHeight="1">
      <c r="A22" s="90"/>
      <c r="B22" s="95"/>
      <c r="C22" s="157">
        <v>8</v>
      </c>
      <c r="D22" s="157">
        <v>202170</v>
      </c>
      <c r="E22" s="157">
        <v>1689</v>
      </c>
      <c r="F22" s="1089" t="s">
        <v>309</v>
      </c>
      <c r="G22" s="1090" t="s">
        <v>310</v>
      </c>
      <c r="H22" s="1091">
        <v>150</v>
      </c>
      <c r="I22" s="1092" t="s">
        <v>311</v>
      </c>
      <c r="J22" s="1093">
        <f>H22*$H$16</f>
        <v>47.85</v>
      </c>
      <c r="K22" s="158">
        <v>40057</v>
      </c>
      <c r="L22" s="158">
        <v>40086.99998842592</v>
      </c>
      <c r="M22" s="358">
        <f>IF(F22="","",(L22-K22)*24)</f>
        <v>719.9997222221573</v>
      </c>
      <c r="N22" s="14">
        <f>IF(F22="","",ROUND((L22-K22)*24*60,0))</f>
        <v>43200</v>
      </c>
      <c r="O22" s="159" t="s">
        <v>303</v>
      </c>
      <c r="P22" s="1094" t="str">
        <f>IF(F22="","","--")</f>
        <v>--</v>
      </c>
      <c r="Q22" s="1095" t="str">
        <f>IF(F22="","",IF(OR(O22="P",O22="RP"),"--","NO"))</f>
        <v>--</v>
      </c>
      <c r="R22" s="13" t="str">
        <f>IF(F22="","","NO")</f>
        <v>NO</v>
      </c>
      <c r="S22" s="1096">
        <f>$H$17*IF(OR(O22="P",O22="RP"),0.1,1)*IF(R22="SI",1,0.1)</f>
        <v>2</v>
      </c>
      <c r="T22" s="1101">
        <f>IF(O22="P",J22*S22*ROUND(N22/60,2),"--")</f>
        <v>68904</v>
      </c>
      <c r="U22" s="1102" t="str">
        <f>IF(O22="RP",J22*S22*P22/100*ROUND(N22/60,2),"--")</f>
        <v>--</v>
      </c>
      <c r="V22" s="1103" t="str">
        <f>IF(AND(O22="F",Q22="NO"),J22*S22,"--")</f>
        <v>--</v>
      </c>
      <c r="W22" s="1104" t="str">
        <f>IF(O22="F",J22*S22*ROUND(N22/60,2),"--")</f>
        <v>--</v>
      </c>
      <c r="X22" s="1105" t="str">
        <f>IF(AND(O22="R",Q22="NO"),J22*S22*P22/100,"--")</f>
        <v>--</v>
      </c>
      <c r="Y22" s="1106" t="str">
        <f>IF(O22="R",J22*S22*P22/100*ROUND(N22/60,2),"--")</f>
        <v>--</v>
      </c>
      <c r="Z22" s="1107" t="str">
        <f>IF(O22="RF",J22*S22*ROUND(N22/60,2),"--")</f>
        <v>--</v>
      </c>
      <c r="AA22" s="1108" t="str">
        <f>IF(O22="RR",J22*S22*P22/100*ROUND(N22/60,2),"--")</f>
        <v>--</v>
      </c>
      <c r="AB22" s="368" t="s">
        <v>240</v>
      </c>
      <c r="AC22" s="16">
        <f>IF(F22="","",(SUM(T22:AA22)*IF(AB22="SI",1,2)*IF(AND(P22&lt;&gt;"--",O22="RF"),P22/100,1)))</f>
        <v>68904</v>
      </c>
      <c r="AD22" s="17"/>
    </row>
    <row r="23" spans="1:30" s="5" customFormat="1" ht="16.5" customHeight="1">
      <c r="A23" s="90"/>
      <c r="B23" s="95"/>
      <c r="C23" s="340"/>
      <c r="D23" s="340"/>
      <c r="E23" s="340"/>
      <c r="F23" s="153"/>
      <c r="G23" s="354"/>
      <c r="H23" s="355"/>
      <c r="I23" s="356"/>
      <c r="J23" s="357"/>
      <c r="K23" s="158"/>
      <c r="L23" s="158"/>
      <c r="M23" s="358"/>
      <c r="N23" s="14"/>
      <c r="O23" s="159"/>
      <c r="P23" s="584"/>
      <c r="Q23" s="8"/>
      <c r="R23" s="263"/>
      <c r="S23" s="359"/>
      <c r="T23" s="360"/>
      <c r="U23" s="361"/>
      <c r="V23" s="362"/>
      <c r="W23" s="363"/>
      <c r="X23" s="364"/>
      <c r="Y23" s="365"/>
      <c r="Z23" s="366"/>
      <c r="AA23" s="367"/>
      <c r="AB23" s="368"/>
      <c r="AC23" s="16"/>
      <c r="AD23" s="17"/>
    </row>
    <row r="24" spans="1:30" s="5" customFormat="1" ht="16.5" customHeight="1">
      <c r="A24" s="90"/>
      <c r="B24" s="95"/>
      <c r="C24" s="157"/>
      <c r="D24" s="157"/>
      <c r="E24" s="157"/>
      <c r="F24" s="153"/>
      <c r="G24" s="354"/>
      <c r="H24" s="355"/>
      <c r="I24" s="356"/>
      <c r="J24" s="357"/>
      <c r="K24" s="158"/>
      <c r="L24" s="158"/>
      <c r="M24" s="358"/>
      <c r="N24" s="14"/>
      <c r="O24" s="159"/>
      <c r="P24" s="584"/>
      <c r="Q24" s="8"/>
      <c r="R24" s="263"/>
      <c r="S24" s="359"/>
      <c r="T24" s="360"/>
      <c r="U24" s="361"/>
      <c r="V24" s="362"/>
      <c r="W24" s="363"/>
      <c r="X24" s="364"/>
      <c r="Y24" s="365"/>
      <c r="Z24" s="366"/>
      <c r="AA24" s="367"/>
      <c r="AB24" s="368"/>
      <c r="AC24" s="16"/>
      <c r="AD24" s="17"/>
    </row>
    <row r="25" spans="1:30" s="5" customFormat="1" ht="16.5" customHeight="1">
      <c r="A25" s="90"/>
      <c r="B25" s="95"/>
      <c r="C25" s="340"/>
      <c r="D25" s="340"/>
      <c r="E25" s="340"/>
      <c r="F25" s="153"/>
      <c r="G25" s="354"/>
      <c r="H25" s="355"/>
      <c r="I25" s="356"/>
      <c r="J25" s="357"/>
      <c r="K25" s="158"/>
      <c r="L25" s="158"/>
      <c r="M25" s="358"/>
      <c r="N25" s="14"/>
      <c r="O25" s="159"/>
      <c r="P25" s="584"/>
      <c r="Q25" s="8"/>
      <c r="R25" s="263"/>
      <c r="S25" s="359"/>
      <c r="T25" s="360"/>
      <c r="U25" s="361"/>
      <c r="V25" s="362"/>
      <c r="W25" s="363"/>
      <c r="X25" s="364"/>
      <c r="Y25" s="365"/>
      <c r="Z25" s="366"/>
      <c r="AA25" s="367"/>
      <c r="AB25" s="368"/>
      <c r="AC25" s="16"/>
      <c r="AD25" s="17"/>
    </row>
    <row r="26" spans="1:30" s="5" customFormat="1" ht="16.5" customHeight="1">
      <c r="A26" s="90"/>
      <c r="B26" s="95"/>
      <c r="C26" s="157"/>
      <c r="D26" s="157"/>
      <c r="E26" s="157"/>
      <c r="F26" s="153"/>
      <c r="G26" s="354"/>
      <c r="H26" s="355"/>
      <c r="I26" s="356"/>
      <c r="J26" s="357"/>
      <c r="K26" s="158"/>
      <c r="L26" s="158"/>
      <c r="M26" s="358"/>
      <c r="N26" s="14"/>
      <c r="O26" s="159"/>
      <c r="P26" s="584"/>
      <c r="Q26" s="8"/>
      <c r="R26" s="263"/>
      <c r="S26" s="359"/>
      <c r="T26" s="360"/>
      <c r="U26" s="361"/>
      <c r="V26" s="362"/>
      <c r="W26" s="363"/>
      <c r="X26" s="364"/>
      <c r="Y26" s="365"/>
      <c r="Z26" s="366"/>
      <c r="AA26" s="367"/>
      <c r="AB26" s="368"/>
      <c r="AC26" s="16"/>
      <c r="AD26" s="17"/>
    </row>
    <row r="27" spans="1:30" s="5" customFormat="1" ht="16.5" customHeight="1">
      <c r="A27" s="90"/>
      <c r="B27" s="95"/>
      <c r="C27" s="340"/>
      <c r="D27" s="340"/>
      <c r="E27" s="340"/>
      <c r="F27" s="153"/>
      <c r="G27" s="354"/>
      <c r="H27" s="355"/>
      <c r="I27" s="356"/>
      <c r="J27" s="357"/>
      <c r="K27" s="158"/>
      <c r="L27" s="158"/>
      <c r="M27" s="358"/>
      <c r="N27" s="14"/>
      <c r="O27" s="159"/>
      <c r="P27" s="584"/>
      <c r="Q27" s="8"/>
      <c r="R27" s="263"/>
      <c r="S27" s="359"/>
      <c r="T27" s="360"/>
      <c r="U27" s="361"/>
      <c r="V27" s="362"/>
      <c r="W27" s="363"/>
      <c r="X27" s="364"/>
      <c r="Y27" s="365"/>
      <c r="Z27" s="366"/>
      <c r="AA27" s="367"/>
      <c r="AB27" s="368"/>
      <c r="AC27" s="16"/>
      <c r="AD27" s="17"/>
    </row>
    <row r="28" spans="1:31" s="5" customFormat="1" ht="16.5" customHeight="1">
      <c r="A28" s="90"/>
      <c r="B28" s="95"/>
      <c r="C28" s="157"/>
      <c r="D28" s="157"/>
      <c r="E28" s="157"/>
      <c r="F28" s="153"/>
      <c r="G28" s="354"/>
      <c r="H28" s="355"/>
      <c r="I28" s="356"/>
      <c r="J28" s="357"/>
      <c r="K28" s="158"/>
      <c r="L28" s="158"/>
      <c r="M28" s="358"/>
      <c r="N28" s="14"/>
      <c r="O28" s="159"/>
      <c r="P28" s="584"/>
      <c r="Q28" s="8"/>
      <c r="R28" s="263"/>
      <c r="S28" s="359"/>
      <c r="T28" s="360"/>
      <c r="U28" s="361"/>
      <c r="V28" s="362"/>
      <c r="W28" s="363"/>
      <c r="X28" s="364"/>
      <c r="Y28" s="365"/>
      <c r="Z28" s="366"/>
      <c r="AA28" s="367"/>
      <c r="AB28" s="368"/>
      <c r="AC28" s="16"/>
      <c r="AD28" s="17"/>
      <c r="AE28" s="15"/>
    </row>
    <row r="29" spans="1:30" s="5" customFormat="1" ht="16.5" customHeight="1">
      <c r="A29" s="90"/>
      <c r="B29" s="95"/>
      <c r="C29" s="340"/>
      <c r="D29" s="340"/>
      <c r="E29" s="340"/>
      <c r="F29" s="153"/>
      <c r="G29" s="354"/>
      <c r="H29" s="355"/>
      <c r="I29" s="356"/>
      <c r="J29" s="357"/>
      <c r="K29" s="158"/>
      <c r="L29" s="158"/>
      <c r="M29" s="358"/>
      <c r="N29" s="14"/>
      <c r="O29" s="159"/>
      <c r="P29" s="584"/>
      <c r="Q29" s="8"/>
      <c r="R29" s="263"/>
      <c r="S29" s="359"/>
      <c r="T29" s="360"/>
      <c r="U29" s="361"/>
      <c r="V29" s="362"/>
      <c r="W29" s="363"/>
      <c r="X29" s="364"/>
      <c r="Y29" s="365"/>
      <c r="Z29" s="366"/>
      <c r="AA29" s="367"/>
      <c r="AB29" s="368"/>
      <c r="AC29" s="16"/>
      <c r="AD29" s="17"/>
    </row>
    <row r="30" spans="1:30" s="5" customFormat="1" ht="16.5" customHeight="1">
      <c r="A30" s="90"/>
      <c r="B30" s="95"/>
      <c r="C30" s="157"/>
      <c r="D30" s="157"/>
      <c r="E30" s="157"/>
      <c r="F30" s="153"/>
      <c r="G30" s="354"/>
      <c r="H30" s="355"/>
      <c r="I30" s="356"/>
      <c r="J30" s="357"/>
      <c r="K30" s="158"/>
      <c r="L30" s="158"/>
      <c r="M30" s="358"/>
      <c r="N30" s="14"/>
      <c r="O30" s="159"/>
      <c r="P30" s="584"/>
      <c r="Q30" s="8"/>
      <c r="R30" s="263"/>
      <c r="S30" s="359"/>
      <c r="T30" s="360"/>
      <c r="U30" s="361"/>
      <c r="V30" s="362"/>
      <c r="W30" s="363"/>
      <c r="X30" s="364"/>
      <c r="Y30" s="365"/>
      <c r="Z30" s="366"/>
      <c r="AA30" s="367"/>
      <c r="AB30" s="368"/>
      <c r="AC30" s="16"/>
      <c r="AD30" s="17"/>
    </row>
    <row r="31" spans="1:30" s="5" customFormat="1" ht="16.5" customHeight="1">
      <c r="A31" s="90"/>
      <c r="B31" s="95"/>
      <c r="C31" s="340"/>
      <c r="D31" s="340"/>
      <c r="E31" s="340"/>
      <c r="F31" s="153"/>
      <c r="G31" s="354"/>
      <c r="H31" s="355"/>
      <c r="I31" s="356"/>
      <c r="J31" s="357"/>
      <c r="K31" s="158"/>
      <c r="L31" s="158"/>
      <c r="M31" s="358"/>
      <c r="N31" s="14"/>
      <c r="O31" s="159"/>
      <c r="P31" s="584"/>
      <c r="Q31" s="8"/>
      <c r="R31" s="263"/>
      <c r="S31" s="359"/>
      <c r="T31" s="360"/>
      <c r="U31" s="361"/>
      <c r="V31" s="362"/>
      <c r="W31" s="363"/>
      <c r="X31" s="364"/>
      <c r="Y31" s="365"/>
      <c r="Z31" s="366"/>
      <c r="AA31" s="367"/>
      <c r="AB31" s="368"/>
      <c r="AC31" s="16"/>
      <c r="AD31" s="17"/>
    </row>
    <row r="32" spans="1:30" s="5" customFormat="1" ht="16.5" customHeight="1">
      <c r="A32" s="90"/>
      <c r="B32" s="95"/>
      <c r="C32" s="157"/>
      <c r="D32" s="157"/>
      <c r="E32" s="157"/>
      <c r="F32" s="153"/>
      <c r="G32" s="370"/>
      <c r="H32" s="355"/>
      <c r="I32" s="356"/>
      <c r="J32" s="357">
        <f aca="true" t="shared" si="0" ref="J32:J41">H32*$H$16</f>
        <v>0</v>
      </c>
      <c r="K32" s="158"/>
      <c r="L32" s="158"/>
      <c r="M32" s="358">
        <f aca="true" t="shared" si="1" ref="M32:M41">IF(F32="","",(L32-K32)*24)</f>
      </c>
      <c r="N32" s="14">
        <f aca="true" t="shared" si="2" ref="N32:N41">IF(F32="","",ROUND((L32-K32)*24*60,0))</f>
      </c>
      <c r="O32" s="159"/>
      <c r="P32" s="584">
        <f aca="true" t="shared" si="3" ref="P32:P41">IF(F32="","","--")</f>
      </c>
      <c r="Q32" s="8">
        <f aca="true" t="shared" si="4" ref="Q32:Q41">IF(F32="","",IF(OR(O32="P",O32="RP"),"--","NO"))</f>
      </c>
      <c r="R32" s="263">
        <f aca="true" t="shared" si="5" ref="R32:R41">IF(F32="","","NO")</f>
      </c>
      <c r="S32" s="359">
        <f aca="true" t="shared" si="6" ref="S32:S41">$H$17*IF(OR(O32="P",O32="RP"),0.1,1)*IF(R32="SI",1,0.1)</f>
        <v>20</v>
      </c>
      <c r="T32" s="360" t="str">
        <f aca="true" t="shared" si="7" ref="T32:T41">IF(O32="P",J32*S32*ROUND(N32/60,2),"--")</f>
        <v>--</v>
      </c>
      <c r="U32" s="361" t="str">
        <f aca="true" t="shared" si="8" ref="U32:U41">IF(O32="RP",J32*S32*P32/100*ROUND(N32/60,2),"--")</f>
        <v>--</v>
      </c>
      <c r="V32" s="362" t="str">
        <f aca="true" t="shared" si="9" ref="V32:V41">IF(AND(O32="F",Q32="NO"),J32*S32,"--")</f>
        <v>--</v>
      </c>
      <c r="W32" s="363" t="str">
        <f aca="true" t="shared" si="10" ref="W32:W41">IF(O32="F",J32*S32*ROUND(N32/60,2),"--")</f>
        <v>--</v>
      </c>
      <c r="X32" s="364" t="str">
        <f aca="true" t="shared" si="11" ref="X32:X41">IF(AND(O32="R",Q32="NO"),J32*S32*P32/100,"--")</f>
        <v>--</v>
      </c>
      <c r="Y32" s="365" t="str">
        <f aca="true" t="shared" si="12" ref="Y32:Y41">IF(O32="R",J32*S32*P32/100*ROUND(N32/60,2),"--")</f>
        <v>--</v>
      </c>
      <c r="Z32" s="366" t="str">
        <f aca="true" t="shared" si="13" ref="Z32:Z41">IF(O32="RF",J32*S32*ROUND(N32/60,2),"--")</f>
        <v>--</v>
      </c>
      <c r="AA32" s="367" t="str">
        <f aca="true" t="shared" si="14" ref="AA32:AA41">IF(O32="RR",J32*S32*P32/100*ROUND(N32/60,2),"--")</f>
        <v>--</v>
      </c>
      <c r="AB32" s="368">
        <f aca="true" t="shared" si="15" ref="AB32:AB41">IF(F32="","","SI")</f>
      </c>
      <c r="AC32" s="16">
        <f aca="true" t="shared" si="16" ref="AC32:AC41">IF(F32="","",(SUM(T32:AA32)*IF(AB32="SI",1,2)*IF(AND(P32&lt;&gt;"--",O32="RF"),P32/100,1)))</f>
      </c>
      <c r="AD32" s="17"/>
    </row>
    <row r="33" spans="1:30" s="5" customFormat="1" ht="16.5" customHeight="1">
      <c r="A33" s="90"/>
      <c r="B33" s="95"/>
      <c r="C33" s="340"/>
      <c r="D33" s="340"/>
      <c r="E33" s="340"/>
      <c r="F33" s="153"/>
      <c r="G33" s="370"/>
      <c r="H33" s="355"/>
      <c r="I33" s="356"/>
      <c r="J33" s="357">
        <f t="shared" si="0"/>
        <v>0</v>
      </c>
      <c r="K33" s="158"/>
      <c r="L33" s="158"/>
      <c r="M33" s="358">
        <f t="shared" si="1"/>
      </c>
      <c r="N33" s="14">
        <f t="shared" si="2"/>
      </c>
      <c r="O33" s="159"/>
      <c r="P33" s="584">
        <f t="shared" si="3"/>
      </c>
      <c r="Q33" s="8">
        <f t="shared" si="4"/>
      </c>
      <c r="R33" s="263">
        <f t="shared" si="5"/>
      </c>
      <c r="S33" s="359">
        <f t="shared" si="6"/>
        <v>20</v>
      </c>
      <c r="T33" s="360" t="str">
        <f t="shared" si="7"/>
        <v>--</v>
      </c>
      <c r="U33" s="361" t="str">
        <f t="shared" si="8"/>
        <v>--</v>
      </c>
      <c r="V33" s="362" t="str">
        <f t="shared" si="9"/>
        <v>--</v>
      </c>
      <c r="W33" s="363" t="str">
        <f t="shared" si="10"/>
        <v>--</v>
      </c>
      <c r="X33" s="364" t="str">
        <f t="shared" si="11"/>
        <v>--</v>
      </c>
      <c r="Y33" s="365" t="str">
        <f t="shared" si="12"/>
        <v>--</v>
      </c>
      <c r="Z33" s="366" t="str">
        <f t="shared" si="13"/>
        <v>--</v>
      </c>
      <c r="AA33" s="367" t="str">
        <f t="shared" si="14"/>
        <v>--</v>
      </c>
      <c r="AB33" s="368">
        <f t="shared" si="15"/>
      </c>
      <c r="AC33" s="16">
        <f t="shared" si="16"/>
      </c>
      <c r="AD33" s="17"/>
    </row>
    <row r="34" spans="1:30" s="5" customFormat="1" ht="16.5" customHeight="1">
      <c r="A34" s="90"/>
      <c r="B34" s="95"/>
      <c r="C34" s="157"/>
      <c r="D34" s="157"/>
      <c r="E34" s="157"/>
      <c r="F34" s="153"/>
      <c r="G34" s="370"/>
      <c r="H34" s="355"/>
      <c r="I34" s="356"/>
      <c r="J34" s="357">
        <f t="shared" si="0"/>
        <v>0</v>
      </c>
      <c r="K34" s="158"/>
      <c r="L34" s="158"/>
      <c r="M34" s="358">
        <f t="shared" si="1"/>
      </c>
      <c r="N34" s="14">
        <f t="shared" si="2"/>
      </c>
      <c r="O34" s="159"/>
      <c r="P34" s="584">
        <f t="shared" si="3"/>
      </c>
      <c r="Q34" s="8">
        <f t="shared" si="4"/>
      </c>
      <c r="R34" s="263">
        <f t="shared" si="5"/>
      </c>
      <c r="S34" s="359">
        <f t="shared" si="6"/>
        <v>20</v>
      </c>
      <c r="T34" s="360" t="str">
        <f t="shared" si="7"/>
        <v>--</v>
      </c>
      <c r="U34" s="361" t="str">
        <f t="shared" si="8"/>
        <v>--</v>
      </c>
      <c r="V34" s="362" t="str">
        <f t="shared" si="9"/>
        <v>--</v>
      </c>
      <c r="W34" s="363" t="str">
        <f t="shared" si="10"/>
        <v>--</v>
      </c>
      <c r="X34" s="364" t="str">
        <f t="shared" si="11"/>
        <v>--</v>
      </c>
      <c r="Y34" s="365" t="str">
        <f t="shared" si="12"/>
        <v>--</v>
      </c>
      <c r="Z34" s="366" t="str">
        <f t="shared" si="13"/>
        <v>--</v>
      </c>
      <c r="AA34" s="367" t="str">
        <f t="shared" si="14"/>
        <v>--</v>
      </c>
      <c r="AB34" s="368">
        <f t="shared" si="15"/>
      </c>
      <c r="AC34" s="16">
        <f t="shared" si="16"/>
      </c>
      <c r="AD34" s="17"/>
    </row>
    <row r="35" spans="1:30" s="5" customFormat="1" ht="16.5" customHeight="1">
      <c r="A35" s="90"/>
      <c r="B35" s="95"/>
      <c r="C35" s="340"/>
      <c r="D35" s="340"/>
      <c r="E35" s="340"/>
      <c r="F35" s="153"/>
      <c r="G35" s="370"/>
      <c r="H35" s="355"/>
      <c r="I35" s="356"/>
      <c r="J35" s="357">
        <f t="shared" si="0"/>
        <v>0</v>
      </c>
      <c r="K35" s="158"/>
      <c r="L35" s="158"/>
      <c r="M35" s="358">
        <f t="shared" si="1"/>
      </c>
      <c r="N35" s="14">
        <f t="shared" si="2"/>
      </c>
      <c r="O35" s="159"/>
      <c r="P35" s="584">
        <f t="shared" si="3"/>
      </c>
      <c r="Q35" s="8">
        <f t="shared" si="4"/>
      </c>
      <c r="R35" s="263">
        <f t="shared" si="5"/>
      </c>
      <c r="S35" s="359">
        <f t="shared" si="6"/>
        <v>20</v>
      </c>
      <c r="T35" s="360" t="str">
        <f t="shared" si="7"/>
        <v>--</v>
      </c>
      <c r="U35" s="361" t="str">
        <f t="shared" si="8"/>
        <v>--</v>
      </c>
      <c r="V35" s="362" t="str">
        <f t="shared" si="9"/>
        <v>--</v>
      </c>
      <c r="W35" s="363" t="str">
        <f t="shared" si="10"/>
        <v>--</v>
      </c>
      <c r="X35" s="364" t="str">
        <f t="shared" si="11"/>
        <v>--</v>
      </c>
      <c r="Y35" s="365" t="str">
        <f t="shared" si="12"/>
        <v>--</v>
      </c>
      <c r="Z35" s="366" t="str">
        <f t="shared" si="13"/>
        <v>--</v>
      </c>
      <c r="AA35" s="367" t="str">
        <f t="shared" si="14"/>
        <v>--</v>
      </c>
      <c r="AB35" s="368">
        <f t="shared" si="15"/>
      </c>
      <c r="AC35" s="16">
        <f t="shared" si="16"/>
      </c>
      <c r="AD35" s="17"/>
    </row>
    <row r="36" spans="1:30" s="5" customFormat="1" ht="16.5" customHeight="1">
      <c r="A36" s="90"/>
      <c r="B36" s="95"/>
      <c r="C36" s="157"/>
      <c r="D36" s="157"/>
      <c r="E36" s="157"/>
      <c r="F36" s="153"/>
      <c r="G36" s="370"/>
      <c r="H36" s="355"/>
      <c r="I36" s="356"/>
      <c r="J36" s="357">
        <f t="shared" si="0"/>
        <v>0</v>
      </c>
      <c r="K36" s="158"/>
      <c r="L36" s="158"/>
      <c r="M36" s="358">
        <f t="shared" si="1"/>
      </c>
      <c r="N36" s="14">
        <f t="shared" si="2"/>
      </c>
      <c r="O36" s="159"/>
      <c r="P36" s="584">
        <f t="shared" si="3"/>
      </c>
      <c r="Q36" s="8">
        <f t="shared" si="4"/>
      </c>
      <c r="R36" s="263">
        <f t="shared" si="5"/>
      </c>
      <c r="S36" s="359">
        <f t="shared" si="6"/>
        <v>20</v>
      </c>
      <c r="T36" s="360" t="str">
        <f t="shared" si="7"/>
        <v>--</v>
      </c>
      <c r="U36" s="361" t="str">
        <f t="shared" si="8"/>
        <v>--</v>
      </c>
      <c r="V36" s="362" t="str">
        <f t="shared" si="9"/>
        <v>--</v>
      </c>
      <c r="W36" s="363" t="str">
        <f t="shared" si="10"/>
        <v>--</v>
      </c>
      <c r="X36" s="364" t="str">
        <f t="shared" si="11"/>
        <v>--</v>
      </c>
      <c r="Y36" s="365" t="str">
        <f t="shared" si="12"/>
        <v>--</v>
      </c>
      <c r="Z36" s="366" t="str">
        <f t="shared" si="13"/>
        <v>--</v>
      </c>
      <c r="AA36" s="367" t="str">
        <f t="shared" si="14"/>
        <v>--</v>
      </c>
      <c r="AB36" s="368">
        <f t="shared" si="15"/>
      </c>
      <c r="AC36" s="16">
        <f t="shared" si="16"/>
      </c>
      <c r="AD36" s="17"/>
    </row>
    <row r="37" spans="1:30" s="5" customFormat="1" ht="16.5" customHeight="1">
      <c r="A37" s="90"/>
      <c r="B37" s="95"/>
      <c r="C37" s="340"/>
      <c r="D37" s="340"/>
      <c r="E37" s="340"/>
      <c r="F37" s="153"/>
      <c r="G37" s="370"/>
      <c r="H37" s="355"/>
      <c r="I37" s="356"/>
      <c r="J37" s="357">
        <f t="shared" si="0"/>
        <v>0</v>
      </c>
      <c r="K37" s="158"/>
      <c r="L37" s="158"/>
      <c r="M37" s="358">
        <f t="shared" si="1"/>
      </c>
      <c r="N37" s="14">
        <f t="shared" si="2"/>
      </c>
      <c r="O37" s="159"/>
      <c r="P37" s="584">
        <f t="shared" si="3"/>
      </c>
      <c r="Q37" s="8">
        <f t="shared" si="4"/>
      </c>
      <c r="R37" s="263">
        <f t="shared" si="5"/>
      </c>
      <c r="S37" s="359">
        <f t="shared" si="6"/>
        <v>20</v>
      </c>
      <c r="T37" s="360" t="str">
        <f t="shared" si="7"/>
        <v>--</v>
      </c>
      <c r="U37" s="361" t="str">
        <f t="shared" si="8"/>
        <v>--</v>
      </c>
      <c r="V37" s="362" t="str">
        <f t="shared" si="9"/>
        <v>--</v>
      </c>
      <c r="W37" s="363" t="str">
        <f t="shared" si="10"/>
        <v>--</v>
      </c>
      <c r="X37" s="364" t="str">
        <f t="shared" si="11"/>
        <v>--</v>
      </c>
      <c r="Y37" s="365" t="str">
        <f t="shared" si="12"/>
        <v>--</v>
      </c>
      <c r="Z37" s="366" t="str">
        <f t="shared" si="13"/>
        <v>--</v>
      </c>
      <c r="AA37" s="367" t="str">
        <f t="shared" si="14"/>
        <v>--</v>
      </c>
      <c r="AB37" s="368">
        <f t="shared" si="15"/>
      </c>
      <c r="AC37" s="16">
        <f t="shared" si="16"/>
      </c>
      <c r="AD37" s="17"/>
    </row>
    <row r="38" spans="1:30" s="5" customFormat="1" ht="16.5" customHeight="1">
      <c r="A38" s="90"/>
      <c r="B38" s="95"/>
      <c r="C38" s="157"/>
      <c r="D38" s="157"/>
      <c r="E38" s="157"/>
      <c r="F38" s="153"/>
      <c r="G38" s="370"/>
      <c r="H38" s="355"/>
      <c r="I38" s="356"/>
      <c r="J38" s="357">
        <f t="shared" si="0"/>
        <v>0</v>
      </c>
      <c r="K38" s="158"/>
      <c r="L38" s="158"/>
      <c r="M38" s="358">
        <f t="shared" si="1"/>
      </c>
      <c r="N38" s="14">
        <f t="shared" si="2"/>
      </c>
      <c r="O38" s="159"/>
      <c r="P38" s="584">
        <f t="shared" si="3"/>
      </c>
      <c r="Q38" s="8">
        <f t="shared" si="4"/>
      </c>
      <c r="R38" s="263">
        <f t="shared" si="5"/>
      </c>
      <c r="S38" s="359">
        <f t="shared" si="6"/>
        <v>20</v>
      </c>
      <c r="T38" s="360" t="str">
        <f t="shared" si="7"/>
        <v>--</v>
      </c>
      <c r="U38" s="361" t="str">
        <f t="shared" si="8"/>
        <v>--</v>
      </c>
      <c r="V38" s="362" t="str">
        <f t="shared" si="9"/>
        <v>--</v>
      </c>
      <c r="W38" s="363" t="str">
        <f t="shared" si="10"/>
        <v>--</v>
      </c>
      <c r="X38" s="364" t="str">
        <f t="shared" si="11"/>
        <v>--</v>
      </c>
      <c r="Y38" s="365" t="str">
        <f t="shared" si="12"/>
        <v>--</v>
      </c>
      <c r="Z38" s="366" t="str">
        <f t="shared" si="13"/>
        <v>--</v>
      </c>
      <c r="AA38" s="367" t="str">
        <f t="shared" si="14"/>
        <v>--</v>
      </c>
      <c r="AB38" s="368">
        <f t="shared" si="15"/>
      </c>
      <c r="AC38" s="16">
        <f t="shared" si="16"/>
      </c>
      <c r="AD38" s="17"/>
    </row>
    <row r="39" spans="1:30" s="5" customFormat="1" ht="16.5" customHeight="1">
      <c r="A39" s="90"/>
      <c r="B39" s="95"/>
      <c r="C39" s="340"/>
      <c r="D39" s="340"/>
      <c r="E39" s="340"/>
      <c r="F39" s="153"/>
      <c r="G39" s="370"/>
      <c r="H39" s="355"/>
      <c r="I39" s="356"/>
      <c r="J39" s="357">
        <f t="shared" si="0"/>
        <v>0</v>
      </c>
      <c r="K39" s="158"/>
      <c r="L39" s="158"/>
      <c r="M39" s="358">
        <f t="shared" si="1"/>
      </c>
      <c r="N39" s="14">
        <f t="shared" si="2"/>
      </c>
      <c r="O39" s="159"/>
      <c r="P39" s="584">
        <f t="shared" si="3"/>
      </c>
      <c r="Q39" s="8">
        <f t="shared" si="4"/>
      </c>
      <c r="R39" s="263">
        <f t="shared" si="5"/>
      </c>
      <c r="S39" s="359">
        <f t="shared" si="6"/>
        <v>20</v>
      </c>
      <c r="T39" s="360" t="str">
        <f t="shared" si="7"/>
        <v>--</v>
      </c>
      <c r="U39" s="361" t="str">
        <f t="shared" si="8"/>
        <v>--</v>
      </c>
      <c r="V39" s="362" t="str">
        <f t="shared" si="9"/>
        <v>--</v>
      </c>
      <c r="W39" s="363" t="str">
        <f t="shared" si="10"/>
        <v>--</v>
      </c>
      <c r="X39" s="364" t="str">
        <f t="shared" si="11"/>
        <v>--</v>
      </c>
      <c r="Y39" s="365" t="str">
        <f t="shared" si="12"/>
        <v>--</v>
      </c>
      <c r="Z39" s="366" t="str">
        <f t="shared" si="13"/>
        <v>--</v>
      </c>
      <c r="AA39" s="367" t="str">
        <f t="shared" si="14"/>
        <v>--</v>
      </c>
      <c r="AB39" s="368">
        <f t="shared" si="15"/>
      </c>
      <c r="AC39" s="16">
        <f t="shared" si="16"/>
      </c>
      <c r="AD39" s="17"/>
    </row>
    <row r="40" spans="1:30" s="5" customFormat="1" ht="16.5" customHeight="1">
      <c r="A40" s="90"/>
      <c r="B40" s="95"/>
      <c r="C40" s="157"/>
      <c r="D40" s="157"/>
      <c r="E40" s="157"/>
      <c r="F40" s="153"/>
      <c r="G40" s="370"/>
      <c r="H40" s="355"/>
      <c r="I40" s="356"/>
      <c r="J40" s="357">
        <f t="shared" si="0"/>
        <v>0</v>
      </c>
      <c r="K40" s="158"/>
      <c r="L40" s="158"/>
      <c r="M40" s="358">
        <f t="shared" si="1"/>
      </c>
      <c r="N40" s="14">
        <f t="shared" si="2"/>
      </c>
      <c r="O40" s="159"/>
      <c r="P40" s="584">
        <f t="shared" si="3"/>
      </c>
      <c r="Q40" s="8">
        <f t="shared" si="4"/>
      </c>
      <c r="R40" s="263">
        <f t="shared" si="5"/>
      </c>
      <c r="S40" s="359">
        <f t="shared" si="6"/>
        <v>20</v>
      </c>
      <c r="T40" s="360" t="str">
        <f t="shared" si="7"/>
        <v>--</v>
      </c>
      <c r="U40" s="361" t="str">
        <f t="shared" si="8"/>
        <v>--</v>
      </c>
      <c r="V40" s="362" t="str">
        <f t="shared" si="9"/>
        <v>--</v>
      </c>
      <c r="W40" s="363" t="str">
        <f t="shared" si="10"/>
        <v>--</v>
      </c>
      <c r="X40" s="364" t="str">
        <f t="shared" si="11"/>
        <v>--</v>
      </c>
      <c r="Y40" s="365" t="str">
        <f t="shared" si="12"/>
        <v>--</v>
      </c>
      <c r="Z40" s="366" t="str">
        <f t="shared" si="13"/>
        <v>--</v>
      </c>
      <c r="AA40" s="367" t="str">
        <f t="shared" si="14"/>
        <v>--</v>
      </c>
      <c r="AB40" s="368">
        <f t="shared" si="15"/>
      </c>
      <c r="AC40" s="16">
        <f t="shared" si="16"/>
      </c>
      <c r="AD40" s="17"/>
    </row>
    <row r="41" spans="1:30" s="5" customFormat="1" ht="16.5" customHeight="1">
      <c r="A41" s="90"/>
      <c r="B41" s="95"/>
      <c r="C41" s="340"/>
      <c r="D41" s="340"/>
      <c r="E41" s="340"/>
      <c r="F41" s="153"/>
      <c r="G41" s="370"/>
      <c r="H41" s="355"/>
      <c r="I41" s="356"/>
      <c r="J41" s="357">
        <f t="shared" si="0"/>
        <v>0</v>
      </c>
      <c r="K41" s="158"/>
      <c r="L41" s="158"/>
      <c r="M41" s="358">
        <f t="shared" si="1"/>
      </c>
      <c r="N41" s="14">
        <f t="shared" si="2"/>
      </c>
      <c r="O41" s="159"/>
      <c r="P41" s="584">
        <f t="shared" si="3"/>
      </c>
      <c r="Q41" s="8">
        <f t="shared" si="4"/>
      </c>
      <c r="R41" s="263">
        <f t="shared" si="5"/>
      </c>
      <c r="S41" s="359">
        <f t="shared" si="6"/>
        <v>20</v>
      </c>
      <c r="T41" s="360" t="str">
        <f t="shared" si="7"/>
        <v>--</v>
      </c>
      <c r="U41" s="361" t="str">
        <f t="shared" si="8"/>
        <v>--</v>
      </c>
      <c r="V41" s="362" t="str">
        <f t="shared" si="9"/>
        <v>--</v>
      </c>
      <c r="W41" s="363" t="str">
        <f t="shared" si="10"/>
        <v>--</v>
      </c>
      <c r="X41" s="364" t="str">
        <f t="shared" si="11"/>
        <v>--</v>
      </c>
      <c r="Y41" s="365" t="str">
        <f t="shared" si="12"/>
        <v>--</v>
      </c>
      <c r="Z41" s="366" t="str">
        <f t="shared" si="13"/>
        <v>--</v>
      </c>
      <c r="AA41" s="367" t="str">
        <f t="shared" si="14"/>
        <v>--</v>
      </c>
      <c r="AB41" s="368">
        <f t="shared" si="15"/>
      </c>
      <c r="AC41" s="16">
        <f t="shared" si="16"/>
      </c>
      <c r="AD41" s="17"/>
    </row>
    <row r="42" spans="1:30" s="5" customFormat="1" ht="16.5" customHeight="1" thickBot="1">
      <c r="A42" s="90"/>
      <c r="B42" s="95"/>
      <c r="C42" s="157"/>
      <c r="D42" s="157"/>
      <c r="E42" s="157"/>
      <c r="F42" s="371"/>
      <c r="G42" s="372"/>
      <c r="H42" s="371"/>
      <c r="I42" s="373"/>
      <c r="J42" s="131"/>
      <c r="K42" s="160"/>
      <c r="L42" s="374"/>
      <c r="M42" s="375"/>
      <c r="N42" s="376"/>
      <c r="O42" s="163"/>
      <c r="P42" s="195"/>
      <c r="Q42" s="161"/>
      <c r="R42" s="163"/>
      <c r="S42" s="377"/>
      <c r="T42" s="378"/>
      <c r="U42" s="379"/>
      <c r="V42" s="380"/>
      <c r="W42" s="381"/>
      <c r="X42" s="382"/>
      <c r="Y42" s="383"/>
      <c r="Z42" s="384"/>
      <c r="AA42" s="385"/>
      <c r="AB42" s="386"/>
      <c r="AC42" s="387"/>
      <c r="AD42" s="17"/>
    </row>
    <row r="43" spans="1:30" s="5" customFormat="1" ht="16.5" customHeight="1" thickBot="1" thickTop="1">
      <c r="A43" s="90"/>
      <c r="B43" s="95"/>
      <c r="C43" s="127" t="s">
        <v>25</v>
      </c>
      <c r="D43" s="973" t="s">
        <v>361</v>
      </c>
      <c r="E43" s="127"/>
      <c r="F43" s="128"/>
      <c r="G43" s="15"/>
      <c r="H43" s="15"/>
      <c r="I43" s="15"/>
      <c r="J43" s="15"/>
      <c r="K43" s="15"/>
      <c r="L43" s="99"/>
      <c r="M43" s="15"/>
      <c r="N43" s="15"/>
      <c r="O43" s="15"/>
      <c r="P43" s="15"/>
      <c r="Q43" s="15"/>
      <c r="R43" s="15"/>
      <c r="S43" s="15"/>
      <c r="T43" s="388">
        <f aca="true" t="shared" si="17" ref="T43:AA43">SUM(T20:T42)</f>
        <v>68904</v>
      </c>
      <c r="U43" s="389">
        <f t="shared" si="17"/>
        <v>0</v>
      </c>
      <c r="V43" s="390">
        <f t="shared" si="17"/>
        <v>0</v>
      </c>
      <c r="W43" s="391">
        <f t="shared" si="17"/>
        <v>0</v>
      </c>
      <c r="X43" s="392">
        <f t="shared" si="17"/>
        <v>0</v>
      </c>
      <c r="Y43" s="393">
        <f t="shared" si="17"/>
        <v>0</v>
      </c>
      <c r="Z43" s="394">
        <f t="shared" si="17"/>
        <v>0</v>
      </c>
      <c r="AA43" s="395">
        <f t="shared" si="17"/>
        <v>0</v>
      </c>
      <c r="AB43" s="90"/>
      <c r="AC43" s="396">
        <f>ROUND(SUM(AC20:AC42),2)</f>
        <v>68904</v>
      </c>
      <c r="AD43" s="17"/>
    </row>
    <row r="44" spans="1:30" s="5" customFormat="1" ht="16.5" customHeight="1" thickBot="1" thickTop="1">
      <c r="A44" s="9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3"/>
    </row>
    <row r="45" spans="1:31" ht="16.5" customHeight="1" thickTop="1">
      <c r="A45" s="2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</row>
    <row r="46" spans="1:31" ht="16.5" customHeight="1">
      <c r="A46" s="2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</row>
    <row r="47" spans="1:31" ht="16.5" customHeight="1">
      <c r="A47" s="2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</row>
    <row r="48" spans="1:31" ht="16.5" customHeight="1">
      <c r="A48" s="2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</row>
    <row r="49" spans="6:31" ht="16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</row>
    <row r="50" spans="6:31" ht="16.5" customHeight="1"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</row>
    <row r="51" spans="6:31" ht="16.5" customHeight="1"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</row>
    <row r="52" spans="6:31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</row>
    <row r="53" spans="6:31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</row>
    <row r="54" spans="6:31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</row>
    <row r="55" spans="6:31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</row>
    <row r="56" spans="6:31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</row>
    <row r="57" spans="6:31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</row>
    <row r="58" spans="6:31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</row>
    <row r="59" spans="6:31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</row>
    <row r="60" spans="6:31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</row>
    <row r="61" spans="6:31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</row>
    <row r="62" spans="6:31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</row>
    <row r="63" spans="6:31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</row>
    <row r="64" spans="6:31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</row>
    <row r="65" spans="6:31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</row>
    <row r="66" spans="6:31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</row>
    <row r="67" spans="6:31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</row>
    <row r="68" spans="6:31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</row>
    <row r="69" spans="6:31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</row>
    <row r="70" spans="6:31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</row>
    <row r="71" spans="6:31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</row>
    <row r="72" spans="6:31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</row>
    <row r="73" spans="6:31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</row>
    <row r="74" spans="6:31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</row>
    <row r="75" spans="6:31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</row>
    <row r="76" spans="6:31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</row>
    <row r="77" spans="6:31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6:31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</row>
    <row r="79" spans="6:31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</row>
    <row r="80" spans="6:31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6:31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6:31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6:31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6:31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6:31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6:31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6:31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6:31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6:31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6:31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6:31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6:31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6:31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6:31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</row>
    <row r="95" spans="6:31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</row>
    <row r="96" spans="6:31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</row>
    <row r="97" spans="6:31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</row>
    <row r="98" spans="6:31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</row>
    <row r="99" spans="6:31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</row>
    <row r="100" spans="6:31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</row>
    <row r="101" spans="6:31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</row>
    <row r="102" spans="6:31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</row>
    <row r="103" spans="6:31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</row>
    <row r="104" spans="6:31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</row>
    <row r="105" spans="6:31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</row>
    <row r="106" spans="6:31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</row>
    <row r="107" spans="6:31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</row>
    <row r="108" spans="6:31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</row>
    <row r="109" spans="6:31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</row>
    <row r="110" spans="6:31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</row>
    <row r="111" spans="6:31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</row>
    <row r="112" spans="6:31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</row>
    <row r="113" spans="6:31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</row>
    <row r="114" spans="6:31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</row>
    <row r="115" spans="6:31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</row>
    <row r="116" spans="6:31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</row>
    <row r="117" spans="6:31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</row>
    <row r="118" spans="6:31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</row>
    <row r="119" spans="6:31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</row>
    <row r="120" spans="6:31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</row>
    <row r="121" spans="6:31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6:31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6:31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6:31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6:31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6:31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6:31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6:31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6:31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</row>
    <row r="130" spans="6:31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6:31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</row>
    <row r="132" spans="6:31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</row>
    <row r="133" spans="6:31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</row>
    <row r="134" spans="6:31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6:31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</row>
    <row r="136" spans="6:31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</row>
    <row r="137" spans="6:31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</row>
    <row r="138" spans="6:31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</row>
    <row r="139" spans="6:31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</row>
    <row r="140" spans="6:31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</row>
    <row r="141" spans="6:31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</row>
    <row r="142" spans="6:31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</row>
    <row r="143" spans="6:31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</row>
    <row r="144" spans="6:31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</row>
    <row r="145" spans="6:31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</row>
    <row r="146" spans="6:31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</row>
    <row r="147" spans="6:31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</row>
    <row r="148" spans="6:31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</row>
    <row r="149" spans="6:31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</row>
    <row r="150" spans="6:31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</row>
    <row r="151" spans="6:31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</row>
    <row r="152" spans="6:31" ht="16.5" customHeight="1"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</row>
    <row r="153" ht="16.5" customHeight="1">
      <c r="AE153" s="177"/>
    </row>
    <row r="154" ht="16.5" customHeight="1">
      <c r="AE154" s="177"/>
    </row>
    <row r="155" ht="16.5" customHeight="1">
      <c r="AE155" s="177"/>
    </row>
    <row r="156" ht="16.5" customHeight="1">
      <c r="AE156" s="177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5" zoomScaleNormal="75" workbookViewId="0" topLeftCell="A1">
      <selection activeCell="F49" sqref="F49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8"/>
    </row>
    <row r="2" spans="1:23" s="18" customFormat="1" ht="26.25">
      <c r="A2" s="91"/>
      <c r="B2" s="19" t="str">
        <f>+'TOT-0909'!B2</f>
        <v>ANEXO IV al Memorandum  D.T.E.E. N° 256/2011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252</v>
      </c>
      <c r="G10" s="408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409"/>
      <c r="G11" s="409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87</v>
      </c>
      <c r="G12" s="408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409"/>
      <c r="G13" s="409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'TOT-0909'!B14</f>
        <v>Desde el 01 al 30 de septiembre de 2009</v>
      </c>
      <c r="C14" s="40"/>
      <c r="D14" s="40"/>
      <c r="E14" s="40"/>
      <c r="F14" s="40"/>
      <c r="G14" s="40"/>
      <c r="H14" s="40"/>
      <c r="I14" s="410"/>
      <c r="J14" s="410"/>
      <c r="K14" s="410"/>
      <c r="L14" s="410"/>
      <c r="M14" s="410"/>
      <c r="N14" s="410"/>
      <c r="O14" s="410"/>
      <c r="P14" s="410"/>
      <c r="Q14" s="40"/>
      <c r="R14" s="40"/>
      <c r="S14" s="40"/>
      <c r="T14" s="40"/>
      <c r="U14" s="40"/>
      <c r="V14" s="40"/>
      <c r="W14" s="411"/>
    </row>
    <row r="15" spans="2:23" s="5" customFormat="1" ht="14.25" thickBot="1">
      <c r="B15" s="412"/>
      <c r="C15" s="413"/>
      <c r="D15" s="413"/>
      <c r="E15" s="413"/>
      <c r="F15" s="413"/>
      <c r="G15" s="413"/>
      <c r="H15" s="413"/>
      <c r="I15" s="414"/>
      <c r="J15" s="414"/>
      <c r="K15" s="414"/>
      <c r="L15" s="414"/>
      <c r="M15" s="414"/>
      <c r="N15" s="414"/>
      <c r="O15" s="414"/>
      <c r="P15" s="414"/>
      <c r="Q15" s="413"/>
      <c r="R15" s="413"/>
      <c r="S15" s="413"/>
      <c r="T15" s="413"/>
      <c r="U15" s="413"/>
      <c r="V15" s="413"/>
      <c r="W15" s="415"/>
    </row>
    <row r="16" spans="2:23" s="5" customFormat="1" ht="15" thickBot="1" thickTop="1">
      <c r="B16" s="50"/>
      <c r="C16" s="4"/>
      <c r="D16" s="4"/>
      <c r="E16" s="4"/>
      <c r="F16" s="416"/>
      <c r="G16" s="416"/>
      <c r="H16" s="117" t="s">
        <v>88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417" t="s">
        <v>89</v>
      </c>
      <c r="G17" s="418">
        <v>63.904</v>
      </c>
      <c r="H17" s="419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420" t="s">
        <v>90</v>
      </c>
      <c r="G18" s="421">
        <v>57.511</v>
      </c>
      <c r="H18" s="419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422" t="s">
        <v>91</v>
      </c>
      <c r="G19" s="421">
        <v>51.126</v>
      </c>
      <c r="H19" s="419">
        <v>40</v>
      </c>
      <c r="K19" s="214"/>
      <c r="L19" s="21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67">
        <v>3</v>
      </c>
      <c r="D20" s="967">
        <v>4</v>
      </c>
      <c r="E20" s="967">
        <v>5</v>
      </c>
      <c r="F20" s="967">
        <v>6</v>
      </c>
      <c r="G20" s="967">
        <v>7</v>
      </c>
      <c r="H20" s="967">
        <v>8</v>
      </c>
      <c r="I20" s="967">
        <v>9</v>
      </c>
      <c r="J20" s="967">
        <v>10</v>
      </c>
      <c r="K20" s="967">
        <v>11</v>
      </c>
      <c r="L20" s="967">
        <v>12</v>
      </c>
      <c r="M20" s="967">
        <v>13</v>
      </c>
      <c r="N20" s="967">
        <v>14</v>
      </c>
      <c r="O20" s="967">
        <v>15</v>
      </c>
      <c r="P20" s="967">
        <v>16</v>
      </c>
      <c r="Q20" s="967">
        <v>17</v>
      </c>
      <c r="R20" s="967">
        <v>18</v>
      </c>
      <c r="S20" s="967">
        <v>19</v>
      </c>
      <c r="T20" s="967">
        <v>20</v>
      </c>
      <c r="U20" s="967">
        <v>21</v>
      </c>
      <c r="V20" s="967">
        <v>22</v>
      </c>
      <c r="W20" s="6"/>
    </row>
    <row r="21" spans="2:23" s="5" customFormat="1" ht="33.75" customHeight="1" thickBot="1" thickTop="1">
      <c r="B21" s="50"/>
      <c r="C21" s="123" t="s">
        <v>13</v>
      </c>
      <c r="D21" s="84" t="s">
        <v>264</v>
      </c>
      <c r="E21" s="84" t="s">
        <v>265</v>
      </c>
      <c r="F21" s="86" t="s">
        <v>27</v>
      </c>
      <c r="G21" s="423" t="s">
        <v>28</v>
      </c>
      <c r="H21" s="424" t="s">
        <v>14</v>
      </c>
      <c r="I21" s="129" t="s">
        <v>16</v>
      </c>
      <c r="J21" s="85" t="s">
        <v>17</v>
      </c>
      <c r="K21" s="423" t="s">
        <v>18</v>
      </c>
      <c r="L21" s="425" t="s">
        <v>36</v>
      </c>
      <c r="M21" s="425" t="s">
        <v>31</v>
      </c>
      <c r="N21" s="88" t="s">
        <v>19</v>
      </c>
      <c r="O21" s="181" t="s">
        <v>32</v>
      </c>
      <c r="P21" s="137" t="s">
        <v>37</v>
      </c>
      <c r="Q21" s="426" t="s">
        <v>70</v>
      </c>
      <c r="R21" s="183" t="s">
        <v>35</v>
      </c>
      <c r="S21" s="427"/>
      <c r="T21" s="136" t="s">
        <v>22</v>
      </c>
      <c r="U21" s="134" t="s">
        <v>82</v>
      </c>
      <c r="V21" s="121" t="s">
        <v>24</v>
      </c>
      <c r="W21" s="6"/>
    </row>
    <row r="22" spans="2:23" s="5" customFormat="1" ht="16.5" customHeight="1" thickTop="1">
      <c r="B22" s="50"/>
      <c r="C22" s="326"/>
      <c r="D22" s="326"/>
      <c r="E22" s="326"/>
      <c r="F22" s="428"/>
      <c r="G22" s="428"/>
      <c r="H22" s="428"/>
      <c r="I22" s="259"/>
      <c r="J22" s="428"/>
      <c r="K22" s="428"/>
      <c r="L22" s="428"/>
      <c r="M22" s="428"/>
      <c r="N22" s="428"/>
      <c r="O22" s="428"/>
      <c r="P22" s="429"/>
      <c r="Q22" s="430"/>
      <c r="R22" s="431"/>
      <c r="S22" s="432"/>
      <c r="T22" s="433"/>
      <c r="U22" s="428"/>
      <c r="V22" s="434"/>
      <c r="W22" s="6"/>
    </row>
    <row r="23" spans="2:23" s="5" customFormat="1" ht="16.5" customHeight="1">
      <c r="B23" s="50"/>
      <c r="C23" s="340"/>
      <c r="D23" s="340"/>
      <c r="E23" s="340"/>
      <c r="F23" s="435"/>
      <c r="G23" s="435"/>
      <c r="H23" s="435"/>
      <c r="I23" s="436"/>
      <c r="J23" s="435"/>
      <c r="K23" s="435"/>
      <c r="L23" s="435"/>
      <c r="M23" s="435"/>
      <c r="N23" s="435"/>
      <c r="O23" s="435"/>
      <c r="P23" s="437"/>
      <c r="Q23" s="438"/>
      <c r="R23" s="194"/>
      <c r="S23" s="439"/>
      <c r="T23" s="440"/>
      <c r="U23" s="435"/>
      <c r="V23" s="441"/>
      <c r="W23" s="6"/>
    </row>
    <row r="24" spans="2:23" s="1061" customFormat="1" ht="16.5" customHeight="1">
      <c r="B24" s="1046"/>
      <c r="C24" s="1047">
        <v>27</v>
      </c>
      <c r="D24" s="1047">
        <v>210737</v>
      </c>
      <c r="E24" s="1041">
        <v>4738</v>
      </c>
      <c r="F24" s="1048" t="s">
        <v>368</v>
      </c>
      <c r="G24" s="1048" t="s">
        <v>369</v>
      </c>
      <c r="H24" s="1049">
        <v>500</v>
      </c>
      <c r="I24" s="1050">
        <f aca="true" t="shared" si="0" ref="I24:I43">IF(H24=500,$G$17,IF(H24=220,$G$18,$G$19))</f>
        <v>63.904</v>
      </c>
      <c r="J24" s="1051">
        <v>40057.302777777775</v>
      </c>
      <c r="K24" s="1043">
        <v>40057.71944444445</v>
      </c>
      <c r="L24" s="1052">
        <f aca="true" t="shared" si="1" ref="L24:L43">IF(F24="","",(K24-J24)*24)</f>
        <v>10.000000000116415</v>
      </c>
      <c r="M24" s="1053">
        <f aca="true" t="shared" si="2" ref="M24:M43">IF(F24="","",ROUND((K24-J24)*24*60,0))</f>
        <v>600</v>
      </c>
      <c r="N24" s="1054" t="s">
        <v>303</v>
      </c>
      <c r="O24" s="1044" t="str">
        <f aca="true" t="shared" si="3" ref="O24:O43">IF(F24="","",IF(N24="P","--","NO"))</f>
        <v>--</v>
      </c>
      <c r="P24" s="1045">
        <f aca="true" t="shared" si="4" ref="P24:P43">IF(H24=500,$H$17,IF(H24=220,$H$18,$H$19))</f>
        <v>200</v>
      </c>
      <c r="Q24" s="1055">
        <f aca="true" t="shared" si="5" ref="Q24:Q43">IF(N24="P",I24*P24*ROUND(M24/60,2)*0.1,"--")</f>
        <v>12780.800000000003</v>
      </c>
      <c r="R24" s="1056" t="str">
        <f aca="true" t="shared" si="6" ref="R24:R43">IF(AND(N24="F",O24="NO"),I24*P24,"--")</f>
        <v>--</v>
      </c>
      <c r="S24" s="1057" t="str">
        <f aca="true" t="shared" si="7" ref="S24:S43">IF(N24="F",I24*P24*ROUND(M24/60,2),"--")</f>
        <v>--</v>
      </c>
      <c r="T24" s="1058" t="str">
        <f aca="true" t="shared" si="8" ref="T24:T43">IF(N24="RF",I24*P24*ROUND(M24/60,2),"--")</f>
        <v>--</v>
      </c>
      <c r="U24" s="1044" t="s">
        <v>240</v>
      </c>
      <c r="V24" s="1059">
        <v>0</v>
      </c>
      <c r="W24" s="1060"/>
    </row>
    <row r="25" spans="2:23" s="5" customFormat="1" ht="16.5" customHeight="1">
      <c r="B25" s="50"/>
      <c r="C25" s="340">
        <v>28</v>
      </c>
      <c r="D25" s="340">
        <v>210742</v>
      </c>
      <c r="E25" s="340">
        <v>143</v>
      </c>
      <c r="F25" s="442" t="s">
        <v>316</v>
      </c>
      <c r="G25" s="442" t="s">
        <v>322</v>
      </c>
      <c r="H25" s="443">
        <v>132</v>
      </c>
      <c r="I25" s="130">
        <f t="shared" si="0"/>
        <v>51.126</v>
      </c>
      <c r="J25" s="444">
        <v>40058.60555555556</v>
      </c>
      <c r="K25" s="155">
        <v>40058.709027777775</v>
      </c>
      <c r="L25" s="445">
        <f t="shared" si="1"/>
        <v>2.4833333332207985</v>
      </c>
      <c r="M25" s="446">
        <f t="shared" si="2"/>
        <v>149</v>
      </c>
      <c r="N25" s="262" t="s">
        <v>303</v>
      </c>
      <c r="O25" s="263" t="str">
        <f t="shared" si="3"/>
        <v>--</v>
      </c>
      <c r="P25" s="787">
        <f t="shared" si="4"/>
        <v>40</v>
      </c>
      <c r="Q25" s="940">
        <f t="shared" si="5"/>
        <v>507.16992000000005</v>
      </c>
      <c r="R25" s="194" t="str">
        <f t="shared" si="6"/>
        <v>--</v>
      </c>
      <c r="S25" s="439" t="str">
        <f t="shared" si="7"/>
        <v>--</v>
      </c>
      <c r="T25" s="440" t="str">
        <f t="shared" si="8"/>
        <v>--</v>
      </c>
      <c r="U25" s="263" t="s">
        <v>240</v>
      </c>
      <c r="V25" s="447">
        <f aca="true" t="shared" si="9" ref="V25:V43">IF(F25="","",SUM(Q25:T25)*IF(U25="SI",1,2))</f>
        <v>507.16992000000005</v>
      </c>
      <c r="W25" s="6"/>
    </row>
    <row r="26" spans="2:23" s="5" customFormat="1" ht="16.5" customHeight="1">
      <c r="B26" s="50"/>
      <c r="C26" s="340">
        <v>29</v>
      </c>
      <c r="D26" s="340">
        <v>210746</v>
      </c>
      <c r="E26" s="157">
        <v>143</v>
      </c>
      <c r="F26" s="442" t="s">
        <v>316</v>
      </c>
      <c r="G26" s="442" t="s">
        <v>322</v>
      </c>
      <c r="H26" s="443">
        <v>132</v>
      </c>
      <c r="I26" s="130">
        <f t="shared" si="0"/>
        <v>51.126</v>
      </c>
      <c r="J26" s="444">
        <v>40059.345138888886</v>
      </c>
      <c r="K26" s="155">
        <v>40059.36041666667</v>
      </c>
      <c r="L26" s="445">
        <f t="shared" si="1"/>
        <v>0.3666666668141261</v>
      </c>
      <c r="M26" s="446">
        <f t="shared" si="2"/>
        <v>22</v>
      </c>
      <c r="N26" s="262" t="s">
        <v>303</v>
      </c>
      <c r="O26" s="263" t="str">
        <f t="shared" si="3"/>
        <v>--</v>
      </c>
      <c r="P26" s="787">
        <f t="shared" si="4"/>
        <v>40</v>
      </c>
      <c r="Q26" s="940">
        <f t="shared" si="5"/>
        <v>75.66648</v>
      </c>
      <c r="R26" s="194" t="str">
        <f t="shared" si="6"/>
        <v>--</v>
      </c>
      <c r="S26" s="439" t="str">
        <f t="shared" si="7"/>
        <v>--</v>
      </c>
      <c r="T26" s="440" t="str">
        <f t="shared" si="8"/>
        <v>--</v>
      </c>
      <c r="U26" s="263" t="s">
        <v>240</v>
      </c>
      <c r="V26" s="447">
        <f t="shared" si="9"/>
        <v>75.66648</v>
      </c>
      <c r="W26" s="6"/>
    </row>
    <row r="27" spans="2:23" s="5" customFormat="1" ht="16.5" customHeight="1">
      <c r="B27" s="50"/>
      <c r="C27" s="340">
        <v>30</v>
      </c>
      <c r="D27" s="340">
        <v>210745</v>
      </c>
      <c r="E27" s="340">
        <v>2600</v>
      </c>
      <c r="F27" s="442" t="s">
        <v>323</v>
      </c>
      <c r="G27" s="442" t="s">
        <v>324</v>
      </c>
      <c r="H27" s="443">
        <v>500</v>
      </c>
      <c r="I27" s="130">
        <f t="shared" si="0"/>
        <v>63.904</v>
      </c>
      <c r="J27" s="444">
        <v>40059.41458333333</v>
      </c>
      <c r="K27" s="155">
        <v>40059.71666666667</v>
      </c>
      <c r="L27" s="445">
        <f t="shared" si="1"/>
        <v>7.250000000058208</v>
      </c>
      <c r="M27" s="446">
        <f t="shared" si="2"/>
        <v>435</v>
      </c>
      <c r="N27" s="262" t="s">
        <v>303</v>
      </c>
      <c r="O27" s="263" t="str">
        <f t="shared" si="3"/>
        <v>--</v>
      </c>
      <c r="P27" s="787">
        <f t="shared" si="4"/>
        <v>200</v>
      </c>
      <c r="Q27" s="940">
        <f t="shared" si="5"/>
        <v>9266.08</v>
      </c>
      <c r="R27" s="194" t="str">
        <f t="shared" si="6"/>
        <v>--</v>
      </c>
      <c r="S27" s="439" t="str">
        <f t="shared" si="7"/>
        <v>--</v>
      </c>
      <c r="T27" s="440" t="str">
        <f t="shared" si="8"/>
        <v>--</v>
      </c>
      <c r="U27" s="263" t="s">
        <v>240</v>
      </c>
      <c r="V27" s="447">
        <f t="shared" si="9"/>
        <v>9266.08</v>
      </c>
      <c r="W27" s="6"/>
    </row>
    <row r="28" spans="2:23" s="5" customFormat="1" ht="16.5" customHeight="1">
      <c r="B28" s="50"/>
      <c r="C28" s="340">
        <v>31</v>
      </c>
      <c r="D28" s="340">
        <v>210749</v>
      </c>
      <c r="E28" s="157">
        <v>95</v>
      </c>
      <c r="F28" s="442" t="s">
        <v>325</v>
      </c>
      <c r="G28" s="442" t="s">
        <v>326</v>
      </c>
      <c r="H28" s="443">
        <v>132</v>
      </c>
      <c r="I28" s="130">
        <f t="shared" si="0"/>
        <v>51.126</v>
      </c>
      <c r="J28" s="444">
        <v>40060.350694444445</v>
      </c>
      <c r="K28" s="155">
        <v>40060.74652777778</v>
      </c>
      <c r="L28" s="445">
        <f t="shared" si="1"/>
        <v>9.500000000058208</v>
      </c>
      <c r="M28" s="446">
        <f t="shared" si="2"/>
        <v>570</v>
      </c>
      <c r="N28" s="262" t="s">
        <v>303</v>
      </c>
      <c r="O28" s="263" t="str">
        <f t="shared" si="3"/>
        <v>--</v>
      </c>
      <c r="P28" s="787">
        <f t="shared" si="4"/>
        <v>40</v>
      </c>
      <c r="Q28" s="940">
        <f t="shared" si="5"/>
        <v>1942.7880000000002</v>
      </c>
      <c r="R28" s="194" t="str">
        <f t="shared" si="6"/>
        <v>--</v>
      </c>
      <c r="S28" s="439" t="str">
        <f t="shared" si="7"/>
        <v>--</v>
      </c>
      <c r="T28" s="440" t="str">
        <f t="shared" si="8"/>
        <v>--</v>
      </c>
      <c r="U28" s="263" t="s">
        <v>240</v>
      </c>
      <c r="V28" s="447">
        <f t="shared" si="9"/>
        <v>1942.7880000000002</v>
      </c>
      <c r="W28" s="6"/>
    </row>
    <row r="29" spans="2:23" s="1061" customFormat="1" ht="16.5" customHeight="1">
      <c r="B29" s="1046"/>
      <c r="C29" s="1047">
        <v>32</v>
      </c>
      <c r="D29" s="1047">
        <v>210750</v>
      </c>
      <c r="E29" s="1047">
        <v>86</v>
      </c>
      <c r="F29" s="1048" t="s">
        <v>327</v>
      </c>
      <c r="G29" s="1048" t="s">
        <v>328</v>
      </c>
      <c r="H29" s="1049">
        <v>500</v>
      </c>
      <c r="I29" s="1050">
        <f t="shared" si="0"/>
        <v>63.904</v>
      </c>
      <c r="J29" s="1051">
        <v>40061.30763888889</v>
      </c>
      <c r="K29" s="1043">
        <v>40061.777083333334</v>
      </c>
      <c r="L29" s="1052">
        <f t="shared" si="1"/>
        <v>11.266666666720994</v>
      </c>
      <c r="M29" s="1053">
        <f t="shared" si="2"/>
        <v>676</v>
      </c>
      <c r="N29" s="1054" t="s">
        <v>303</v>
      </c>
      <c r="O29" s="1044" t="str">
        <f t="shared" si="3"/>
        <v>--</v>
      </c>
      <c r="P29" s="1045">
        <f t="shared" si="4"/>
        <v>200</v>
      </c>
      <c r="Q29" s="1055">
        <f t="shared" si="5"/>
        <v>14403.961600000002</v>
      </c>
      <c r="R29" s="1056" t="str">
        <f t="shared" si="6"/>
        <v>--</v>
      </c>
      <c r="S29" s="1057" t="str">
        <f t="shared" si="7"/>
        <v>--</v>
      </c>
      <c r="T29" s="1058" t="str">
        <f t="shared" si="8"/>
        <v>--</v>
      </c>
      <c r="U29" s="1044" t="s">
        <v>240</v>
      </c>
      <c r="V29" s="1059">
        <v>0</v>
      </c>
      <c r="W29" s="1060"/>
    </row>
    <row r="30" spans="2:23" s="5" customFormat="1" ht="16.5" customHeight="1">
      <c r="B30" s="50"/>
      <c r="C30" s="340">
        <v>33</v>
      </c>
      <c r="D30" s="340">
        <v>210751</v>
      </c>
      <c r="E30" s="157">
        <v>95</v>
      </c>
      <c r="F30" s="442" t="s">
        <v>325</v>
      </c>
      <c r="G30" s="442" t="s">
        <v>326</v>
      </c>
      <c r="H30" s="443">
        <v>132</v>
      </c>
      <c r="I30" s="130">
        <f t="shared" si="0"/>
        <v>51.126</v>
      </c>
      <c r="J30" s="444">
        <v>40061.33541666667</v>
      </c>
      <c r="K30" s="155">
        <v>40061.73472222222</v>
      </c>
      <c r="L30" s="445">
        <f t="shared" si="1"/>
        <v>9.58333333331393</v>
      </c>
      <c r="M30" s="446">
        <f t="shared" si="2"/>
        <v>575</v>
      </c>
      <c r="N30" s="262" t="s">
        <v>303</v>
      </c>
      <c r="O30" s="263" t="str">
        <f t="shared" si="3"/>
        <v>--</v>
      </c>
      <c r="P30" s="787">
        <f t="shared" si="4"/>
        <v>40</v>
      </c>
      <c r="Q30" s="940">
        <f t="shared" si="5"/>
        <v>1959.14832</v>
      </c>
      <c r="R30" s="194" t="str">
        <f t="shared" si="6"/>
        <v>--</v>
      </c>
      <c r="S30" s="439" t="str">
        <f t="shared" si="7"/>
        <v>--</v>
      </c>
      <c r="T30" s="440" t="str">
        <f t="shared" si="8"/>
        <v>--</v>
      </c>
      <c r="U30" s="263" t="s">
        <v>240</v>
      </c>
      <c r="V30" s="447">
        <f t="shared" si="9"/>
        <v>1959.14832</v>
      </c>
      <c r="W30" s="6"/>
    </row>
    <row r="31" spans="2:23" s="1061" customFormat="1" ht="16.5" customHeight="1">
      <c r="B31" s="1046"/>
      <c r="C31" s="1047">
        <v>34</v>
      </c>
      <c r="D31" s="1047">
        <v>210754</v>
      </c>
      <c r="E31" s="1047">
        <v>1839</v>
      </c>
      <c r="F31" s="1048" t="s">
        <v>329</v>
      </c>
      <c r="G31" s="1048" t="s">
        <v>330</v>
      </c>
      <c r="H31" s="1049">
        <v>500</v>
      </c>
      <c r="I31" s="1050">
        <f t="shared" si="0"/>
        <v>63.904</v>
      </c>
      <c r="J31" s="1051">
        <v>40062.33472222222</v>
      </c>
      <c r="K31" s="1043">
        <v>40062.56180555555</v>
      </c>
      <c r="L31" s="1052">
        <f t="shared" si="1"/>
        <v>5.449999999953434</v>
      </c>
      <c r="M31" s="1053">
        <f t="shared" si="2"/>
        <v>327</v>
      </c>
      <c r="N31" s="1054" t="s">
        <v>303</v>
      </c>
      <c r="O31" s="1044" t="str">
        <f t="shared" si="3"/>
        <v>--</v>
      </c>
      <c r="P31" s="1045">
        <f t="shared" si="4"/>
        <v>200</v>
      </c>
      <c r="Q31" s="1055">
        <f t="shared" si="5"/>
        <v>6965.536000000002</v>
      </c>
      <c r="R31" s="1056" t="str">
        <f t="shared" si="6"/>
        <v>--</v>
      </c>
      <c r="S31" s="1057" t="str">
        <f t="shared" si="7"/>
        <v>--</v>
      </c>
      <c r="T31" s="1058" t="str">
        <f t="shared" si="8"/>
        <v>--</v>
      </c>
      <c r="U31" s="1044" t="s">
        <v>240</v>
      </c>
      <c r="V31" s="1059">
        <v>0</v>
      </c>
      <c r="W31" s="1060"/>
    </row>
    <row r="32" spans="2:23" s="5" customFormat="1" ht="16.5" customHeight="1">
      <c r="B32" s="50"/>
      <c r="C32" s="340">
        <v>35</v>
      </c>
      <c r="D32" s="340">
        <v>210755</v>
      </c>
      <c r="E32" s="157">
        <v>95</v>
      </c>
      <c r="F32" s="442" t="s">
        <v>325</v>
      </c>
      <c r="G32" s="442" t="s">
        <v>326</v>
      </c>
      <c r="H32" s="443">
        <v>132</v>
      </c>
      <c r="I32" s="130">
        <f t="shared" si="0"/>
        <v>51.126</v>
      </c>
      <c r="J32" s="444">
        <v>40062.342361111114</v>
      </c>
      <c r="K32" s="155">
        <v>40062.74375</v>
      </c>
      <c r="L32" s="445">
        <f t="shared" si="1"/>
        <v>9.63333333330229</v>
      </c>
      <c r="M32" s="446">
        <f t="shared" si="2"/>
        <v>578</v>
      </c>
      <c r="N32" s="262" t="s">
        <v>303</v>
      </c>
      <c r="O32" s="263" t="str">
        <f t="shared" si="3"/>
        <v>--</v>
      </c>
      <c r="P32" s="787">
        <f t="shared" si="4"/>
        <v>40</v>
      </c>
      <c r="Q32" s="940">
        <f t="shared" si="5"/>
        <v>1969.3735200000003</v>
      </c>
      <c r="R32" s="194" t="str">
        <f t="shared" si="6"/>
        <v>--</v>
      </c>
      <c r="S32" s="439" t="str">
        <f t="shared" si="7"/>
        <v>--</v>
      </c>
      <c r="T32" s="440" t="str">
        <f t="shared" si="8"/>
        <v>--</v>
      </c>
      <c r="U32" s="263" t="s">
        <v>240</v>
      </c>
      <c r="V32" s="447">
        <f t="shared" si="9"/>
        <v>1969.3735200000003</v>
      </c>
      <c r="W32" s="6"/>
    </row>
    <row r="33" spans="2:23" s="1080" customFormat="1" ht="16.5" customHeight="1">
      <c r="B33" s="1062"/>
      <c r="C33" s="1063">
        <v>36</v>
      </c>
      <c r="D33" s="1063">
        <v>210935</v>
      </c>
      <c r="E33" s="1063">
        <v>2600</v>
      </c>
      <c r="F33" s="1064" t="s">
        <v>323</v>
      </c>
      <c r="G33" s="1064" t="s">
        <v>324</v>
      </c>
      <c r="H33" s="1065">
        <v>500</v>
      </c>
      <c r="I33" s="1066">
        <f t="shared" si="0"/>
        <v>63.904</v>
      </c>
      <c r="J33" s="1067">
        <v>40063.566666666666</v>
      </c>
      <c r="K33" s="1068">
        <v>40063.62291666667</v>
      </c>
      <c r="L33" s="1069">
        <f t="shared" si="1"/>
        <v>1.3500000000349246</v>
      </c>
      <c r="M33" s="1070">
        <f t="shared" si="2"/>
        <v>81</v>
      </c>
      <c r="N33" s="1071" t="s">
        <v>300</v>
      </c>
      <c r="O33" s="1072" t="s">
        <v>240</v>
      </c>
      <c r="P33" s="1073">
        <f t="shared" si="4"/>
        <v>200</v>
      </c>
      <c r="Q33" s="1074" t="str">
        <f t="shared" si="5"/>
        <v>--</v>
      </c>
      <c r="R33" s="1075" t="str">
        <f t="shared" si="6"/>
        <v>--</v>
      </c>
      <c r="S33" s="1076">
        <f t="shared" si="7"/>
        <v>17254.08</v>
      </c>
      <c r="T33" s="1077" t="str">
        <f t="shared" si="8"/>
        <v>--</v>
      </c>
      <c r="U33" s="1072" t="s">
        <v>240</v>
      </c>
      <c r="V33" s="1078">
        <f t="shared" si="9"/>
        <v>17254.08</v>
      </c>
      <c r="W33" s="1079"/>
    </row>
    <row r="34" spans="2:23" s="1061" customFormat="1" ht="16.5" customHeight="1">
      <c r="B34" s="1046"/>
      <c r="C34" s="1047">
        <v>37</v>
      </c>
      <c r="D34" s="1047">
        <v>210939</v>
      </c>
      <c r="E34" s="1041">
        <v>2739</v>
      </c>
      <c r="F34" s="1048" t="s">
        <v>331</v>
      </c>
      <c r="G34" s="1048" t="s">
        <v>332</v>
      </c>
      <c r="H34" s="1049">
        <v>132</v>
      </c>
      <c r="I34" s="1050">
        <f t="shared" si="0"/>
        <v>51.126</v>
      </c>
      <c r="J34" s="1051">
        <v>40064.42361111111</v>
      </c>
      <c r="K34" s="1043">
        <v>40064.63888888889</v>
      </c>
      <c r="L34" s="1052">
        <f t="shared" si="1"/>
        <v>5.166666666744277</v>
      </c>
      <c r="M34" s="1053">
        <f t="shared" si="2"/>
        <v>310</v>
      </c>
      <c r="N34" s="1054" t="s">
        <v>303</v>
      </c>
      <c r="O34" s="1044" t="str">
        <f t="shared" si="3"/>
        <v>--</v>
      </c>
      <c r="P34" s="1045">
        <f t="shared" si="4"/>
        <v>40</v>
      </c>
      <c r="Q34" s="1055">
        <f t="shared" si="5"/>
        <v>1057.28568</v>
      </c>
      <c r="R34" s="1056" t="str">
        <f t="shared" si="6"/>
        <v>--</v>
      </c>
      <c r="S34" s="1057" t="str">
        <f t="shared" si="7"/>
        <v>--</v>
      </c>
      <c r="T34" s="1058" t="str">
        <f t="shared" si="8"/>
        <v>--</v>
      </c>
      <c r="U34" s="1044" t="s">
        <v>240</v>
      </c>
      <c r="V34" s="1059">
        <v>0</v>
      </c>
      <c r="W34" s="1060"/>
    </row>
    <row r="35" spans="2:23" s="1061" customFormat="1" ht="16.5" customHeight="1">
      <c r="B35" s="1046"/>
      <c r="C35" s="1047">
        <v>38</v>
      </c>
      <c r="D35" s="1047">
        <v>210947</v>
      </c>
      <c r="E35" s="1047">
        <v>4738</v>
      </c>
      <c r="F35" s="1048" t="s">
        <v>368</v>
      </c>
      <c r="G35" s="1048" t="s">
        <v>369</v>
      </c>
      <c r="H35" s="1049">
        <v>500</v>
      </c>
      <c r="I35" s="1050">
        <f t="shared" si="0"/>
        <v>63.904</v>
      </c>
      <c r="J35" s="1051">
        <v>40065.52569444444</v>
      </c>
      <c r="K35" s="1043">
        <v>40065.52777777778</v>
      </c>
      <c r="L35" s="1052">
        <f t="shared" si="1"/>
        <v>0.05000000016298145</v>
      </c>
      <c r="M35" s="1053">
        <f t="shared" si="2"/>
        <v>3</v>
      </c>
      <c r="N35" s="1054" t="s">
        <v>303</v>
      </c>
      <c r="O35" s="1044" t="str">
        <f t="shared" si="3"/>
        <v>--</v>
      </c>
      <c r="P35" s="1045">
        <f t="shared" si="4"/>
        <v>200</v>
      </c>
      <c r="Q35" s="1055">
        <f t="shared" si="5"/>
        <v>63.90400000000001</v>
      </c>
      <c r="R35" s="1056" t="str">
        <f t="shared" si="6"/>
        <v>--</v>
      </c>
      <c r="S35" s="1057" t="str">
        <f t="shared" si="7"/>
        <v>--</v>
      </c>
      <c r="T35" s="1058" t="str">
        <f t="shared" si="8"/>
        <v>--</v>
      </c>
      <c r="U35" s="1044" t="s">
        <v>240</v>
      </c>
      <c r="V35" s="1059">
        <v>0</v>
      </c>
      <c r="W35" s="1060"/>
    </row>
    <row r="36" spans="2:23" s="1061" customFormat="1" ht="16.5" customHeight="1">
      <c r="B36" s="1046"/>
      <c r="C36" s="1047">
        <v>39</v>
      </c>
      <c r="D36" s="1047">
        <v>210948</v>
      </c>
      <c r="E36" s="1041">
        <v>4758</v>
      </c>
      <c r="F36" s="1048" t="s">
        <v>368</v>
      </c>
      <c r="G36" s="1048" t="s">
        <v>370</v>
      </c>
      <c r="H36" s="1049">
        <v>500</v>
      </c>
      <c r="I36" s="1050">
        <f t="shared" si="0"/>
        <v>63.904</v>
      </c>
      <c r="J36" s="1051">
        <v>40065.572916666664</v>
      </c>
      <c r="K36" s="1043">
        <v>40065.575694444444</v>
      </c>
      <c r="L36" s="1052">
        <f t="shared" si="1"/>
        <v>0.06666666670935228</v>
      </c>
      <c r="M36" s="1053">
        <f t="shared" si="2"/>
        <v>4</v>
      </c>
      <c r="N36" s="1054" t="s">
        <v>303</v>
      </c>
      <c r="O36" s="1044" t="str">
        <f t="shared" si="3"/>
        <v>--</v>
      </c>
      <c r="P36" s="1045">
        <f t="shared" si="4"/>
        <v>200</v>
      </c>
      <c r="Q36" s="1055">
        <f t="shared" si="5"/>
        <v>89.46560000000002</v>
      </c>
      <c r="R36" s="1056" t="str">
        <f t="shared" si="6"/>
        <v>--</v>
      </c>
      <c r="S36" s="1057" t="str">
        <f t="shared" si="7"/>
        <v>--</v>
      </c>
      <c r="T36" s="1058" t="str">
        <f t="shared" si="8"/>
        <v>--</v>
      </c>
      <c r="U36" s="1044" t="s">
        <v>240</v>
      </c>
      <c r="V36" s="1059">
        <v>0</v>
      </c>
      <c r="W36" s="1060"/>
    </row>
    <row r="37" spans="2:23" s="5" customFormat="1" ht="16.5" customHeight="1">
      <c r="B37" s="50"/>
      <c r="C37" s="340">
        <v>40</v>
      </c>
      <c r="D37" s="340">
        <v>210961</v>
      </c>
      <c r="E37" s="340">
        <v>3266</v>
      </c>
      <c r="F37" s="442" t="s">
        <v>321</v>
      </c>
      <c r="G37" s="442" t="s">
        <v>333</v>
      </c>
      <c r="H37" s="443">
        <v>132</v>
      </c>
      <c r="I37" s="130">
        <f t="shared" si="0"/>
        <v>51.126</v>
      </c>
      <c r="J37" s="444">
        <v>40068.35555555556</v>
      </c>
      <c r="K37" s="155">
        <v>40068.7125</v>
      </c>
      <c r="L37" s="445">
        <f t="shared" si="1"/>
        <v>8.566666666651145</v>
      </c>
      <c r="M37" s="446">
        <f t="shared" si="2"/>
        <v>514</v>
      </c>
      <c r="N37" s="262" t="s">
        <v>303</v>
      </c>
      <c r="O37" s="263" t="str">
        <f t="shared" si="3"/>
        <v>--</v>
      </c>
      <c r="P37" s="787">
        <f t="shared" si="4"/>
        <v>40</v>
      </c>
      <c r="Q37" s="940">
        <f t="shared" si="5"/>
        <v>1752.5992800000001</v>
      </c>
      <c r="R37" s="194" t="str">
        <f t="shared" si="6"/>
        <v>--</v>
      </c>
      <c r="S37" s="439" t="str">
        <f t="shared" si="7"/>
        <v>--</v>
      </c>
      <c r="T37" s="440" t="str">
        <f t="shared" si="8"/>
        <v>--</v>
      </c>
      <c r="U37" s="263" t="s">
        <v>240</v>
      </c>
      <c r="V37" s="447">
        <f t="shared" si="9"/>
        <v>1752.5992800000001</v>
      </c>
      <c r="W37" s="6"/>
    </row>
    <row r="38" spans="2:23" s="1061" customFormat="1" ht="16.5" customHeight="1">
      <c r="B38" s="1046"/>
      <c r="C38" s="1047">
        <v>41</v>
      </c>
      <c r="D38" s="1047">
        <v>210966</v>
      </c>
      <c r="E38" s="1041">
        <v>3267</v>
      </c>
      <c r="F38" s="1048" t="s">
        <v>321</v>
      </c>
      <c r="G38" s="1048" t="s">
        <v>334</v>
      </c>
      <c r="H38" s="1049">
        <v>132</v>
      </c>
      <c r="I38" s="1050">
        <f t="shared" si="0"/>
        <v>51.126</v>
      </c>
      <c r="J38" s="1051">
        <v>40069.34375</v>
      </c>
      <c r="K38" s="1043">
        <v>40069.67152777778</v>
      </c>
      <c r="L38" s="1052">
        <f t="shared" si="1"/>
        <v>7.866666666639503</v>
      </c>
      <c r="M38" s="1053">
        <f t="shared" si="2"/>
        <v>472</v>
      </c>
      <c r="N38" s="1054" t="s">
        <v>303</v>
      </c>
      <c r="O38" s="1044" t="str">
        <f t="shared" si="3"/>
        <v>--</v>
      </c>
      <c r="P38" s="1045">
        <f t="shared" si="4"/>
        <v>40</v>
      </c>
      <c r="Q38" s="1055">
        <f t="shared" si="5"/>
        <v>1609.44648</v>
      </c>
      <c r="R38" s="1056" t="str">
        <f t="shared" si="6"/>
        <v>--</v>
      </c>
      <c r="S38" s="1057" t="str">
        <f t="shared" si="7"/>
        <v>--</v>
      </c>
      <c r="T38" s="1058" t="str">
        <f t="shared" si="8"/>
        <v>--</v>
      </c>
      <c r="U38" s="1044" t="s">
        <v>240</v>
      </c>
      <c r="V38" s="1059">
        <v>0</v>
      </c>
      <c r="W38" s="1060"/>
    </row>
    <row r="39" spans="2:23" s="5" customFormat="1" ht="16.5" customHeight="1">
      <c r="B39" s="50"/>
      <c r="C39" s="340">
        <v>42</v>
      </c>
      <c r="D39" s="340">
        <v>211154</v>
      </c>
      <c r="E39" s="340">
        <v>95</v>
      </c>
      <c r="F39" s="442" t="s">
        <v>325</v>
      </c>
      <c r="G39" s="442" t="s">
        <v>326</v>
      </c>
      <c r="H39" s="443">
        <v>132</v>
      </c>
      <c r="I39" s="130">
        <f t="shared" si="0"/>
        <v>51.126</v>
      </c>
      <c r="J39" s="444">
        <v>40075.33194444444</v>
      </c>
      <c r="K39" s="155">
        <v>40075.73611111111</v>
      </c>
      <c r="L39" s="445">
        <f t="shared" si="1"/>
        <v>9.700000000011642</v>
      </c>
      <c r="M39" s="446">
        <f t="shared" si="2"/>
        <v>582</v>
      </c>
      <c r="N39" s="262" t="s">
        <v>303</v>
      </c>
      <c r="O39" s="263" t="str">
        <f t="shared" si="3"/>
        <v>--</v>
      </c>
      <c r="P39" s="787">
        <f t="shared" si="4"/>
        <v>40</v>
      </c>
      <c r="Q39" s="940">
        <f t="shared" si="5"/>
        <v>1983.6888</v>
      </c>
      <c r="R39" s="194" t="str">
        <f t="shared" si="6"/>
        <v>--</v>
      </c>
      <c r="S39" s="439" t="str">
        <f t="shared" si="7"/>
        <v>--</v>
      </c>
      <c r="T39" s="440" t="str">
        <f t="shared" si="8"/>
        <v>--</v>
      </c>
      <c r="U39" s="263" t="s">
        <v>240</v>
      </c>
      <c r="V39" s="447">
        <f t="shared" si="9"/>
        <v>1983.6888</v>
      </c>
      <c r="W39" s="6"/>
    </row>
    <row r="40" spans="2:23" s="5" customFormat="1" ht="16.5" customHeight="1">
      <c r="B40" s="50"/>
      <c r="C40" s="340">
        <v>43</v>
      </c>
      <c r="D40" s="340">
        <v>211151</v>
      </c>
      <c r="E40" s="157">
        <v>94</v>
      </c>
      <c r="F40" s="442" t="s">
        <v>325</v>
      </c>
      <c r="G40" s="442" t="s">
        <v>335</v>
      </c>
      <c r="H40" s="443">
        <v>500</v>
      </c>
      <c r="I40" s="130">
        <f t="shared" si="0"/>
        <v>63.904</v>
      </c>
      <c r="J40" s="444">
        <v>40075.334027777775</v>
      </c>
      <c r="K40" s="155">
        <v>40075.771527777775</v>
      </c>
      <c r="L40" s="445">
        <f t="shared" si="1"/>
        <v>10.5</v>
      </c>
      <c r="M40" s="446">
        <f t="shared" si="2"/>
        <v>630</v>
      </c>
      <c r="N40" s="262" t="s">
        <v>303</v>
      </c>
      <c r="O40" s="263" t="str">
        <f t="shared" si="3"/>
        <v>--</v>
      </c>
      <c r="P40" s="787">
        <f t="shared" si="4"/>
        <v>200</v>
      </c>
      <c r="Q40" s="940">
        <f t="shared" si="5"/>
        <v>13419.840000000004</v>
      </c>
      <c r="R40" s="194" t="str">
        <f t="shared" si="6"/>
        <v>--</v>
      </c>
      <c r="S40" s="439" t="str">
        <f t="shared" si="7"/>
        <v>--</v>
      </c>
      <c r="T40" s="440" t="str">
        <f t="shared" si="8"/>
        <v>--</v>
      </c>
      <c r="U40" s="263" t="s">
        <v>240</v>
      </c>
      <c r="V40" s="447">
        <f t="shared" si="9"/>
        <v>13419.840000000004</v>
      </c>
      <c r="W40" s="6"/>
    </row>
    <row r="41" spans="2:23" s="1061" customFormat="1" ht="16.5" customHeight="1">
      <c r="B41" s="1046"/>
      <c r="C41" s="1047">
        <v>44</v>
      </c>
      <c r="D41" s="1047">
        <v>211153</v>
      </c>
      <c r="E41" s="1047">
        <v>86</v>
      </c>
      <c r="F41" s="1048" t="s">
        <v>327</v>
      </c>
      <c r="G41" s="1048" t="s">
        <v>328</v>
      </c>
      <c r="H41" s="1049">
        <v>500</v>
      </c>
      <c r="I41" s="1050">
        <f t="shared" si="0"/>
        <v>63.904</v>
      </c>
      <c r="J41" s="1051">
        <v>40075.56597222222</v>
      </c>
      <c r="K41" s="1043">
        <v>40075.62152777778</v>
      </c>
      <c r="L41" s="1052">
        <f t="shared" si="1"/>
        <v>1.3333333334885538</v>
      </c>
      <c r="M41" s="1053">
        <f t="shared" si="2"/>
        <v>80</v>
      </c>
      <c r="N41" s="1054" t="s">
        <v>303</v>
      </c>
      <c r="O41" s="1044" t="str">
        <f t="shared" si="3"/>
        <v>--</v>
      </c>
      <c r="P41" s="1045">
        <f t="shared" si="4"/>
        <v>200</v>
      </c>
      <c r="Q41" s="1055">
        <f t="shared" si="5"/>
        <v>1699.8464000000004</v>
      </c>
      <c r="R41" s="1056" t="str">
        <f t="shared" si="6"/>
        <v>--</v>
      </c>
      <c r="S41" s="1057" t="str">
        <f t="shared" si="7"/>
        <v>--</v>
      </c>
      <c r="T41" s="1058" t="str">
        <f t="shared" si="8"/>
        <v>--</v>
      </c>
      <c r="U41" s="1044" t="s">
        <v>240</v>
      </c>
      <c r="V41" s="1059">
        <v>0</v>
      </c>
      <c r="W41" s="1060"/>
    </row>
    <row r="42" spans="2:23" s="5" customFormat="1" ht="16.5" customHeight="1">
      <c r="B42" s="50"/>
      <c r="C42" s="340">
        <v>45</v>
      </c>
      <c r="D42" s="340">
        <v>211155</v>
      </c>
      <c r="E42" s="157">
        <v>95</v>
      </c>
      <c r="F42" s="442" t="s">
        <v>325</v>
      </c>
      <c r="G42" s="442" t="s">
        <v>326</v>
      </c>
      <c r="H42" s="443">
        <v>132</v>
      </c>
      <c r="I42" s="130">
        <f t="shared" si="0"/>
        <v>51.126</v>
      </c>
      <c r="J42" s="444">
        <v>40076.33263888889</v>
      </c>
      <c r="K42" s="155">
        <v>40076.75069444445</v>
      </c>
      <c r="L42" s="445">
        <f t="shared" si="1"/>
        <v>10.03333333338378</v>
      </c>
      <c r="M42" s="446">
        <f t="shared" si="2"/>
        <v>602</v>
      </c>
      <c r="N42" s="262" t="s">
        <v>303</v>
      </c>
      <c r="O42" s="263" t="str">
        <f t="shared" si="3"/>
        <v>--</v>
      </c>
      <c r="P42" s="787">
        <f t="shared" si="4"/>
        <v>40</v>
      </c>
      <c r="Q42" s="940">
        <f t="shared" si="5"/>
        <v>2051.17512</v>
      </c>
      <c r="R42" s="194" t="str">
        <f t="shared" si="6"/>
        <v>--</v>
      </c>
      <c r="S42" s="439" t="str">
        <f t="shared" si="7"/>
        <v>--</v>
      </c>
      <c r="T42" s="440" t="str">
        <f t="shared" si="8"/>
        <v>--</v>
      </c>
      <c r="U42" s="263" t="s">
        <v>240</v>
      </c>
      <c r="V42" s="447">
        <f t="shared" si="9"/>
        <v>2051.17512</v>
      </c>
      <c r="W42" s="6"/>
    </row>
    <row r="43" spans="2:23" s="5" customFormat="1" ht="16.5" customHeight="1">
      <c r="B43" s="50"/>
      <c r="C43" s="340"/>
      <c r="D43" s="340"/>
      <c r="E43" s="340"/>
      <c r="F43" s="442"/>
      <c r="G43" s="442"/>
      <c r="H43" s="443"/>
      <c r="I43" s="130">
        <f t="shared" si="0"/>
        <v>51.126</v>
      </c>
      <c r="J43" s="444"/>
      <c r="K43" s="155"/>
      <c r="L43" s="445">
        <f t="shared" si="1"/>
      </c>
      <c r="M43" s="446">
        <f t="shared" si="2"/>
      </c>
      <c r="N43" s="262"/>
      <c r="O43" s="263">
        <f t="shared" si="3"/>
      </c>
      <c r="P43" s="787">
        <f t="shared" si="4"/>
        <v>40</v>
      </c>
      <c r="Q43" s="940" t="str">
        <f t="shared" si="5"/>
        <v>--</v>
      </c>
      <c r="R43" s="194" t="str">
        <f t="shared" si="6"/>
        <v>--</v>
      </c>
      <c r="S43" s="439" t="str">
        <f t="shared" si="7"/>
        <v>--</v>
      </c>
      <c r="T43" s="440" t="str">
        <f t="shared" si="8"/>
        <v>--</v>
      </c>
      <c r="U43" s="263">
        <f>IF(F43="","","SI")</f>
      </c>
      <c r="V43" s="447">
        <f t="shared" si="9"/>
      </c>
      <c r="W43" s="6"/>
    </row>
    <row r="44" spans="2:23" s="5" customFormat="1" ht="16.5" customHeight="1" thickBot="1">
      <c r="B44" s="50"/>
      <c r="C44" s="277"/>
      <c r="D44" s="277"/>
      <c r="E44" s="277"/>
      <c r="F44" s="277"/>
      <c r="G44" s="277"/>
      <c r="H44" s="277"/>
      <c r="I44" s="131"/>
      <c r="J44" s="448"/>
      <c r="K44" s="448"/>
      <c r="L44" s="449"/>
      <c r="M44" s="449"/>
      <c r="N44" s="448"/>
      <c r="O44" s="156"/>
      <c r="P44" s="450"/>
      <c r="Q44" s="451"/>
      <c r="R44" s="452"/>
      <c r="S44" s="453"/>
      <c r="T44" s="162"/>
      <c r="U44" s="156"/>
      <c r="V44" s="454"/>
      <c r="W44" s="6"/>
    </row>
    <row r="45" spans="2:23" s="5" customFormat="1" ht="16.5" customHeight="1" thickBot="1" thickTop="1">
      <c r="B45" s="50"/>
      <c r="C45" s="127" t="s">
        <v>25</v>
      </c>
      <c r="D45" s="971" t="s">
        <v>361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455">
        <f>SUM(Q22:Q44)</f>
        <v>73597.77520000002</v>
      </c>
      <c r="R45" s="456">
        <f>SUM(R22:R44)</f>
        <v>0</v>
      </c>
      <c r="S45" s="457">
        <f>SUM(S22:S44)</f>
        <v>17254.08</v>
      </c>
      <c r="T45" s="458">
        <f>SUM(T22:T44)</f>
        <v>0</v>
      </c>
      <c r="U45" s="459"/>
      <c r="V45" s="100">
        <f>ROUND(SUM(V22:V44),2)</f>
        <v>52181.61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7"/>
      <c r="X47" s="177"/>
      <c r="Y47" s="177"/>
    </row>
    <row r="48" spans="23:25" ht="16.5" customHeight="1">
      <c r="W48" s="177"/>
      <c r="X48" s="177"/>
      <c r="Y48" s="177"/>
    </row>
    <row r="49" spans="23:25" ht="16.5" customHeight="1">
      <c r="W49" s="177"/>
      <c r="X49" s="177"/>
      <c r="Y49" s="177"/>
    </row>
    <row r="50" spans="23:25" ht="16.5" customHeight="1">
      <c r="W50" s="177"/>
      <c r="X50" s="177"/>
      <c r="Y50" s="177"/>
    </row>
    <row r="51" spans="23:25" ht="16.5" customHeight="1">
      <c r="W51" s="177"/>
      <c r="X51" s="177"/>
      <c r="Y51" s="177"/>
    </row>
    <row r="52" spans="6:25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6:25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6:25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6:25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6:25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6:25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6:25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6:25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6:25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6:25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6:25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6:25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6:25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6:25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6:25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6:25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6:25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6:25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6:25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6:25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6:25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6:25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6:25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6:25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6:25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6:25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6:25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6:25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6:25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6:25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</row>
    <row r="82" spans="6:25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</row>
    <row r="83" spans="6:25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</row>
    <row r="84" spans="6:25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</row>
    <row r="85" spans="6:25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</row>
    <row r="86" spans="6:25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</row>
    <row r="87" spans="6:25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</row>
    <row r="88" spans="6:25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</row>
    <row r="89" spans="6:25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</row>
    <row r="90" spans="6:25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</row>
    <row r="91" spans="6:25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</row>
    <row r="92" spans="6:25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</row>
    <row r="93" spans="6:25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</row>
    <row r="94" spans="6:25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</row>
    <row r="95" spans="6:25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</row>
    <row r="96" spans="6:25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</row>
    <row r="97" spans="6:25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</row>
    <row r="98" spans="6:25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</row>
    <row r="99" spans="6:25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</row>
    <row r="100" spans="6:25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</row>
    <row r="101" spans="6:25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</row>
    <row r="102" spans="6:25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</row>
    <row r="103" spans="6:25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</row>
    <row r="104" spans="6:25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</row>
    <row r="105" spans="6:25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</row>
    <row r="106" spans="6:25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</row>
    <row r="107" spans="6:25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</row>
    <row r="108" spans="6:25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</row>
    <row r="109" spans="6:25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</row>
    <row r="110" spans="6:25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</row>
    <row r="111" spans="6:25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</row>
    <row r="112" spans="6:25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</row>
    <row r="113" spans="6:25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</row>
    <row r="114" spans="6:25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</row>
    <row r="115" spans="6:25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</row>
    <row r="116" spans="6:25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</row>
    <row r="117" spans="6:25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</row>
    <row r="118" spans="6:25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</row>
    <row r="119" spans="6:25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</row>
    <row r="120" spans="6:25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</row>
    <row r="121" spans="6:25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</row>
    <row r="122" spans="6:25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</row>
    <row r="123" spans="6:25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</row>
    <row r="124" spans="6:25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</row>
    <row r="125" spans="6:25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</row>
    <row r="126" spans="6:25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</row>
    <row r="127" spans="6:25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</row>
    <row r="128" spans="6:25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</row>
    <row r="129" spans="6:25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</row>
    <row r="130" spans="6:25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</row>
    <row r="131" spans="6:25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</row>
    <row r="132" spans="6:25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</row>
    <row r="133" spans="6:25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</row>
    <row r="134" spans="6:25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</row>
    <row r="135" spans="6:25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</row>
    <row r="136" spans="6:25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</row>
    <row r="137" spans="6:25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</row>
    <row r="138" spans="6:25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</row>
    <row r="139" spans="6:25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</row>
    <row r="140" spans="6:25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</row>
    <row r="141" spans="6:25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</row>
    <row r="142" spans="6:25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</row>
    <row r="143" spans="6:25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</row>
    <row r="144" spans="6:25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</row>
    <row r="145" spans="6:25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</row>
    <row r="146" spans="6:25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</row>
    <row r="147" spans="6:25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</row>
    <row r="148" spans="6:25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</row>
    <row r="149" spans="6:25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</row>
    <row r="150" spans="6:25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</row>
    <row r="151" spans="6:25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</row>
    <row r="152" spans="6:25" ht="16.5" customHeight="1"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</row>
    <row r="153" spans="6:25" ht="16.5" customHeight="1"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</row>
    <row r="154" spans="6:25" ht="16.5" customHeight="1"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</row>
    <row r="155" spans="6:25" ht="16.5" customHeight="1"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</row>
    <row r="156" spans="6:25" ht="16.5" customHeight="1"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</row>
    <row r="157" spans="6:25" ht="16.5" customHeight="1"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</row>
    <row r="158" spans="6:25" ht="16.5" customHeight="1"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</row>
    <row r="159" spans="6:25" ht="16.5" customHeight="1"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workbookViewId="0" topLeftCell="A10">
      <selection activeCell="F36" sqref="F36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5.710937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4.00390625" style="0" hidden="1" customWidth="1"/>
    <col min="17" max="17" width="12.8515625" style="0" hidden="1" customWidth="1"/>
    <col min="18" max="19" width="6.00390625" style="0" hidden="1" customWidth="1"/>
    <col min="20" max="20" width="11.71093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8"/>
    </row>
    <row r="2" spans="1:23" s="18" customFormat="1" ht="26.25">
      <c r="A2" s="91"/>
      <c r="B2" s="19" t="str">
        <f>+'TOT-0909'!B2</f>
        <v>ANEXO IV al Memorandum  D.T.E.E. N° 256/2011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69</v>
      </c>
      <c r="N8" s="105"/>
      <c r="O8" s="105"/>
      <c r="P8" s="96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3" t="s">
        <v>252</v>
      </c>
      <c r="G10" s="408"/>
      <c r="H10" s="105"/>
      <c r="I10" s="108"/>
      <c r="K10" s="108"/>
      <c r="L10" s="108"/>
      <c r="M10" s="108"/>
      <c r="N10" s="108"/>
      <c r="O10" s="108"/>
      <c r="P10" s="108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409"/>
      <c r="G11" s="409"/>
      <c r="H11" s="90"/>
      <c r="I11" s="97"/>
      <c r="J11" s="52"/>
      <c r="K11" s="97"/>
      <c r="L11" s="97"/>
      <c r="M11" s="97"/>
      <c r="N11" s="97"/>
      <c r="O11" s="97"/>
      <c r="P11" s="97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3" t="s">
        <v>87</v>
      </c>
      <c r="G12" s="408"/>
      <c r="H12" s="105"/>
      <c r="I12" s="108"/>
      <c r="K12" s="108"/>
      <c r="L12" s="108"/>
      <c r="M12" s="108"/>
      <c r="N12" s="108"/>
      <c r="O12" s="108"/>
      <c r="P12" s="108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409"/>
      <c r="G13" s="409"/>
      <c r="H13" s="90"/>
      <c r="I13" s="97"/>
      <c r="J13" s="52"/>
      <c r="K13" s="97"/>
      <c r="L13" s="97"/>
      <c r="M13" s="97"/>
      <c r="N13" s="97"/>
      <c r="O13" s="97"/>
      <c r="P13" s="97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'TOT-0909'!B14</f>
        <v>Desde el 01 al 30 de septiembre de 2009</v>
      </c>
      <c r="C14" s="40"/>
      <c r="D14" s="40"/>
      <c r="E14" s="40"/>
      <c r="F14" s="40"/>
      <c r="G14" s="40"/>
      <c r="H14" s="40"/>
      <c r="I14" s="410"/>
      <c r="J14" s="410"/>
      <c r="K14" s="410"/>
      <c r="L14" s="410"/>
      <c r="M14" s="410"/>
      <c r="N14" s="410"/>
      <c r="O14" s="410"/>
      <c r="P14" s="410"/>
      <c r="Q14" s="40"/>
      <c r="R14" s="40"/>
      <c r="S14" s="40"/>
      <c r="T14" s="40"/>
      <c r="U14" s="40"/>
      <c r="V14" s="40"/>
      <c r="W14" s="411"/>
    </row>
    <row r="15" spans="2:23" s="5" customFormat="1" ht="14.25" thickBot="1">
      <c r="B15" s="412"/>
      <c r="C15" s="413"/>
      <c r="D15" s="413"/>
      <c r="E15" s="413"/>
      <c r="F15" s="413"/>
      <c r="G15" s="413"/>
      <c r="H15" s="413"/>
      <c r="I15" s="414"/>
      <c r="J15" s="414"/>
      <c r="K15" s="414"/>
      <c r="L15" s="414"/>
      <c r="M15" s="414"/>
      <c r="N15" s="414"/>
      <c r="O15" s="414"/>
      <c r="P15" s="414"/>
      <c r="Q15" s="413"/>
      <c r="R15" s="413"/>
      <c r="S15" s="413"/>
      <c r="T15" s="413"/>
      <c r="U15" s="413"/>
      <c r="V15" s="413"/>
      <c r="W15" s="415"/>
    </row>
    <row r="16" spans="2:23" s="5" customFormat="1" ht="15" thickBot="1" thickTop="1">
      <c r="B16" s="50"/>
      <c r="C16" s="4"/>
      <c r="D16" s="4"/>
      <c r="E16" s="4"/>
      <c r="F16" s="416"/>
      <c r="G16" s="416"/>
      <c r="H16" s="117" t="s">
        <v>88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417" t="s">
        <v>89</v>
      </c>
      <c r="G17" s="418">
        <v>63.904</v>
      </c>
      <c r="H17" s="419">
        <v>200</v>
      </c>
      <c r="V17" s="115"/>
      <c r="W17" s="6"/>
    </row>
    <row r="18" spans="2:23" s="5" customFormat="1" ht="16.5" customHeight="1" thickBot="1" thickTop="1">
      <c r="B18" s="50"/>
      <c r="C18" s="4"/>
      <c r="D18" s="4"/>
      <c r="E18" s="4"/>
      <c r="F18" s="420" t="s">
        <v>90</v>
      </c>
      <c r="G18" s="421">
        <v>57.511</v>
      </c>
      <c r="H18" s="419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422" t="s">
        <v>91</v>
      </c>
      <c r="G19" s="421">
        <v>51.126</v>
      </c>
      <c r="H19" s="419">
        <v>40</v>
      </c>
      <c r="K19" s="214"/>
      <c r="L19" s="215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967">
        <v>3</v>
      </c>
      <c r="D20" s="967">
        <v>4</v>
      </c>
      <c r="E20" s="967">
        <v>5</v>
      </c>
      <c r="F20" s="967">
        <v>6</v>
      </c>
      <c r="G20" s="967">
        <v>7</v>
      </c>
      <c r="H20" s="967">
        <v>8</v>
      </c>
      <c r="I20" s="967">
        <v>9</v>
      </c>
      <c r="J20" s="967">
        <v>10</v>
      </c>
      <c r="K20" s="967">
        <v>11</v>
      </c>
      <c r="L20" s="967">
        <v>12</v>
      </c>
      <c r="M20" s="967">
        <v>13</v>
      </c>
      <c r="N20" s="967">
        <v>14</v>
      </c>
      <c r="O20" s="967">
        <v>15</v>
      </c>
      <c r="P20" s="967">
        <v>16</v>
      </c>
      <c r="Q20" s="967">
        <v>17</v>
      </c>
      <c r="R20" s="967">
        <v>18</v>
      </c>
      <c r="S20" s="967">
        <v>19</v>
      </c>
      <c r="T20" s="967">
        <v>20</v>
      </c>
      <c r="U20" s="967">
        <v>21</v>
      </c>
      <c r="V20" s="967">
        <v>22</v>
      </c>
      <c r="W20" s="6"/>
    </row>
    <row r="21" spans="2:23" s="5" customFormat="1" ht="33.75" customHeight="1" thickBot="1" thickTop="1">
      <c r="B21" s="50"/>
      <c r="C21" s="123" t="s">
        <v>13</v>
      </c>
      <c r="D21" s="84" t="s">
        <v>264</v>
      </c>
      <c r="E21" s="84" t="s">
        <v>265</v>
      </c>
      <c r="F21" s="86" t="s">
        <v>27</v>
      </c>
      <c r="G21" s="423" t="s">
        <v>28</v>
      </c>
      <c r="H21" s="424" t="s">
        <v>14</v>
      </c>
      <c r="I21" s="129" t="s">
        <v>16</v>
      </c>
      <c r="J21" s="85" t="s">
        <v>17</v>
      </c>
      <c r="K21" s="423" t="s">
        <v>18</v>
      </c>
      <c r="L21" s="425" t="s">
        <v>36</v>
      </c>
      <c r="M21" s="425" t="s">
        <v>31</v>
      </c>
      <c r="N21" s="88" t="s">
        <v>19</v>
      </c>
      <c r="O21" s="181" t="s">
        <v>32</v>
      </c>
      <c r="P21" s="137" t="s">
        <v>37</v>
      </c>
      <c r="Q21" s="426" t="s">
        <v>70</v>
      </c>
      <c r="R21" s="183" t="s">
        <v>35</v>
      </c>
      <c r="S21" s="427"/>
      <c r="T21" s="136" t="s">
        <v>22</v>
      </c>
      <c r="U21" s="134" t="s">
        <v>82</v>
      </c>
      <c r="V21" s="121" t="s">
        <v>24</v>
      </c>
      <c r="W21" s="6"/>
    </row>
    <row r="22" spans="2:23" s="5" customFormat="1" ht="16.5" customHeight="1" thickTop="1">
      <c r="B22" s="50"/>
      <c r="C22" s="326"/>
      <c r="D22" s="326"/>
      <c r="E22" s="326"/>
      <c r="F22" s="428"/>
      <c r="G22" s="428"/>
      <c r="H22" s="428"/>
      <c r="I22" s="259"/>
      <c r="J22" s="428"/>
      <c r="K22" s="428"/>
      <c r="L22" s="428"/>
      <c r="M22" s="428"/>
      <c r="N22" s="428"/>
      <c r="O22" s="428"/>
      <c r="P22" s="429"/>
      <c r="Q22" s="430"/>
      <c r="R22" s="431"/>
      <c r="S22" s="432"/>
      <c r="T22" s="433"/>
      <c r="U22" s="428"/>
      <c r="V22" s="434">
        <f>'SA-09 (1)'!V45</f>
        <v>52181.61</v>
      </c>
      <c r="W22" s="6"/>
    </row>
    <row r="23" spans="2:23" s="5" customFormat="1" ht="16.5" customHeight="1">
      <c r="B23" s="50"/>
      <c r="C23" s="340"/>
      <c r="D23" s="340"/>
      <c r="E23" s="340"/>
      <c r="F23" s="435"/>
      <c r="G23" s="435"/>
      <c r="H23" s="435"/>
      <c r="I23" s="436"/>
      <c r="J23" s="435"/>
      <c r="K23" s="435"/>
      <c r="L23" s="435"/>
      <c r="M23" s="435"/>
      <c r="N23" s="435"/>
      <c r="O23" s="435"/>
      <c r="P23" s="437"/>
      <c r="Q23" s="438"/>
      <c r="R23" s="194"/>
      <c r="S23" s="439"/>
      <c r="T23" s="440"/>
      <c r="U23" s="435"/>
      <c r="V23" s="441"/>
      <c r="W23" s="6"/>
    </row>
    <row r="24" spans="2:23" s="5" customFormat="1" ht="16.5" customHeight="1">
      <c r="B24" s="50"/>
      <c r="C24" s="340">
        <v>46</v>
      </c>
      <c r="D24" s="340">
        <v>211159</v>
      </c>
      <c r="E24" s="157">
        <v>94</v>
      </c>
      <c r="F24" s="442" t="s">
        <v>325</v>
      </c>
      <c r="G24" s="442" t="s">
        <v>335</v>
      </c>
      <c r="H24" s="443">
        <v>500</v>
      </c>
      <c r="I24" s="130">
        <f aca="true" t="shared" si="0" ref="I24:I43">IF(H24=500,$G$17,IF(H24=220,$G$18,$G$19))</f>
        <v>63.904</v>
      </c>
      <c r="J24" s="444">
        <v>40076.333333333336</v>
      </c>
      <c r="K24" s="155">
        <v>40076.73611111111</v>
      </c>
      <c r="L24" s="445">
        <f aca="true" t="shared" si="1" ref="L24:L43">IF(F24="","",(K24-J24)*24)</f>
        <v>9.666666666569654</v>
      </c>
      <c r="M24" s="446">
        <f aca="true" t="shared" si="2" ref="M24:M43">IF(F24="","",ROUND((K24-J24)*24*60,0))</f>
        <v>580</v>
      </c>
      <c r="N24" s="262" t="s">
        <v>303</v>
      </c>
      <c r="O24" s="263" t="str">
        <f aca="true" t="shared" si="3" ref="O24:O43">IF(F24="","",IF(N24="P","--","NO"))</f>
        <v>--</v>
      </c>
      <c r="P24" s="787">
        <f aca="true" t="shared" si="4" ref="P24:P43">IF(H24=500,$H$17,IF(H24=220,$H$18,$H$19))</f>
        <v>200</v>
      </c>
      <c r="Q24" s="940">
        <f aca="true" t="shared" si="5" ref="Q24:Q43">IF(N24="P",I24*P24*ROUND(M24/60,2)*0.1,"--")</f>
        <v>12359.033600000002</v>
      </c>
      <c r="R24" s="194" t="str">
        <f aca="true" t="shared" si="6" ref="R24:R43">IF(AND(N24="F",O24="NO"),I24*P24,"--")</f>
        <v>--</v>
      </c>
      <c r="S24" s="439" t="str">
        <f aca="true" t="shared" si="7" ref="S24:S43">IF(N24="F",I24*P24*ROUND(M24/60,2),"--")</f>
        <v>--</v>
      </c>
      <c r="T24" s="440" t="str">
        <f aca="true" t="shared" si="8" ref="T24:T43">IF(N24="RF",I24*P24*ROUND(M24/60,2),"--")</f>
        <v>--</v>
      </c>
      <c r="U24" s="263" t="s">
        <v>240</v>
      </c>
      <c r="V24" s="447">
        <f aca="true" t="shared" si="9" ref="V24:V43">IF(F24="","",SUM(Q24:T24)*IF(U24="SI",1,2))</f>
        <v>12359.033600000002</v>
      </c>
      <c r="W24" s="6"/>
    </row>
    <row r="25" spans="2:23" s="5" customFormat="1" ht="16.5" customHeight="1">
      <c r="B25" s="50"/>
      <c r="C25" s="340">
        <v>47</v>
      </c>
      <c r="D25" s="340">
        <v>211156</v>
      </c>
      <c r="E25" s="340">
        <v>95</v>
      </c>
      <c r="F25" s="442" t="s">
        <v>325</v>
      </c>
      <c r="G25" s="442" t="s">
        <v>326</v>
      </c>
      <c r="H25" s="443">
        <v>132</v>
      </c>
      <c r="I25" s="130">
        <f t="shared" si="0"/>
        <v>51.126</v>
      </c>
      <c r="J25" s="444">
        <v>40076.751388888886</v>
      </c>
      <c r="K25" s="155">
        <v>40076.90833333333</v>
      </c>
      <c r="L25" s="445">
        <f t="shared" si="1"/>
        <v>3.766666666720994</v>
      </c>
      <c r="M25" s="446">
        <f t="shared" si="2"/>
        <v>226</v>
      </c>
      <c r="N25" s="262" t="s">
        <v>300</v>
      </c>
      <c r="O25" s="263" t="s">
        <v>240</v>
      </c>
      <c r="P25" s="787">
        <f t="shared" si="4"/>
        <v>40</v>
      </c>
      <c r="Q25" s="940" t="str">
        <f t="shared" si="5"/>
        <v>--</v>
      </c>
      <c r="R25" s="194" t="str">
        <f t="shared" si="6"/>
        <v>--</v>
      </c>
      <c r="S25" s="439">
        <f t="shared" si="7"/>
        <v>7709.8008</v>
      </c>
      <c r="T25" s="440" t="str">
        <f t="shared" si="8"/>
        <v>--</v>
      </c>
      <c r="U25" s="263" t="s">
        <v>240</v>
      </c>
      <c r="V25" s="447">
        <f t="shared" si="9"/>
        <v>7709.8008</v>
      </c>
      <c r="W25" s="6"/>
    </row>
    <row r="26" spans="2:23" s="5" customFormat="1" ht="16.5" customHeight="1">
      <c r="B26" s="50"/>
      <c r="C26" s="340">
        <v>48</v>
      </c>
      <c r="D26" s="340">
        <v>211330</v>
      </c>
      <c r="E26" s="157">
        <v>2641</v>
      </c>
      <c r="F26" s="442" t="s">
        <v>336</v>
      </c>
      <c r="G26" s="442" t="s">
        <v>337</v>
      </c>
      <c r="H26" s="443">
        <v>500</v>
      </c>
      <c r="I26" s="130">
        <f t="shared" si="0"/>
        <v>63.904</v>
      </c>
      <c r="J26" s="444">
        <v>40078.38958333333</v>
      </c>
      <c r="K26" s="155">
        <v>40078.56319444445</v>
      </c>
      <c r="L26" s="445">
        <f t="shared" si="1"/>
        <v>4.1666666668024845</v>
      </c>
      <c r="M26" s="446">
        <f t="shared" si="2"/>
        <v>250</v>
      </c>
      <c r="N26" s="262" t="s">
        <v>303</v>
      </c>
      <c r="O26" s="263" t="str">
        <f t="shared" si="3"/>
        <v>--</v>
      </c>
      <c r="P26" s="787">
        <f t="shared" si="4"/>
        <v>200</v>
      </c>
      <c r="Q26" s="940">
        <f t="shared" si="5"/>
        <v>5329.5936</v>
      </c>
      <c r="R26" s="194" t="str">
        <f t="shared" si="6"/>
        <v>--</v>
      </c>
      <c r="S26" s="439" t="str">
        <f t="shared" si="7"/>
        <v>--</v>
      </c>
      <c r="T26" s="440" t="str">
        <f t="shared" si="8"/>
        <v>--</v>
      </c>
      <c r="U26" s="263" t="s">
        <v>240</v>
      </c>
      <c r="V26" s="447">
        <f t="shared" si="9"/>
        <v>5329.5936</v>
      </c>
      <c r="W26" s="6"/>
    </row>
    <row r="27" spans="2:23" s="1061" customFormat="1" ht="16.5" customHeight="1">
      <c r="B27" s="1046"/>
      <c r="C27" s="1047">
        <v>49</v>
      </c>
      <c r="D27" s="1047">
        <v>211331</v>
      </c>
      <c r="E27" s="1047">
        <v>4782</v>
      </c>
      <c r="F27" s="1048" t="s">
        <v>368</v>
      </c>
      <c r="G27" s="1048" t="s">
        <v>372</v>
      </c>
      <c r="H27" s="1049">
        <v>500</v>
      </c>
      <c r="I27" s="1050">
        <f t="shared" si="0"/>
        <v>63.904</v>
      </c>
      <c r="J27" s="1051">
        <v>40078.407638888886</v>
      </c>
      <c r="K27" s="1043">
        <v>40078.455555555556</v>
      </c>
      <c r="L27" s="1052">
        <f t="shared" si="1"/>
        <v>1.1500000000814907</v>
      </c>
      <c r="M27" s="1053">
        <f t="shared" si="2"/>
        <v>69</v>
      </c>
      <c r="N27" s="1054" t="s">
        <v>303</v>
      </c>
      <c r="O27" s="1044" t="str">
        <f t="shared" si="3"/>
        <v>--</v>
      </c>
      <c r="P27" s="1045">
        <f t="shared" si="4"/>
        <v>200</v>
      </c>
      <c r="Q27" s="1055">
        <f t="shared" si="5"/>
        <v>1469.7920000000001</v>
      </c>
      <c r="R27" s="1056" t="str">
        <f t="shared" si="6"/>
        <v>--</v>
      </c>
      <c r="S27" s="1057" t="str">
        <f t="shared" si="7"/>
        <v>--</v>
      </c>
      <c r="T27" s="1058" t="str">
        <f t="shared" si="8"/>
        <v>--</v>
      </c>
      <c r="U27" s="1044" t="s">
        <v>240</v>
      </c>
      <c r="V27" s="1059">
        <v>0</v>
      </c>
      <c r="W27" s="1060"/>
    </row>
    <row r="28" spans="2:23" s="1061" customFormat="1" ht="15.75" customHeight="1">
      <c r="B28" s="1046"/>
      <c r="C28" s="1047">
        <v>50</v>
      </c>
      <c r="D28" s="1047">
        <v>211332</v>
      </c>
      <c r="E28" s="1041">
        <v>2730</v>
      </c>
      <c r="F28" s="1048" t="s">
        <v>331</v>
      </c>
      <c r="G28" s="1048" t="s">
        <v>338</v>
      </c>
      <c r="H28" s="1049">
        <v>220</v>
      </c>
      <c r="I28" s="1050">
        <f t="shared" si="0"/>
        <v>57.511</v>
      </c>
      <c r="J28" s="1051">
        <v>40079.175</v>
      </c>
      <c r="K28" s="1043">
        <v>40079.68472222222</v>
      </c>
      <c r="L28" s="1052">
        <f t="shared" si="1"/>
        <v>12.233333333220799</v>
      </c>
      <c r="M28" s="1053">
        <f t="shared" si="2"/>
        <v>734</v>
      </c>
      <c r="N28" s="1054" t="s">
        <v>303</v>
      </c>
      <c r="O28" s="1044" t="str">
        <f t="shared" si="3"/>
        <v>--</v>
      </c>
      <c r="P28" s="1045">
        <f t="shared" si="4"/>
        <v>100</v>
      </c>
      <c r="Q28" s="1055">
        <f t="shared" si="5"/>
        <v>7033.595300000001</v>
      </c>
      <c r="R28" s="1056" t="str">
        <f t="shared" si="6"/>
        <v>--</v>
      </c>
      <c r="S28" s="1057" t="str">
        <f t="shared" si="7"/>
        <v>--</v>
      </c>
      <c r="T28" s="1058" t="str">
        <f t="shared" si="8"/>
        <v>--</v>
      </c>
      <c r="U28" s="1044" t="s">
        <v>240</v>
      </c>
      <c r="V28" s="1059">
        <v>0</v>
      </c>
      <c r="W28" s="1060"/>
    </row>
    <row r="29" spans="2:23" s="5" customFormat="1" ht="16.5" customHeight="1">
      <c r="B29" s="50"/>
      <c r="C29" s="340">
        <v>51</v>
      </c>
      <c r="D29" s="340">
        <v>211341</v>
      </c>
      <c r="E29" s="340">
        <v>1695</v>
      </c>
      <c r="F29" s="442" t="s">
        <v>339</v>
      </c>
      <c r="G29" s="442" t="s">
        <v>340</v>
      </c>
      <c r="H29" s="443">
        <v>220</v>
      </c>
      <c r="I29" s="130">
        <f t="shared" si="0"/>
        <v>57.511</v>
      </c>
      <c r="J29" s="444">
        <v>40080.38680555556</v>
      </c>
      <c r="K29" s="155">
        <v>40080.44652777778</v>
      </c>
      <c r="L29" s="445">
        <f t="shared" si="1"/>
        <v>1.4333333332906477</v>
      </c>
      <c r="M29" s="446">
        <f t="shared" si="2"/>
        <v>86</v>
      </c>
      <c r="N29" s="262" t="s">
        <v>303</v>
      </c>
      <c r="O29" s="263" t="str">
        <f t="shared" si="3"/>
        <v>--</v>
      </c>
      <c r="P29" s="787">
        <f t="shared" si="4"/>
        <v>100</v>
      </c>
      <c r="Q29" s="940">
        <f t="shared" si="5"/>
        <v>822.4073000000001</v>
      </c>
      <c r="R29" s="194" t="str">
        <f t="shared" si="6"/>
        <v>--</v>
      </c>
      <c r="S29" s="439" t="str">
        <f t="shared" si="7"/>
        <v>--</v>
      </c>
      <c r="T29" s="440" t="str">
        <f t="shared" si="8"/>
        <v>--</v>
      </c>
      <c r="U29" s="263" t="s">
        <v>240</v>
      </c>
      <c r="V29" s="447">
        <f t="shared" si="9"/>
        <v>822.4073000000001</v>
      </c>
      <c r="W29" s="6"/>
    </row>
    <row r="30" spans="2:23" s="5" customFormat="1" ht="16.5" customHeight="1">
      <c r="B30" s="50"/>
      <c r="C30" s="340">
        <v>52</v>
      </c>
      <c r="D30" s="340">
        <v>211347</v>
      </c>
      <c r="E30" s="157">
        <v>101</v>
      </c>
      <c r="F30" s="442" t="s">
        <v>390</v>
      </c>
      <c r="G30" s="442" t="s">
        <v>391</v>
      </c>
      <c r="H30" s="443">
        <v>500</v>
      </c>
      <c r="I30" s="130">
        <f t="shared" si="0"/>
        <v>63.904</v>
      </c>
      <c r="J30" s="444">
        <v>40081.53402777778</v>
      </c>
      <c r="K30" s="155">
        <v>40081.7</v>
      </c>
      <c r="L30" s="445">
        <f t="shared" si="1"/>
        <v>3.9833333332207985</v>
      </c>
      <c r="M30" s="446">
        <f t="shared" si="2"/>
        <v>239</v>
      </c>
      <c r="N30" s="262" t="s">
        <v>300</v>
      </c>
      <c r="O30" s="263" t="str">
        <f t="shared" si="3"/>
        <v>NO</v>
      </c>
      <c r="P30" s="787">
        <f t="shared" si="4"/>
        <v>200</v>
      </c>
      <c r="Q30" s="940" t="str">
        <f t="shared" si="5"/>
        <v>--</v>
      </c>
      <c r="R30" s="194">
        <f t="shared" si="6"/>
        <v>12780.800000000001</v>
      </c>
      <c r="S30" s="439">
        <f t="shared" si="7"/>
        <v>50867.584</v>
      </c>
      <c r="T30" s="440" t="str">
        <f t="shared" si="8"/>
        <v>--</v>
      </c>
      <c r="U30" s="263" t="s">
        <v>240</v>
      </c>
      <c r="V30" s="447">
        <f t="shared" si="9"/>
        <v>63648.384000000005</v>
      </c>
      <c r="W30" s="6"/>
    </row>
    <row r="31" spans="2:23" s="5" customFormat="1" ht="16.5" customHeight="1">
      <c r="B31" s="50"/>
      <c r="C31" s="340">
        <v>53</v>
      </c>
      <c r="D31" s="340">
        <v>211348</v>
      </c>
      <c r="E31" s="340">
        <v>85</v>
      </c>
      <c r="F31" s="442" t="s">
        <v>327</v>
      </c>
      <c r="G31" s="442" t="s">
        <v>341</v>
      </c>
      <c r="H31" s="443">
        <v>500</v>
      </c>
      <c r="I31" s="130">
        <f t="shared" si="0"/>
        <v>63.904</v>
      </c>
      <c r="J31" s="444">
        <v>40082.32777777778</v>
      </c>
      <c r="K31" s="155">
        <v>40082.739583333336</v>
      </c>
      <c r="L31" s="445">
        <f t="shared" si="1"/>
        <v>9.883333333418705</v>
      </c>
      <c r="M31" s="446">
        <f t="shared" si="2"/>
        <v>593</v>
      </c>
      <c r="N31" s="262" t="s">
        <v>303</v>
      </c>
      <c r="O31" s="263" t="str">
        <f t="shared" si="3"/>
        <v>--</v>
      </c>
      <c r="P31" s="787">
        <f t="shared" si="4"/>
        <v>200</v>
      </c>
      <c r="Q31" s="940">
        <f t="shared" si="5"/>
        <v>12627.430400000003</v>
      </c>
      <c r="R31" s="194" t="str">
        <f t="shared" si="6"/>
        <v>--</v>
      </c>
      <c r="S31" s="439" t="str">
        <f t="shared" si="7"/>
        <v>--</v>
      </c>
      <c r="T31" s="440" t="str">
        <f t="shared" si="8"/>
        <v>--</v>
      </c>
      <c r="U31" s="263" t="s">
        <v>240</v>
      </c>
      <c r="V31" s="447">
        <f t="shared" si="9"/>
        <v>12627.430400000003</v>
      </c>
      <c r="W31" s="6"/>
    </row>
    <row r="32" spans="2:23" s="5" customFormat="1" ht="16.5" customHeight="1">
      <c r="B32" s="50"/>
      <c r="C32" s="340">
        <v>54</v>
      </c>
      <c r="D32" s="340">
        <v>211349</v>
      </c>
      <c r="E32" s="157">
        <v>106</v>
      </c>
      <c r="F32" s="442" t="s">
        <v>342</v>
      </c>
      <c r="G32" s="442" t="s">
        <v>343</v>
      </c>
      <c r="H32" s="443">
        <v>132</v>
      </c>
      <c r="I32" s="130">
        <f t="shared" si="0"/>
        <v>51.126</v>
      </c>
      <c r="J32" s="444">
        <v>40082.34722222222</v>
      </c>
      <c r="K32" s="155">
        <v>40082.71041666667</v>
      </c>
      <c r="L32" s="445">
        <f t="shared" si="1"/>
        <v>8.716666666790843</v>
      </c>
      <c r="M32" s="446">
        <f t="shared" si="2"/>
        <v>523</v>
      </c>
      <c r="N32" s="262" t="s">
        <v>303</v>
      </c>
      <c r="O32" s="263" t="str">
        <f t="shared" si="3"/>
        <v>--</v>
      </c>
      <c r="P32" s="787">
        <f t="shared" si="4"/>
        <v>40</v>
      </c>
      <c r="Q32" s="940">
        <f t="shared" si="5"/>
        <v>1783.2748800000002</v>
      </c>
      <c r="R32" s="194" t="str">
        <f t="shared" si="6"/>
        <v>--</v>
      </c>
      <c r="S32" s="439" t="str">
        <f t="shared" si="7"/>
        <v>--</v>
      </c>
      <c r="T32" s="440" t="str">
        <f t="shared" si="8"/>
        <v>--</v>
      </c>
      <c r="U32" s="263" t="s">
        <v>240</v>
      </c>
      <c r="V32" s="447">
        <f t="shared" si="9"/>
        <v>1783.2748800000002</v>
      </c>
      <c r="W32" s="6"/>
    </row>
    <row r="33" spans="2:23" s="1061" customFormat="1" ht="16.5" customHeight="1">
      <c r="B33" s="1046"/>
      <c r="C33" s="1047">
        <v>55</v>
      </c>
      <c r="D33" s="1047">
        <v>211351</v>
      </c>
      <c r="E33" s="1047">
        <v>149</v>
      </c>
      <c r="F33" s="1048" t="s">
        <v>342</v>
      </c>
      <c r="G33" s="1048" t="s">
        <v>344</v>
      </c>
      <c r="H33" s="1049">
        <v>132</v>
      </c>
      <c r="I33" s="1050">
        <f t="shared" si="0"/>
        <v>51.126</v>
      </c>
      <c r="J33" s="1051">
        <v>40083.33125</v>
      </c>
      <c r="K33" s="1043">
        <v>40083.70625</v>
      </c>
      <c r="L33" s="1052">
        <f t="shared" si="1"/>
        <v>9</v>
      </c>
      <c r="M33" s="1053">
        <f t="shared" si="2"/>
        <v>540</v>
      </c>
      <c r="N33" s="1054" t="s">
        <v>303</v>
      </c>
      <c r="O33" s="1044" t="str">
        <f t="shared" si="3"/>
        <v>--</v>
      </c>
      <c r="P33" s="1045">
        <f t="shared" si="4"/>
        <v>40</v>
      </c>
      <c r="Q33" s="1055">
        <f t="shared" si="5"/>
        <v>1840.536</v>
      </c>
      <c r="R33" s="1056" t="str">
        <f t="shared" si="6"/>
        <v>--</v>
      </c>
      <c r="S33" s="1057" t="str">
        <f t="shared" si="7"/>
        <v>--</v>
      </c>
      <c r="T33" s="1058" t="str">
        <f t="shared" si="8"/>
        <v>--</v>
      </c>
      <c r="U33" s="1044" t="s">
        <v>240</v>
      </c>
      <c r="V33" s="1059">
        <v>0</v>
      </c>
      <c r="W33" s="1060"/>
    </row>
    <row r="34" spans="2:23" s="5" customFormat="1" ht="16.5" customHeight="1">
      <c r="B34" s="50"/>
      <c r="C34" s="340"/>
      <c r="D34" s="340"/>
      <c r="E34" s="157"/>
      <c r="F34" s="442"/>
      <c r="G34" s="442"/>
      <c r="H34" s="443"/>
      <c r="I34" s="130">
        <f t="shared" si="0"/>
        <v>51.126</v>
      </c>
      <c r="J34" s="444"/>
      <c r="K34" s="155"/>
      <c r="L34" s="445">
        <f t="shared" si="1"/>
      </c>
      <c r="M34" s="446">
        <f t="shared" si="2"/>
      </c>
      <c r="N34" s="262"/>
      <c r="O34" s="263">
        <f t="shared" si="3"/>
      </c>
      <c r="P34" s="787">
        <f t="shared" si="4"/>
        <v>40</v>
      </c>
      <c r="Q34" s="940" t="str">
        <f t="shared" si="5"/>
        <v>--</v>
      </c>
      <c r="R34" s="194" t="str">
        <f t="shared" si="6"/>
        <v>--</v>
      </c>
      <c r="S34" s="439" t="str">
        <f t="shared" si="7"/>
        <v>--</v>
      </c>
      <c r="T34" s="440" t="str">
        <f t="shared" si="8"/>
        <v>--</v>
      </c>
      <c r="U34" s="263">
        <f aca="true" t="shared" si="10" ref="U34:U43">IF(F34="","","SI")</f>
      </c>
      <c r="V34" s="447">
        <f t="shared" si="9"/>
      </c>
      <c r="W34" s="6"/>
    </row>
    <row r="35" spans="2:23" s="5" customFormat="1" ht="16.5" customHeight="1">
      <c r="B35" s="50"/>
      <c r="C35" s="340"/>
      <c r="D35" s="340"/>
      <c r="E35" s="340"/>
      <c r="F35" s="442"/>
      <c r="G35" s="442"/>
      <c r="H35" s="443"/>
      <c r="I35" s="130">
        <f t="shared" si="0"/>
        <v>51.126</v>
      </c>
      <c r="J35" s="444"/>
      <c r="K35" s="155"/>
      <c r="L35" s="445">
        <f t="shared" si="1"/>
      </c>
      <c r="M35" s="446">
        <f t="shared" si="2"/>
      </c>
      <c r="N35" s="262"/>
      <c r="O35" s="263">
        <f t="shared" si="3"/>
      </c>
      <c r="P35" s="787">
        <f t="shared" si="4"/>
        <v>40</v>
      </c>
      <c r="Q35" s="940" t="str">
        <f t="shared" si="5"/>
        <v>--</v>
      </c>
      <c r="R35" s="194" t="str">
        <f t="shared" si="6"/>
        <v>--</v>
      </c>
      <c r="S35" s="439" t="str">
        <f t="shared" si="7"/>
        <v>--</v>
      </c>
      <c r="T35" s="440" t="str">
        <f t="shared" si="8"/>
        <v>--</v>
      </c>
      <c r="U35" s="263">
        <f t="shared" si="10"/>
      </c>
      <c r="V35" s="447">
        <f t="shared" si="9"/>
      </c>
      <c r="W35" s="6"/>
    </row>
    <row r="36" spans="2:23" s="5" customFormat="1" ht="16.5" customHeight="1">
      <c r="B36" s="50"/>
      <c r="C36" s="340"/>
      <c r="D36" s="340"/>
      <c r="E36" s="157"/>
      <c r="F36" s="442"/>
      <c r="G36" s="442"/>
      <c r="H36" s="443"/>
      <c r="I36" s="130">
        <f t="shared" si="0"/>
        <v>51.126</v>
      </c>
      <c r="J36" s="444"/>
      <c r="K36" s="155"/>
      <c r="L36" s="445">
        <f t="shared" si="1"/>
      </c>
      <c r="M36" s="446">
        <f t="shared" si="2"/>
      </c>
      <c r="N36" s="262"/>
      <c r="O36" s="263">
        <f t="shared" si="3"/>
      </c>
      <c r="P36" s="787">
        <f t="shared" si="4"/>
        <v>40</v>
      </c>
      <c r="Q36" s="940" t="str">
        <f t="shared" si="5"/>
        <v>--</v>
      </c>
      <c r="R36" s="194" t="str">
        <f t="shared" si="6"/>
        <v>--</v>
      </c>
      <c r="S36" s="439" t="str">
        <f t="shared" si="7"/>
        <v>--</v>
      </c>
      <c r="T36" s="440" t="str">
        <f t="shared" si="8"/>
        <v>--</v>
      </c>
      <c r="U36" s="263">
        <f t="shared" si="10"/>
      </c>
      <c r="V36" s="447">
        <f t="shared" si="9"/>
      </c>
      <c r="W36" s="6"/>
    </row>
    <row r="37" spans="2:23" s="5" customFormat="1" ht="16.5" customHeight="1">
      <c r="B37" s="50"/>
      <c r="C37" s="340"/>
      <c r="D37" s="340"/>
      <c r="E37" s="340"/>
      <c r="F37" s="442"/>
      <c r="G37" s="442"/>
      <c r="H37" s="443"/>
      <c r="I37" s="130">
        <f t="shared" si="0"/>
        <v>51.126</v>
      </c>
      <c r="J37" s="444"/>
      <c r="K37" s="155"/>
      <c r="L37" s="445">
        <f t="shared" si="1"/>
      </c>
      <c r="M37" s="446">
        <f t="shared" si="2"/>
      </c>
      <c r="N37" s="262"/>
      <c r="O37" s="263">
        <f t="shared" si="3"/>
      </c>
      <c r="P37" s="787">
        <f t="shared" si="4"/>
        <v>40</v>
      </c>
      <c r="Q37" s="940" t="str">
        <f t="shared" si="5"/>
        <v>--</v>
      </c>
      <c r="R37" s="194" t="str">
        <f t="shared" si="6"/>
        <v>--</v>
      </c>
      <c r="S37" s="439" t="str">
        <f t="shared" si="7"/>
        <v>--</v>
      </c>
      <c r="T37" s="440" t="str">
        <f t="shared" si="8"/>
        <v>--</v>
      </c>
      <c r="U37" s="263">
        <f t="shared" si="10"/>
      </c>
      <c r="V37" s="447">
        <f t="shared" si="9"/>
      </c>
      <c r="W37" s="6"/>
    </row>
    <row r="38" spans="2:23" s="5" customFormat="1" ht="16.5" customHeight="1">
      <c r="B38" s="50"/>
      <c r="C38" s="340"/>
      <c r="D38" s="340"/>
      <c r="E38" s="157"/>
      <c r="F38" s="442"/>
      <c r="G38" s="442"/>
      <c r="H38" s="443"/>
      <c r="I38" s="130">
        <f t="shared" si="0"/>
        <v>51.126</v>
      </c>
      <c r="J38" s="444"/>
      <c r="K38" s="155"/>
      <c r="L38" s="445">
        <f t="shared" si="1"/>
      </c>
      <c r="M38" s="446">
        <f t="shared" si="2"/>
      </c>
      <c r="N38" s="262"/>
      <c r="O38" s="263">
        <f t="shared" si="3"/>
      </c>
      <c r="P38" s="787">
        <f t="shared" si="4"/>
        <v>40</v>
      </c>
      <c r="Q38" s="940" t="str">
        <f t="shared" si="5"/>
        <v>--</v>
      </c>
      <c r="R38" s="194" t="str">
        <f t="shared" si="6"/>
        <v>--</v>
      </c>
      <c r="S38" s="439" t="str">
        <f t="shared" si="7"/>
        <v>--</v>
      </c>
      <c r="T38" s="440" t="str">
        <f t="shared" si="8"/>
        <v>--</v>
      </c>
      <c r="U38" s="263">
        <f t="shared" si="10"/>
      </c>
      <c r="V38" s="447">
        <f t="shared" si="9"/>
      </c>
      <c r="W38" s="6"/>
    </row>
    <row r="39" spans="2:23" s="5" customFormat="1" ht="16.5" customHeight="1">
      <c r="B39" s="50"/>
      <c r="C39" s="340"/>
      <c r="D39" s="340"/>
      <c r="E39" s="340"/>
      <c r="F39" s="442"/>
      <c r="G39" s="442"/>
      <c r="H39" s="443"/>
      <c r="I39" s="130">
        <f t="shared" si="0"/>
        <v>51.126</v>
      </c>
      <c r="J39" s="444"/>
      <c r="K39" s="155"/>
      <c r="L39" s="445">
        <f t="shared" si="1"/>
      </c>
      <c r="M39" s="446">
        <f t="shared" si="2"/>
      </c>
      <c r="N39" s="262"/>
      <c r="O39" s="263">
        <f t="shared" si="3"/>
      </c>
      <c r="P39" s="787">
        <f t="shared" si="4"/>
        <v>40</v>
      </c>
      <c r="Q39" s="940" t="str">
        <f t="shared" si="5"/>
        <v>--</v>
      </c>
      <c r="R39" s="194" t="str">
        <f t="shared" si="6"/>
        <v>--</v>
      </c>
      <c r="S39" s="439" t="str">
        <f t="shared" si="7"/>
        <v>--</v>
      </c>
      <c r="T39" s="440" t="str">
        <f t="shared" si="8"/>
        <v>--</v>
      </c>
      <c r="U39" s="263">
        <f t="shared" si="10"/>
      </c>
      <c r="V39" s="447">
        <f t="shared" si="9"/>
      </c>
      <c r="W39" s="6"/>
    </row>
    <row r="40" spans="2:23" s="5" customFormat="1" ht="16.5" customHeight="1">
      <c r="B40" s="50"/>
      <c r="C40" s="340"/>
      <c r="D40" s="340"/>
      <c r="E40" s="157"/>
      <c r="F40" s="442"/>
      <c r="G40" s="442"/>
      <c r="H40" s="443"/>
      <c r="I40" s="130">
        <f t="shared" si="0"/>
        <v>51.126</v>
      </c>
      <c r="J40" s="444"/>
      <c r="K40" s="155"/>
      <c r="L40" s="445">
        <f t="shared" si="1"/>
      </c>
      <c r="M40" s="446">
        <f t="shared" si="2"/>
      </c>
      <c r="N40" s="262"/>
      <c r="O40" s="263">
        <f t="shared" si="3"/>
      </c>
      <c r="P40" s="787">
        <f t="shared" si="4"/>
        <v>40</v>
      </c>
      <c r="Q40" s="940" t="str">
        <f t="shared" si="5"/>
        <v>--</v>
      </c>
      <c r="R40" s="194" t="str">
        <f t="shared" si="6"/>
        <v>--</v>
      </c>
      <c r="S40" s="439" t="str">
        <f t="shared" si="7"/>
        <v>--</v>
      </c>
      <c r="T40" s="440" t="str">
        <f t="shared" si="8"/>
        <v>--</v>
      </c>
      <c r="U40" s="263">
        <f t="shared" si="10"/>
      </c>
      <c r="V40" s="447">
        <f t="shared" si="9"/>
      </c>
      <c r="W40" s="6"/>
    </row>
    <row r="41" spans="2:23" s="5" customFormat="1" ht="16.5" customHeight="1">
      <c r="B41" s="50"/>
      <c r="C41" s="340"/>
      <c r="D41" s="340"/>
      <c r="E41" s="340"/>
      <c r="F41" s="442"/>
      <c r="G41" s="442"/>
      <c r="H41" s="443"/>
      <c r="I41" s="130">
        <f t="shared" si="0"/>
        <v>51.126</v>
      </c>
      <c r="J41" s="444"/>
      <c r="K41" s="155"/>
      <c r="L41" s="445">
        <f t="shared" si="1"/>
      </c>
      <c r="M41" s="446">
        <f t="shared" si="2"/>
      </c>
      <c r="N41" s="262"/>
      <c r="O41" s="263">
        <f t="shared" si="3"/>
      </c>
      <c r="P41" s="787">
        <f t="shared" si="4"/>
        <v>40</v>
      </c>
      <c r="Q41" s="940" t="str">
        <f t="shared" si="5"/>
        <v>--</v>
      </c>
      <c r="R41" s="194" t="str">
        <f t="shared" si="6"/>
        <v>--</v>
      </c>
      <c r="S41" s="439" t="str">
        <f t="shared" si="7"/>
        <v>--</v>
      </c>
      <c r="T41" s="440" t="str">
        <f t="shared" si="8"/>
        <v>--</v>
      </c>
      <c r="U41" s="263">
        <f t="shared" si="10"/>
      </c>
      <c r="V41" s="447">
        <f t="shared" si="9"/>
      </c>
      <c r="W41" s="6"/>
    </row>
    <row r="42" spans="2:23" s="5" customFormat="1" ht="16.5" customHeight="1">
      <c r="B42" s="50"/>
      <c r="C42" s="340"/>
      <c r="D42" s="340"/>
      <c r="E42" s="157"/>
      <c r="F42" s="442"/>
      <c r="G42" s="442"/>
      <c r="H42" s="443"/>
      <c r="I42" s="130">
        <f t="shared" si="0"/>
        <v>51.126</v>
      </c>
      <c r="J42" s="444"/>
      <c r="K42" s="155"/>
      <c r="L42" s="445">
        <f t="shared" si="1"/>
      </c>
      <c r="M42" s="446">
        <f t="shared" si="2"/>
      </c>
      <c r="N42" s="262"/>
      <c r="O42" s="263">
        <f t="shared" si="3"/>
      </c>
      <c r="P42" s="787">
        <f t="shared" si="4"/>
        <v>40</v>
      </c>
      <c r="Q42" s="940" t="str">
        <f t="shared" si="5"/>
        <v>--</v>
      </c>
      <c r="R42" s="194" t="str">
        <f t="shared" si="6"/>
        <v>--</v>
      </c>
      <c r="S42" s="439" t="str">
        <f t="shared" si="7"/>
        <v>--</v>
      </c>
      <c r="T42" s="440" t="str">
        <f t="shared" si="8"/>
        <v>--</v>
      </c>
      <c r="U42" s="263">
        <f t="shared" si="10"/>
      </c>
      <c r="V42" s="447">
        <f t="shared" si="9"/>
      </c>
      <c r="W42" s="6"/>
    </row>
    <row r="43" spans="2:23" s="5" customFormat="1" ht="16.5" customHeight="1">
      <c r="B43" s="50"/>
      <c r="C43" s="340"/>
      <c r="D43" s="340"/>
      <c r="E43" s="340"/>
      <c r="F43" s="442"/>
      <c r="G43" s="442"/>
      <c r="H43" s="443"/>
      <c r="I43" s="130">
        <f t="shared" si="0"/>
        <v>51.126</v>
      </c>
      <c r="J43" s="444"/>
      <c r="K43" s="155"/>
      <c r="L43" s="445">
        <f t="shared" si="1"/>
      </c>
      <c r="M43" s="446">
        <f t="shared" si="2"/>
      </c>
      <c r="N43" s="262"/>
      <c r="O43" s="263">
        <f t="shared" si="3"/>
      </c>
      <c r="P43" s="787">
        <f t="shared" si="4"/>
        <v>40</v>
      </c>
      <c r="Q43" s="940" t="str">
        <f t="shared" si="5"/>
        <v>--</v>
      </c>
      <c r="R43" s="194" t="str">
        <f t="shared" si="6"/>
        <v>--</v>
      </c>
      <c r="S43" s="439" t="str">
        <f t="shared" si="7"/>
        <v>--</v>
      </c>
      <c r="T43" s="440" t="str">
        <f t="shared" si="8"/>
        <v>--</v>
      </c>
      <c r="U43" s="263">
        <f t="shared" si="10"/>
      </c>
      <c r="V43" s="447">
        <f t="shared" si="9"/>
      </c>
      <c r="W43" s="6"/>
    </row>
    <row r="44" spans="2:23" s="5" customFormat="1" ht="16.5" customHeight="1" thickBot="1">
      <c r="B44" s="50"/>
      <c r="C44" s="277"/>
      <c r="D44" s="277"/>
      <c r="E44" s="277"/>
      <c r="F44" s="277"/>
      <c r="G44" s="277"/>
      <c r="H44" s="277"/>
      <c r="I44" s="131"/>
      <c r="J44" s="448"/>
      <c r="K44" s="448"/>
      <c r="L44" s="449"/>
      <c r="M44" s="449"/>
      <c r="N44" s="448"/>
      <c r="O44" s="156"/>
      <c r="P44" s="450"/>
      <c r="Q44" s="451"/>
      <c r="R44" s="452"/>
      <c r="S44" s="453"/>
      <c r="T44" s="162"/>
      <c r="U44" s="156"/>
      <c r="V44" s="454"/>
      <c r="W44" s="6"/>
    </row>
    <row r="45" spans="2:23" s="5" customFormat="1" ht="16.5" customHeight="1" thickBot="1" thickTop="1">
      <c r="B45" s="50"/>
      <c r="C45" s="127" t="s">
        <v>25</v>
      </c>
      <c r="D45" s="971" t="s">
        <v>361</v>
      </c>
      <c r="E45" s="127"/>
      <c r="F45" s="128"/>
      <c r="G45"/>
      <c r="H45" s="4"/>
      <c r="I45" s="4"/>
      <c r="J45" s="4"/>
      <c r="K45" s="4"/>
      <c r="L45" s="4"/>
      <c r="M45" s="4"/>
      <c r="N45" s="4"/>
      <c r="O45" s="4"/>
      <c r="P45" s="4"/>
      <c r="Q45" s="455">
        <f>SUM(Q22:Q44)</f>
        <v>43265.663080000006</v>
      </c>
      <c r="R45" s="456">
        <f>SUM(R22:R44)</f>
        <v>12780.800000000001</v>
      </c>
      <c r="S45" s="457">
        <f>SUM(S22:S44)</f>
        <v>58577.3848</v>
      </c>
      <c r="T45" s="458">
        <f>SUM(T22:T44)</f>
        <v>0</v>
      </c>
      <c r="U45" s="459"/>
      <c r="V45" s="100">
        <f>ROUND(SUM(V22:V44),2)</f>
        <v>156461.53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77"/>
      <c r="X47" s="177"/>
      <c r="Y47" s="177"/>
    </row>
    <row r="48" spans="23:25" ht="16.5" customHeight="1">
      <c r="W48" s="177"/>
      <c r="X48" s="177"/>
      <c r="Y48" s="177"/>
    </row>
    <row r="49" spans="23:25" ht="16.5" customHeight="1">
      <c r="W49" s="177"/>
      <c r="X49" s="177"/>
      <c r="Y49" s="177"/>
    </row>
    <row r="50" spans="23:25" ht="16.5" customHeight="1">
      <c r="W50" s="177"/>
      <c r="X50" s="177"/>
      <c r="Y50" s="177"/>
    </row>
    <row r="51" spans="23:25" ht="16.5" customHeight="1">
      <c r="W51" s="177"/>
      <c r="X51" s="177"/>
      <c r="Y51" s="177"/>
    </row>
    <row r="52" spans="6:25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spans="6:25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6:25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6:25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spans="6:25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spans="6:25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spans="6:25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spans="6:25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spans="6:25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spans="6:25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spans="6:25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spans="6:25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spans="6:25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spans="6:25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spans="6:25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spans="6:25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spans="6:25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spans="6:25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spans="6:25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spans="6:25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spans="6:25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spans="6:25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spans="6:25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spans="6:25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spans="6:25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spans="6:25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spans="6:25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spans="6:25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spans="6:25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spans="6:25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</row>
    <row r="82" spans="6:25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</row>
    <row r="83" spans="6:25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</row>
    <row r="84" spans="6:25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</row>
    <row r="85" spans="6:25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</row>
    <row r="86" spans="6:25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</row>
    <row r="87" spans="6:25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</row>
    <row r="88" spans="6:25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</row>
    <row r="89" spans="6:25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</row>
    <row r="90" spans="6:25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</row>
    <row r="91" spans="6:25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</row>
    <row r="92" spans="6:25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</row>
    <row r="93" spans="6:25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</row>
    <row r="94" spans="6:25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</row>
    <row r="95" spans="6:25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</row>
    <row r="96" spans="6:25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</row>
    <row r="97" spans="6:25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</row>
    <row r="98" spans="6:25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</row>
    <row r="99" spans="6:25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</row>
    <row r="100" spans="6:25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</row>
    <row r="101" spans="6:25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</row>
    <row r="102" spans="6:25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</row>
    <row r="103" spans="6:25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</row>
    <row r="104" spans="6:25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</row>
    <row r="105" spans="6:25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</row>
    <row r="106" spans="6:25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</row>
    <row r="107" spans="6:25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</row>
    <row r="108" spans="6:25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</row>
    <row r="109" spans="6:25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</row>
    <row r="110" spans="6:25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</row>
    <row r="111" spans="6:25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</row>
    <row r="112" spans="6:25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</row>
    <row r="113" spans="6:25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</row>
    <row r="114" spans="6:25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</row>
    <row r="115" spans="6:25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</row>
    <row r="116" spans="6:25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</row>
    <row r="117" spans="6:25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</row>
    <row r="118" spans="6:25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</row>
    <row r="119" spans="6:25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</row>
    <row r="120" spans="6:25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</row>
    <row r="121" spans="6:25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</row>
    <row r="122" spans="6:25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</row>
    <row r="123" spans="6:25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</row>
    <row r="124" spans="6:25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</row>
    <row r="125" spans="6:25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</row>
    <row r="126" spans="6:25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</row>
    <row r="127" spans="6:25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</row>
    <row r="128" spans="6:25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</row>
    <row r="129" spans="6:25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</row>
    <row r="130" spans="6:25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</row>
    <row r="131" spans="6:25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</row>
    <row r="132" spans="6:25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</row>
    <row r="133" spans="6:25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</row>
    <row r="134" spans="6:25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</row>
    <row r="135" spans="6:25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</row>
    <row r="136" spans="6:25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</row>
    <row r="137" spans="6:25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</row>
    <row r="138" spans="6:25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</row>
    <row r="139" spans="6:25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</row>
    <row r="140" spans="6:25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</row>
    <row r="141" spans="6:25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</row>
    <row r="142" spans="6:25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</row>
    <row r="143" spans="6:25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</row>
    <row r="144" spans="6:25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</row>
    <row r="145" spans="6:25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</row>
    <row r="146" spans="6:25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</row>
    <row r="147" spans="6:25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</row>
    <row r="148" spans="6:25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</row>
    <row r="149" spans="6:25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</row>
    <row r="150" spans="6:25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</row>
    <row r="151" spans="6:25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</row>
    <row r="152" spans="6:25" ht="16.5" customHeight="1"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</row>
    <row r="153" spans="6:25" ht="16.5" customHeight="1"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</row>
    <row r="154" spans="6:25" ht="16.5" customHeight="1"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</row>
    <row r="155" spans="6:25" ht="16.5" customHeight="1"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</row>
    <row r="156" spans="6:25" ht="16.5" customHeight="1"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</row>
    <row r="157" spans="6:25" ht="16.5" customHeight="1"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</row>
    <row r="158" spans="6:25" ht="16.5" customHeight="1"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</row>
    <row r="159" spans="6:25" ht="16.5" customHeight="1"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AC157"/>
  <sheetViews>
    <sheetView zoomScale="70" zoomScaleNormal="70" workbookViewId="0" topLeftCell="C4">
      <selection activeCell="A10" sqref="A10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8"/>
    </row>
    <row r="2" spans="1:27" s="18" customFormat="1" ht="26.25">
      <c r="A2" s="91"/>
      <c r="B2" s="461" t="str">
        <f>+'TOT-0909'!B2</f>
        <v>ANEXO IV al Memorandum  D.T.E.E. N° 256/2011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76" t="s">
        <v>92</v>
      </c>
      <c r="G8" s="462"/>
      <c r="H8" s="173"/>
      <c r="I8" s="172"/>
      <c r="J8" s="172"/>
      <c r="K8" s="172"/>
      <c r="L8" s="172"/>
      <c r="M8" s="172"/>
      <c r="N8" s="172"/>
      <c r="O8" s="172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463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93</v>
      </c>
      <c r="H10" s="464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94</v>
      </c>
      <c r="H12" s="464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'TOT-0909'!B14</f>
        <v>Desde el 01 al 30 de septiembre de 2009</v>
      </c>
      <c r="C14" s="40"/>
      <c r="D14" s="40"/>
      <c r="E14" s="465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5"/>
      <c r="S14" s="465"/>
      <c r="T14" s="465"/>
      <c r="U14" s="465"/>
      <c r="V14" s="465"/>
      <c r="W14" s="465"/>
      <c r="X14" s="465"/>
      <c r="Y14" s="465"/>
      <c r="Z14" s="465"/>
      <c r="AA14" s="467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6" t="s">
        <v>84</v>
      </c>
      <c r="G16" s="468"/>
      <c r="H16" s="318">
        <v>0.319</v>
      </c>
      <c r="I16" s="416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469" t="s">
        <v>26</v>
      </c>
      <c r="G17" s="470"/>
      <c r="H17" s="883">
        <v>20</v>
      </c>
      <c r="I17" s="416"/>
      <c r="J17"/>
      <c r="K17" s="214"/>
      <c r="L17" s="215"/>
      <c r="M17" s="4"/>
      <c r="N17" s="4"/>
      <c r="O17" s="4"/>
      <c r="Q17" s="4"/>
      <c r="R17" s="4"/>
      <c r="S17" s="4"/>
      <c r="T17" s="115"/>
      <c r="U17" s="115"/>
      <c r="V17" s="115"/>
      <c r="W17" s="115"/>
      <c r="X17" s="115"/>
      <c r="Y17" s="115"/>
      <c r="Z17" s="115"/>
      <c r="AA17" s="6"/>
    </row>
    <row r="18" spans="2:27" s="5" customFormat="1" ht="16.5" customHeight="1" thickBot="1" thickTop="1">
      <c r="B18" s="50"/>
      <c r="C18" s="967">
        <v>3</v>
      </c>
      <c r="D18" s="967">
        <v>4</v>
      </c>
      <c r="E18" s="967">
        <v>5</v>
      </c>
      <c r="F18" s="967">
        <v>6</v>
      </c>
      <c r="G18" s="967">
        <v>7</v>
      </c>
      <c r="H18" s="967">
        <v>8</v>
      </c>
      <c r="I18" s="967">
        <v>9</v>
      </c>
      <c r="J18" s="967">
        <v>10</v>
      </c>
      <c r="K18" s="967">
        <v>11</v>
      </c>
      <c r="L18" s="967">
        <v>12</v>
      </c>
      <c r="M18" s="967">
        <v>13</v>
      </c>
      <c r="N18" s="967">
        <v>14</v>
      </c>
      <c r="O18" s="967">
        <v>15</v>
      </c>
      <c r="P18" s="967">
        <v>16</v>
      </c>
      <c r="Q18" s="967">
        <v>17</v>
      </c>
      <c r="R18" s="967">
        <v>18</v>
      </c>
      <c r="S18" s="967">
        <v>19</v>
      </c>
      <c r="T18" s="967">
        <v>20</v>
      </c>
      <c r="U18" s="967">
        <v>21</v>
      </c>
      <c r="V18" s="967">
        <v>22</v>
      </c>
      <c r="W18" s="967">
        <v>23</v>
      </c>
      <c r="X18" s="967">
        <v>24</v>
      </c>
      <c r="Y18" s="967">
        <v>25</v>
      </c>
      <c r="Z18" s="967">
        <v>26</v>
      </c>
      <c r="AA18" s="6"/>
    </row>
    <row r="19" spans="2:27" s="5" customFormat="1" ht="33.75" customHeight="1" thickBot="1" thickTop="1">
      <c r="B19" s="50"/>
      <c r="C19" s="123" t="s">
        <v>13</v>
      </c>
      <c r="D19" s="84" t="s">
        <v>264</v>
      </c>
      <c r="E19" s="84" t="s">
        <v>265</v>
      </c>
      <c r="F19" s="86" t="s">
        <v>27</v>
      </c>
      <c r="G19" s="85" t="s">
        <v>28</v>
      </c>
      <c r="H19" s="472" t="s">
        <v>263</v>
      </c>
      <c r="I19" s="129" t="s">
        <v>16</v>
      </c>
      <c r="J19" s="85" t="s">
        <v>17</v>
      </c>
      <c r="K19" s="85" t="s">
        <v>18</v>
      </c>
      <c r="L19" s="86" t="s">
        <v>36</v>
      </c>
      <c r="M19" s="86" t="s">
        <v>31</v>
      </c>
      <c r="N19" s="88" t="s">
        <v>19</v>
      </c>
      <c r="O19" s="88" t="s">
        <v>58</v>
      </c>
      <c r="P19" s="85" t="s">
        <v>32</v>
      </c>
      <c r="Q19" s="129" t="s">
        <v>37</v>
      </c>
      <c r="R19" s="473" t="s">
        <v>70</v>
      </c>
      <c r="S19" s="474" t="s">
        <v>258</v>
      </c>
      <c r="T19" s="475"/>
      <c r="U19" s="322" t="s">
        <v>259</v>
      </c>
      <c r="V19" s="323"/>
      <c r="W19" s="476" t="s">
        <v>22</v>
      </c>
      <c r="X19" s="321" t="s">
        <v>21</v>
      </c>
      <c r="Y19" s="134" t="s">
        <v>82</v>
      </c>
      <c r="Z19" s="477" t="s">
        <v>24</v>
      </c>
      <c r="AA19" s="6"/>
    </row>
    <row r="20" spans="2:27" s="5" customFormat="1" ht="16.5" customHeight="1" thickTop="1">
      <c r="B20" s="50"/>
      <c r="C20" s="326"/>
      <c r="D20" s="326"/>
      <c r="E20" s="326"/>
      <c r="F20" s="479"/>
      <c r="G20" s="479"/>
      <c r="H20" s="479"/>
      <c r="I20" s="397"/>
      <c r="J20" s="480"/>
      <c r="K20" s="480"/>
      <c r="L20" s="478"/>
      <c r="M20" s="478"/>
      <c r="N20" s="479"/>
      <c r="O20" s="186"/>
      <c r="P20" s="478"/>
      <c r="Q20" s="481"/>
      <c r="R20" s="482"/>
      <c r="S20" s="483"/>
      <c r="T20" s="484"/>
      <c r="U20" s="335"/>
      <c r="V20" s="336"/>
      <c r="W20" s="485"/>
      <c r="X20" s="485"/>
      <c r="Y20" s="486"/>
      <c r="Z20" s="487"/>
      <c r="AA20" s="6"/>
    </row>
    <row r="21" spans="2:27" s="5" customFormat="1" ht="16.5" customHeight="1">
      <c r="B21" s="50"/>
      <c r="C21" s="340"/>
      <c r="D21" s="340"/>
      <c r="E21" s="340"/>
      <c r="F21" s="488"/>
      <c r="G21" s="489"/>
      <c r="H21" s="490"/>
      <c r="I21" s="491"/>
      <c r="J21" s="492"/>
      <c r="K21" s="493"/>
      <c r="L21" s="494"/>
      <c r="M21" s="495"/>
      <c r="N21" s="496"/>
      <c r="O21" s="187"/>
      <c r="P21" s="497"/>
      <c r="Q21" s="498"/>
      <c r="R21" s="499"/>
      <c r="S21" s="500"/>
      <c r="T21" s="501"/>
      <c r="U21" s="349"/>
      <c r="V21" s="350"/>
      <c r="W21" s="502"/>
      <c r="X21" s="502"/>
      <c r="Y21" s="497"/>
      <c r="Z21" s="503"/>
      <c r="AA21" s="6"/>
    </row>
    <row r="22" spans="2:27" s="5" customFormat="1" ht="16.5" customHeight="1">
      <c r="B22" s="50"/>
      <c r="C22" s="340">
        <v>56</v>
      </c>
      <c r="D22" s="340">
        <v>211322</v>
      </c>
      <c r="E22" s="157">
        <v>592</v>
      </c>
      <c r="F22" s="504" t="s">
        <v>336</v>
      </c>
      <c r="G22" s="442" t="s">
        <v>356</v>
      </c>
      <c r="H22" s="505">
        <v>245</v>
      </c>
      <c r="I22" s="357">
        <f aca="true" t="shared" si="0" ref="I22:I41">H22*$H$16</f>
        <v>78.155</v>
      </c>
      <c r="J22" s="444">
        <v>40057</v>
      </c>
      <c r="K22" s="191">
        <v>40086.99998842592</v>
      </c>
      <c r="L22" s="445">
        <f aca="true" t="shared" si="1" ref="L22:L41">IF(F22="","",(K22-J22)*24)</f>
        <v>719.9997222221573</v>
      </c>
      <c r="M22" s="446">
        <f aca="true" t="shared" si="2" ref="M22:M41">IF(F22="","",ROUND((K22-J22)*24*60,0))</f>
        <v>43200</v>
      </c>
      <c r="N22" s="262" t="s">
        <v>303</v>
      </c>
      <c r="O22" s="584"/>
      <c r="P22" s="263" t="str">
        <f aca="true" t="shared" si="3" ref="P22:P41">IF(F22="","",IF(OR(N22="P",N22="RP"),"--","NO"))</f>
        <v>--</v>
      </c>
      <c r="Q22" s="941">
        <f aca="true" t="shared" si="4" ref="Q22:Q41">IF(OR(N22="P",N22="RP"),$H$17/10,$H$17)</f>
        <v>2</v>
      </c>
      <c r="R22" s="942">
        <f aca="true" t="shared" si="5" ref="R22:R41">IF(N22="P",I22*Q22*ROUND(M22/60,2),"--")</f>
        <v>112543.2</v>
      </c>
      <c r="S22" s="500" t="str">
        <f aca="true" t="shared" si="6" ref="S22:S41">IF(AND(N22="F",P22="NO"),I22*Q22,"--")</f>
        <v>--</v>
      </c>
      <c r="T22" s="501" t="str">
        <f aca="true" t="shared" si="7" ref="T22:T41">IF(N22="F",I22*Q22*ROUND(M22/60,2),"--")</f>
        <v>--</v>
      </c>
      <c r="U22" s="364" t="str">
        <f aca="true" t="shared" si="8" ref="U22:U41">IF(AND(N22="R",P22="NO"),I22*Q22*O22/100,"--")</f>
        <v>--</v>
      </c>
      <c r="V22" s="365" t="str">
        <f aca="true" t="shared" si="9" ref="V22:V41">IF(N22="R",I22*Q22*O22/100*ROUND(M22/60,2),"--")</f>
        <v>--</v>
      </c>
      <c r="W22" s="502" t="str">
        <f aca="true" t="shared" si="10" ref="W22:W41">IF(N22="RF",I22*Q22*ROUND(M22/60,2),"--")</f>
        <v>--</v>
      </c>
      <c r="X22" s="938" t="str">
        <f aca="true" t="shared" si="11" ref="X22:X41">IF(N22="RP",I22*Q22*O22/100*ROUND(M22/60,2),"--")</f>
        <v>--</v>
      </c>
      <c r="Y22" s="263" t="s">
        <v>240</v>
      </c>
      <c r="Z22" s="447">
        <f aca="true" t="shared" si="12" ref="Z22:Z41">IF(F22="","",SUM(R22:X22)*IF(Y22="SI",1,2)*IF(AND(O22&lt;&gt;"--",N22="RF"),O22/100,1))</f>
        <v>112543.2</v>
      </c>
      <c r="AA22" s="6"/>
    </row>
    <row r="23" spans="2:27" s="5" customFormat="1" ht="16.5" customHeight="1">
      <c r="B23" s="50"/>
      <c r="C23" s="340">
        <v>57</v>
      </c>
      <c r="D23" s="340">
        <v>210933</v>
      </c>
      <c r="E23" s="340">
        <v>660</v>
      </c>
      <c r="F23" s="504" t="s">
        <v>357</v>
      </c>
      <c r="G23" s="442" t="s">
        <v>358</v>
      </c>
      <c r="H23" s="505">
        <v>25</v>
      </c>
      <c r="I23" s="357">
        <f t="shared" si="0"/>
        <v>7.9750000000000005</v>
      </c>
      <c r="J23" s="444">
        <v>40063.49652777778</v>
      </c>
      <c r="K23" s="191">
        <v>40063.51944444444</v>
      </c>
      <c r="L23" s="445">
        <f t="shared" si="1"/>
        <v>0.5499999998719431</v>
      </c>
      <c r="M23" s="446">
        <f t="shared" si="2"/>
        <v>33</v>
      </c>
      <c r="N23" s="262" t="s">
        <v>300</v>
      </c>
      <c r="O23" s="584"/>
      <c r="P23" s="263" t="str">
        <f t="shared" si="3"/>
        <v>NO</v>
      </c>
      <c r="Q23" s="941">
        <f t="shared" si="4"/>
        <v>20</v>
      </c>
      <c r="R23" s="942" t="str">
        <f t="shared" si="5"/>
        <v>--</v>
      </c>
      <c r="S23" s="500">
        <f t="shared" si="6"/>
        <v>159.5</v>
      </c>
      <c r="T23" s="501">
        <f t="shared" si="7"/>
        <v>87.72500000000001</v>
      </c>
      <c r="U23" s="364" t="str">
        <f t="shared" si="8"/>
        <v>--</v>
      </c>
      <c r="V23" s="365" t="str">
        <f t="shared" si="9"/>
        <v>--</v>
      </c>
      <c r="W23" s="502" t="str">
        <f t="shared" si="10"/>
        <v>--</v>
      </c>
      <c r="X23" s="938" t="str">
        <f t="shared" si="11"/>
        <v>--</v>
      </c>
      <c r="Y23" s="263" t="s">
        <v>240</v>
      </c>
      <c r="Z23" s="447">
        <f t="shared" si="12"/>
        <v>247.22500000000002</v>
      </c>
      <c r="AA23" s="6"/>
    </row>
    <row r="24" spans="2:27" s="5" customFormat="1" ht="16.5" customHeight="1">
      <c r="B24" s="50"/>
      <c r="C24" s="340">
        <v>58</v>
      </c>
      <c r="D24" s="340">
        <v>210938</v>
      </c>
      <c r="E24" s="157">
        <v>3755</v>
      </c>
      <c r="F24" s="504" t="s">
        <v>329</v>
      </c>
      <c r="G24" s="442" t="s">
        <v>359</v>
      </c>
      <c r="H24" s="505">
        <v>50</v>
      </c>
      <c r="I24" s="357">
        <f t="shared" si="0"/>
        <v>15.950000000000001</v>
      </c>
      <c r="J24" s="444">
        <v>40064.34583333333</v>
      </c>
      <c r="K24" s="191">
        <v>40064.70138888889</v>
      </c>
      <c r="L24" s="445">
        <f t="shared" si="1"/>
        <v>8.53333333338378</v>
      </c>
      <c r="M24" s="446">
        <f t="shared" si="2"/>
        <v>512</v>
      </c>
      <c r="N24" s="262" t="s">
        <v>303</v>
      </c>
      <c r="O24" s="584"/>
      <c r="P24" s="263" t="str">
        <f t="shared" si="3"/>
        <v>--</v>
      </c>
      <c r="Q24" s="941">
        <f t="shared" si="4"/>
        <v>2</v>
      </c>
      <c r="R24" s="942">
        <f t="shared" si="5"/>
        <v>272.10699999999997</v>
      </c>
      <c r="S24" s="500" t="str">
        <f t="shared" si="6"/>
        <v>--</v>
      </c>
      <c r="T24" s="501" t="str">
        <f t="shared" si="7"/>
        <v>--</v>
      </c>
      <c r="U24" s="364" t="str">
        <f t="shared" si="8"/>
        <v>--</v>
      </c>
      <c r="V24" s="365" t="str">
        <f t="shared" si="9"/>
        <v>--</v>
      </c>
      <c r="W24" s="502" t="str">
        <f t="shared" si="10"/>
        <v>--</v>
      </c>
      <c r="X24" s="938" t="str">
        <f t="shared" si="11"/>
        <v>--</v>
      </c>
      <c r="Y24" s="263" t="s">
        <v>240</v>
      </c>
      <c r="Z24" s="447">
        <f t="shared" si="12"/>
        <v>272.10699999999997</v>
      </c>
      <c r="AA24" s="6"/>
    </row>
    <row r="25" spans="2:27" s="5" customFormat="1" ht="16.5" customHeight="1">
      <c r="B25" s="50"/>
      <c r="C25" s="340">
        <v>59</v>
      </c>
      <c r="D25" s="340">
        <v>210941</v>
      </c>
      <c r="E25" s="340">
        <v>664</v>
      </c>
      <c r="F25" s="504" t="s">
        <v>317</v>
      </c>
      <c r="G25" s="442" t="s">
        <v>374</v>
      </c>
      <c r="H25" s="505">
        <v>80</v>
      </c>
      <c r="I25" s="357">
        <f t="shared" si="0"/>
        <v>25.52</v>
      </c>
      <c r="J25" s="444">
        <v>40065.024305555555</v>
      </c>
      <c r="K25" s="191">
        <v>40065.291666666664</v>
      </c>
      <c r="L25" s="445">
        <f t="shared" si="1"/>
        <v>6.416666666627862</v>
      </c>
      <c r="M25" s="446">
        <f t="shared" si="2"/>
        <v>385</v>
      </c>
      <c r="N25" s="262" t="s">
        <v>300</v>
      </c>
      <c r="O25" s="584"/>
      <c r="P25" s="263" t="s">
        <v>240</v>
      </c>
      <c r="Q25" s="941">
        <f t="shared" si="4"/>
        <v>20</v>
      </c>
      <c r="R25" s="942" t="str">
        <f t="shared" si="5"/>
        <v>--</v>
      </c>
      <c r="S25" s="500" t="str">
        <f t="shared" si="6"/>
        <v>--</v>
      </c>
      <c r="T25" s="501">
        <f t="shared" si="7"/>
        <v>3276.768</v>
      </c>
      <c r="U25" s="364" t="str">
        <f t="shared" si="8"/>
        <v>--</v>
      </c>
      <c r="V25" s="365" t="str">
        <f t="shared" si="9"/>
        <v>--</v>
      </c>
      <c r="W25" s="502" t="str">
        <f t="shared" si="10"/>
        <v>--</v>
      </c>
      <c r="X25" s="938" t="str">
        <f t="shared" si="11"/>
        <v>--</v>
      </c>
      <c r="Y25" s="263" t="s">
        <v>240</v>
      </c>
      <c r="Z25" s="447">
        <f t="shared" si="12"/>
        <v>3276.768</v>
      </c>
      <c r="AA25" s="506"/>
    </row>
    <row r="26" spans="2:27" s="5" customFormat="1" ht="16.5" customHeight="1">
      <c r="B26" s="50"/>
      <c r="C26" s="340">
        <v>60</v>
      </c>
      <c r="D26" s="340">
        <v>210944</v>
      </c>
      <c r="E26" s="157">
        <v>3755</v>
      </c>
      <c r="F26" s="504" t="s">
        <v>329</v>
      </c>
      <c r="G26" s="442" t="s">
        <v>359</v>
      </c>
      <c r="H26" s="505">
        <v>50</v>
      </c>
      <c r="I26" s="357">
        <f t="shared" si="0"/>
        <v>15.950000000000001</v>
      </c>
      <c r="J26" s="444">
        <v>40065.34652777778</v>
      </c>
      <c r="K26" s="191">
        <v>40065.697916666664</v>
      </c>
      <c r="L26" s="445">
        <f t="shared" si="1"/>
        <v>8.43333333323244</v>
      </c>
      <c r="M26" s="446">
        <f t="shared" si="2"/>
        <v>506</v>
      </c>
      <c r="N26" s="262" t="s">
        <v>303</v>
      </c>
      <c r="O26" s="584"/>
      <c r="P26" s="263" t="str">
        <f t="shared" si="3"/>
        <v>--</v>
      </c>
      <c r="Q26" s="941">
        <f t="shared" si="4"/>
        <v>2</v>
      </c>
      <c r="R26" s="942">
        <f t="shared" si="5"/>
        <v>268.91700000000003</v>
      </c>
      <c r="S26" s="500" t="str">
        <f t="shared" si="6"/>
        <v>--</v>
      </c>
      <c r="T26" s="501" t="str">
        <f t="shared" si="7"/>
        <v>--</v>
      </c>
      <c r="U26" s="364" t="str">
        <f t="shared" si="8"/>
        <v>--</v>
      </c>
      <c r="V26" s="365" t="str">
        <f t="shared" si="9"/>
        <v>--</v>
      </c>
      <c r="W26" s="502" t="str">
        <f t="shared" si="10"/>
        <v>--</v>
      </c>
      <c r="X26" s="938" t="str">
        <f t="shared" si="11"/>
        <v>--</v>
      </c>
      <c r="Y26" s="263" t="s">
        <v>240</v>
      </c>
      <c r="Z26" s="447">
        <f t="shared" si="12"/>
        <v>268.91700000000003</v>
      </c>
      <c r="AA26" s="506"/>
    </row>
    <row r="27" spans="2:27" s="5" customFormat="1" ht="16.5" customHeight="1">
      <c r="B27" s="50"/>
      <c r="C27" s="340">
        <v>61</v>
      </c>
      <c r="D27" s="340">
        <v>210967</v>
      </c>
      <c r="E27" s="340">
        <v>664</v>
      </c>
      <c r="F27" s="504" t="s">
        <v>317</v>
      </c>
      <c r="G27" s="442" t="s">
        <v>374</v>
      </c>
      <c r="H27" s="505">
        <v>80</v>
      </c>
      <c r="I27" s="357">
        <f t="shared" si="0"/>
        <v>25.52</v>
      </c>
      <c r="J27" s="444">
        <v>40066.041666666664</v>
      </c>
      <c r="K27" s="191">
        <v>40066.291666666664</v>
      </c>
      <c r="L27" s="445">
        <f t="shared" si="1"/>
        <v>6</v>
      </c>
      <c r="M27" s="446">
        <f t="shared" si="2"/>
        <v>360</v>
      </c>
      <c r="N27" s="262" t="s">
        <v>300</v>
      </c>
      <c r="O27" s="584"/>
      <c r="P27" s="263" t="s">
        <v>240</v>
      </c>
      <c r="Q27" s="941">
        <f t="shared" si="4"/>
        <v>20</v>
      </c>
      <c r="R27" s="942" t="str">
        <f t="shared" si="5"/>
        <v>--</v>
      </c>
      <c r="S27" s="500" t="str">
        <f t="shared" si="6"/>
        <v>--</v>
      </c>
      <c r="T27" s="501">
        <f t="shared" si="7"/>
        <v>3062.3999999999996</v>
      </c>
      <c r="U27" s="364" t="str">
        <f t="shared" si="8"/>
        <v>--</v>
      </c>
      <c r="V27" s="365" t="str">
        <f t="shared" si="9"/>
        <v>--</v>
      </c>
      <c r="W27" s="502" t="str">
        <f t="shared" si="10"/>
        <v>--</v>
      </c>
      <c r="X27" s="938" t="str">
        <f t="shared" si="11"/>
        <v>--</v>
      </c>
      <c r="Y27" s="263" t="s">
        <v>240</v>
      </c>
      <c r="Z27" s="447">
        <f t="shared" si="12"/>
        <v>3062.3999999999996</v>
      </c>
      <c r="AA27" s="506"/>
    </row>
    <row r="28" spans="2:27" s="5" customFormat="1" ht="16.5" customHeight="1">
      <c r="B28" s="50"/>
      <c r="C28" s="340">
        <v>62</v>
      </c>
      <c r="D28" s="340">
        <v>210952</v>
      </c>
      <c r="E28" s="157">
        <v>3755</v>
      </c>
      <c r="F28" s="504" t="s">
        <v>329</v>
      </c>
      <c r="G28" s="442" t="s">
        <v>359</v>
      </c>
      <c r="H28" s="505">
        <v>50</v>
      </c>
      <c r="I28" s="357">
        <f t="shared" si="0"/>
        <v>15.950000000000001</v>
      </c>
      <c r="J28" s="444">
        <v>40066.35555555556</v>
      </c>
      <c r="K28" s="191">
        <v>40066.646527777775</v>
      </c>
      <c r="L28" s="445">
        <f t="shared" si="1"/>
        <v>6.9833333332207985</v>
      </c>
      <c r="M28" s="446">
        <f t="shared" si="2"/>
        <v>419</v>
      </c>
      <c r="N28" s="262" t="s">
        <v>303</v>
      </c>
      <c r="O28" s="584"/>
      <c r="P28" s="263" t="str">
        <f t="shared" si="3"/>
        <v>--</v>
      </c>
      <c r="Q28" s="941">
        <f t="shared" si="4"/>
        <v>2</v>
      </c>
      <c r="R28" s="942">
        <f t="shared" si="5"/>
        <v>222.66200000000003</v>
      </c>
      <c r="S28" s="500" t="str">
        <f t="shared" si="6"/>
        <v>--</v>
      </c>
      <c r="T28" s="501" t="str">
        <f t="shared" si="7"/>
        <v>--</v>
      </c>
      <c r="U28" s="364" t="str">
        <f t="shared" si="8"/>
        <v>--</v>
      </c>
      <c r="V28" s="365" t="str">
        <f t="shared" si="9"/>
        <v>--</v>
      </c>
      <c r="W28" s="502" t="str">
        <f t="shared" si="10"/>
        <v>--</v>
      </c>
      <c r="X28" s="938" t="str">
        <f t="shared" si="11"/>
        <v>--</v>
      </c>
      <c r="Y28" s="263" t="s">
        <v>240</v>
      </c>
      <c r="Z28" s="447">
        <f t="shared" si="12"/>
        <v>222.66200000000003</v>
      </c>
      <c r="AA28" s="506"/>
    </row>
    <row r="29" spans="2:27" s="5" customFormat="1" ht="16.5" customHeight="1">
      <c r="B29" s="50"/>
      <c r="C29" s="340">
        <v>63</v>
      </c>
      <c r="D29" s="340">
        <v>210957</v>
      </c>
      <c r="E29" s="340">
        <v>666</v>
      </c>
      <c r="F29" s="504" t="s">
        <v>316</v>
      </c>
      <c r="G29" s="442" t="s">
        <v>373</v>
      </c>
      <c r="H29" s="505">
        <v>80</v>
      </c>
      <c r="I29" s="357">
        <f t="shared" si="0"/>
        <v>25.52</v>
      </c>
      <c r="J29" s="444">
        <v>40067.336805555555</v>
      </c>
      <c r="K29" s="191">
        <v>40067.56875</v>
      </c>
      <c r="L29" s="445">
        <f t="shared" si="1"/>
        <v>5.566666666651145</v>
      </c>
      <c r="M29" s="446">
        <f t="shared" si="2"/>
        <v>334</v>
      </c>
      <c r="N29" s="262" t="s">
        <v>303</v>
      </c>
      <c r="O29" s="584"/>
      <c r="P29" s="263" t="str">
        <f t="shared" si="3"/>
        <v>--</v>
      </c>
      <c r="Q29" s="941">
        <f t="shared" si="4"/>
        <v>2</v>
      </c>
      <c r="R29" s="942">
        <f t="shared" si="5"/>
        <v>284.2928</v>
      </c>
      <c r="S29" s="500" t="str">
        <f t="shared" si="6"/>
        <v>--</v>
      </c>
      <c r="T29" s="501" t="str">
        <f t="shared" si="7"/>
        <v>--</v>
      </c>
      <c r="U29" s="364" t="str">
        <f t="shared" si="8"/>
        <v>--</v>
      </c>
      <c r="V29" s="365" t="str">
        <f t="shared" si="9"/>
        <v>--</v>
      </c>
      <c r="W29" s="502" t="str">
        <f t="shared" si="10"/>
        <v>--</v>
      </c>
      <c r="X29" s="938" t="str">
        <f t="shared" si="11"/>
        <v>--</v>
      </c>
      <c r="Y29" s="263" t="s">
        <v>240</v>
      </c>
      <c r="Z29" s="447">
        <f t="shared" si="12"/>
        <v>284.2928</v>
      </c>
      <c r="AA29" s="506"/>
    </row>
    <row r="30" spans="2:27" s="5" customFormat="1" ht="16.5" customHeight="1">
      <c r="B30" s="50"/>
      <c r="C30" s="340">
        <v>64</v>
      </c>
      <c r="D30" s="340">
        <v>210964</v>
      </c>
      <c r="E30" s="157">
        <v>664</v>
      </c>
      <c r="F30" s="504" t="s">
        <v>317</v>
      </c>
      <c r="G30" s="442" t="s">
        <v>374</v>
      </c>
      <c r="H30" s="505">
        <v>80</v>
      </c>
      <c r="I30" s="357">
        <f t="shared" si="0"/>
        <v>25.52</v>
      </c>
      <c r="J30" s="444">
        <v>40067.63680555556</v>
      </c>
      <c r="K30" s="191">
        <v>40068.39027777778</v>
      </c>
      <c r="L30" s="445">
        <f t="shared" si="1"/>
        <v>18.083333333255723</v>
      </c>
      <c r="M30" s="446">
        <f t="shared" si="2"/>
        <v>1085</v>
      </c>
      <c r="N30" s="262" t="s">
        <v>300</v>
      </c>
      <c r="O30" s="584"/>
      <c r="P30" s="263" t="str">
        <f t="shared" si="3"/>
        <v>NO</v>
      </c>
      <c r="Q30" s="941">
        <f t="shared" si="4"/>
        <v>20</v>
      </c>
      <c r="R30" s="942" t="str">
        <f t="shared" si="5"/>
        <v>--</v>
      </c>
      <c r="S30" s="500">
        <f t="shared" si="6"/>
        <v>510.4</v>
      </c>
      <c r="T30" s="501">
        <f t="shared" si="7"/>
        <v>9228.032</v>
      </c>
      <c r="U30" s="364" t="str">
        <f t="shared" si="8"/>
        <v>--</v>
      </c>
      <c r="V30" s="365" t="str">
        <f t="shared" si="9"/>
        <v>--</v>
      </c>
      <c r="W30" s="502" t="str">
        <f t="shared" si="10"/>
        <v>--</v>
      </c>
      <c r="X30" s="938" t="str">
        <f t="shared" si="11"/>
        <v>--</v>
      </c>
      <c r="Y30" s="263" t="s">
        <v>240</v>
      </c>
      <c r="Z30" s="447">
        <f t="shared" si="12"/>
        <v>9738.431999999999</v>
      </c>
      <c r="AA30" s="506"/>
    </row>
    <row r="31" spans="2:27" s="5" customFormat="1" ht="16.5" customHeight="1">
      <c r="B31" s="50"/>
      <c r="C31" s="340">
        <v>65</v>
      </c>
      <c r="D31" s="340">
        <v>211133</v>
      </c>
      <c r="E31" s="340">
        <v>665</v>
      </c>
      <c r="F31" s="504" t="s">
        <v>317</v>
      </c>
      <c r="G31" s="442" t="s">
        <v>360</v>
      </c>
      <c r="H31" s="505">
        <v>80</v>
      </c>
      <c r="I31" s="357">
        <f t="shared" si="0"/>
        <v>25.52</v>
      </c>
      <c r="J31" s="444">
        <v>40070.67222222222</v>
      </c>
      <c r="K31" s="191">
        <v>40070.69305555556</v>
      </c>
      <c r="L31" s="445">
        <f t="shared" si="1"/>
        <v>0.5000000000582077</v>
      </c>
      <c r="M31" s="446">
        <f t="shared" si="2"/>
        <v>30</v>
      </c>
      <c r="N31" s="262" t="s">
        <v>303</v>
      </c>
      <c r="O31" s="584"/>
      <c r="P31" s="263" t="str">
        <f t="shared" si="3"/>
        <v>--</v>
      </c>
      <c r="Q31" s="941">
        <f t="shared" si="4"/>
        <v>2</v>
      </c>
      <c r="R31" s="942">
        <f t="shared" si="5"/>
        <v>25.52</v>
      </c>
      <c r="S31" s="500" t="str">
        <f t="shared" si="6"/>
        <v>--</v>
      </c>
      <c r="T31" s="501" t="str">
        <f t="shared" si="7"/>
        <v>--</v>
      </c>
      <c r="U31" s="364" t="str">
        <f t="shared" si="8"/>
        <v>--</v>
      </c>
      <c r="V31" s="365" t="str">
        <f t="shared" si="9"/>
        <v>--</v>
      </c>
      <c r="W31" s="502" t="str">
        <f t="shared" si="10"/>
        <v>--</v>
      </c>
      <c r="X31" s="938" t="str">
        <f t="shared" si="11"/>
        <v>--</v>
      </c>
      <c r="Y31" s="263" t="s">
        <v>240</v>
      </c>
      <c r="Z31" s="447">
        <f t="shared" si="12"/>
        <v>25.52</v>
      </c>
      <c r="AA31" s="6"/>
    </row>
    <row r="32" spans="2:27" s="5" customFormat="1" ht="16.5" customHeight="1">
      <c r="B32" s="50"/>
      <c r="C32" s="340">
        <v>66</v>
      </c>
      <c r="D32" s="340">
        <v>211148</v>
      </c>
      <c r="E32" s="157">
        <v>660</v>
      </c>
      <c r="F32" s="504" t="s">
        <v>357</v>
      </c>
      <c r="G32" s="442" t="s">
        <v>358</v>
      </c>
      <c r="H32" s="505">
        <v>25</v>
      </c>
      <c r="I32" s="357">
        <f t="shared" si="0"/>
        <v>7.9750000000000005</v>
      </c>
      <c r="J32" s="444">
        <v>40075.30625</v>
      </c>
      <c r="K32" s="191">
        <v>40075.42013888889</v>
      </c>
      <c r="L32" s="445">
        <f t="shared" si="1"/>
        <v>2.733333333337214</v>
      </c>
      <c r="M32" s="446">
        <f t="shared" si="2"/>
        <v>164</v>
      </c>
      <c r="N32" s="262" t="s">
        <v>300</v>
      </c>
      <c r="O32" s="584"/>
      <c r="P32" s="263" t="str">
        <f t="shared" si="3"/>
        <v>NO</v>
      </c>
      <c r="Q32" s="941">
        <f t="shared" si="4"/>
        <v>20</v>
      </c>
      <c r="R32" s="942" t="str">
        <f t="shared" si="5"/>
        <v>--</v>
      </c>
      <c r="S32" s="500">
        <f t="shared" si="6"/>
        <v>159.5</v>
      </c>
      <c r="T32" s="501">
        <f t="shared" si="7"/>
        <v>435.435</v>
      </c>
      <c r="U32" s="364" t="str">
        <f t="shared" si="8"/>
        <v>--</v>
      </c>
      <c r="V32" s="365" t="str">
        <f t="shared" si="9"/>
        <v>--</v>
      </c>
      <c r="W32" s="502" t="str">
        <f t="shared" si="10"/>
        <v>--</v>
      </c>
      <c r="X32" s="938" t="str">
        <f t="shared" si="11"/>
        <v>--</v>
      </c>
      <c r="Y32" s="263" t="s">
        <v>240</v>
      </c>
      <c r="Z32" s="447">
        <f t="shared" si="12"/>
        <v>594.935</v>
      </c>
      <c r="AA32" s="6"/>
    </row>
    <row r="33" spans="2:27" s="5" customFormat="1" ht="16.5" customHeight="1">
      <c r="B33" s="50"/>
      <c r="C33" s="340"/>
      <c r="D33" s="340"/>
      <c r="E33" s="340"/>
      <c r="F33" s="504"/>
      <c r="G33" s="442"/>
      <c r="H33" s="505"/>
      <c r="I33" s="357">
        <f t="shared" si="0"/>
        <v>0</v>
      </c>
      <c r="J33" s="444"/>
      <c r="K33" s="191"/>
      <c r="L33" s="445">
        <f t="shared" si="1"/>
      </c>
      <c r="M33" s="446">
        <f t="shared" si="2"/>
      </c>
      <c r="N33" s="262"/>
      <c r="O33" s="584">
        <f aca="true" t="shared" si="13" ref="O33:O41">IF(F33="","","--")</f>
      </c>
      <c r="P33" s="263">
        <f t="shared" si="3"/>
      </c>
      <c r="Q33" s="941">
        <f t="shared" si="4"/>
        <v>20</v>
      </c>
      <c r="R33" s="942" t="str">
        <f t="shared" si="5"/>
        <v>--</v>
      </c>
      <c r="S33" s="500" t="str">
        <f t="shared" si="6"/>
        <v>--</v>
      </c>
      <c r="T33" s="501" t="str">
        <f t="shared" si="7"/>
        <v>--</v>
      </c>
      <c r="U33" s="364" t="str">
        <f t="shared" si="8"/>
        <v>--</v>
      </c>
      <c r="V33" s="365" t="str">
        <f t="shared" si="9"/>
        <v>--</v>
      </c>
      <c r="W33" s="502" t="str">
        <f t="shared" si="10"/>
        <v>--</v>
      </c>
      <c r="X33" s="938" t="str">
        <f t="shared" si="11"/>
        <v>--</v>
      </c>
      <c r="Y33" s="263">
        <f aca="true" t="shared" si="14" ref="Y33:Y41">IF(F33="","","SI")</f>
      </c>
      <c r="Z33" s="447">
        <f t="shared" si="12"/>
      </c>
      <c r="AA33" s="6"/>
    </row>
    <row r="34" spans="2:27" s="5" customFormat="1" ht="16.5" customHeight="1">
      <c r="B34" s="50"/>
      <c r="C34" s="340"/>
      <c r="D34" s="340"/>
      <c r="E34" s="157"/>
      <c r="F34" s="504"/>
      <c r="G34" s="442"/>
      <c r="H34" s="505"/>
      <c r="I34" s="357">
        <f t="shared" si="0"/>
        <v>0</v>
      </c>
      <c r="J34" s="444"/>
      <c r="K34" s="191"/>
      <c r="L34" s="445">
        <f t="shared" si="1"/>
      </c>
      <c r="M34" s="446">
        <f t="shared" si="2"/>
      </c>
      <c r="N34" s="262"/>
      <c r="O34" s="584">
        <f t="shared" si="13"/>
      </c>
      <c r="P34" s="263">
        <f t="shared" si="3"/>
      </c>
      <c r="Q34" s="941">
        <f t="shared" si="4"/>
        <v>20</v>
      </c>
      <c r="R34" s="942" t="str">
        <f t="shared" si="5"/>
        <v>--</v>
      </c>
      <c r="S34" s="500" t="str">
        <f t="shared" si="6"/>
        <v>--</v>
      </c>
      <c r="T34" s="501" t="str">
        <f t="shared" si="7"/>
        <v>--</v>
      </c>
      <c r="U34" s="364" t="str">
        <f t="shared" si="8"/>
        <v>--</v>
      </c>
      <c r="V34" s="365" t="str">
        <f t="shared" si="9"/>
        <v>--</v>
      </c>
      <c r="W34" s="502" t="str">
        <f t="shared" si="10"/>
        <v>--</v>
      </c>
      <c r="X34" s="938" t="str">
        <f t="shared" si="11"/>
        <v>--</v>
      </c>
      <c r="Y34" s="263">
        <f t="shared" si="14"/>
      </c>
      <c r="Z34" s="447">
        <f t="shared" si="12"/>
      </c>
      <c r="AA34" s="6"/>
    </row>
    <row r="35" spans="2:27" s="5" customFormat="1" ht="16.5" customHeight="1">
      <c r="B35" s="50"/>
      <c r="C35" s="340"/>
      <c r="D35" s="340"/>
      <c r="E35" s="340"/>
      <c r="F35" s="504"/>
      <c r="G35" s="442"/>
      <c r="H35" s="505"/>
      <c r="I35" s="357">
        <f t="shared" si="0"/>
        <v>0</v>
      </c>
      <c r="J35" s="444"/>
      <c r="K35" s="191"/>
      <c r="L35" s="445">
        <f t="shared" si="1"/>
      </c>
      <c r="M35" s="446">
        <f t="shared" si="2"/>
      </c>
      <c r="N35" s="262"/>
      <c r="O35" s="584">
        <f t="shared" si="13"/>
      </c>
      <c r="P35" s="263">
        <f t="shared" si="3"/>
      </c>
      <c r="Q35" s="941">
        <f t="shared" si="4"/>
        <v>20</v>
      </c>
      <c r="R35" s="942" t="str">
        <f t="shared" si="5"/>
        <v>--</v>
      </c>
      <c r="S35" s="500" t="str">
        <f t="shared" si="6"/>
        <v>--</v>
      </c>
      <c r="T35" s="501" t="str">
        <f t="shared" si="7"/>
        <v>--</v>
      </c>
      <c r="U35" s="364" t="str">
        <f t="shared" si="8"/>
        <v>--</v>
      </c>
      <c r="V35" s="365" t="str">
        <f t="shared" si="9"/>
        <v>--</v>
      </c>
      <c r="W35" s="502" t="str">
        <f t="shared" si="10"/>
        <v>--</v>
      </c>
      <c r="X35" s="938" t="str">
        <f t="shared" si="11"/>
        <v>--</v>
      </c>
      <c r="Y35" s="263">
        <f t="shared" si="14"/>
      </c>
      <c r="Z35" s="447">
        <f t="shared" si="12"/>
      </c>
      <c r="AA35" s="6"/>
    </row>
    <row r="36" spans="2:27" s="5" customFormat="1" ht="16.5" customHeight="1">
      <c r="B36" s="50"/>
      <c r="C36" s="340"/>
      <c r="D36" s="340"/>
      <c r="E36" s="157"/>
      <c r="F36" s="504"/>
      <c r="G36" s="442"/>
      <c r="H36" s="505"/>
      <c r="I36" s="357">
        <f t="shared" si="0"/>
        <v>0</v>
      </c>
      <c r="J36" s="444"/>
      <c r="K36" s="191"/>
      <c r="L36" s="445">
        <f t="shared" si="1"/>
      </c>
      <c r="M36" s="446">
        <f t="shared" si="2"/>
      </c>
      <c r="N36" s="262"/>
      <c r="O36" s="584">
        <f t="shared" si="13"/>
      </c>
      <c r="P36" s="263">
        <f t="shared" si="3"/>
      </c>
      <c r="Q36" s="941">
        <f t="shared" si="4"/>
        <v>20</v>
      </c>
      <c r="R36" s="942" t="str">
        <f t="shared" si="5"/>
        <v>--</v>
      </c>
      <c r="S36" s="500" t="str">
        <f t="shared" si="6"/>
        <v>--</v>
      </c>
      <c r="T36" s="501" t="str">
        <f t="shared" si="7"/>
        <v>--</v>
      </c>
      <c r="U36" s="364" t="str">
        <f t="shared" si="8"/>
        <v>--</v>
      </c>
      <c r="V36" s="365" t="str">
        <f t="shared" si="9"/>
        <v>--</v>
      </c>
      <c r="W36" s="502" t="str">
        <f t="shared" si="10"/>
        <v>--</v>
      </c>
      <c r="X36" s="938" t="str">
        <f t="shared" si="11"/>
        <v>--</v>
      </c>
      <c r="Y36" s="263">
        <f t="shared" si="14"/>
      </c>
      <c r="Z36" s="447">
        <f t="shared" si="12"/>
      </c>
      <c r="AA36" s="6"/>
    </row>
    <row r="37" spans="2:27" s="5" customFormat="1" ht="16.5" customHeight="1">
      <c r="B37" s="50"/>
      <c r="C37" s="340"/>
      <c r="D37" s="340"/>
      <c r="E37" s="340"/>
      <c r="F37" s="504"/>
      <c r="G37" s="442"/>
      <c r="H37" s="505"/>
      <c r="I37" s="357">
        <f t="shared" si="0"/>
        <v>0</v>
      </c>
      <c r="J37" s="444"/>
      <c r="K37" s="191"/>
      <c r="L37" s="445">
        <f t="shared" si="1"/>
      </c>
      <c r="M37" s="446">
        <f t="shared" si="2"/>
      </c>
      <c r="N37" s="262"/>
      <c r="O37" s="584">
        <f t="shared" si="13"/>
      </c>
      <c r="P37" s="263">
        <f t="shared" si="3"/>
      </c>
      <c r="Q37" s="941">
        <f t="shared" si="4"/>
        <v>20</v>
      </c>
      <c r="R37" s="942" t="str">
        <f t="shared" si="5"/>
        <v>--</v>
      </c>
      <c r="S37" s="500" t="str">
        <f t="shared" si="6"/>
        <v>--</v>
      </c>
      <c r="T37" s="501" t="str">
        <f t="shared" si="7"/>
        <v>--</v>
      </c>
      <c r="U37" s="364" t="str">
        <f t="shared" si="8"/>
        <v>--</v>
      </c>
      <c r="V37" s="365" t="str">
        <f t="shared" si="9"/>
        <v>--</v>
      </c>
      <c r="W37" s="502" t="str">
        <f t="shared" si="10"/>
        <v>--</v>
      </c>
      <c r="X37" s="938" t="str">
        <f t="shared" si="11"/>
        <v>--</v>
      </c>
      <c r="Y37" s="263">
        <f t="shared" si="14"/>
      </c>
      <c r="Z37" s="447">
        <f t="shared" si="12"/>
      </c>
      <c r="AA37" s="6"/>
    </row>
    <row r="38" spans="2:27" s="5" customFormat="1" ht="16.5" customHeight="1">
      <c r="B38" s="50"/>
      <c r="C38" s="340"/>
      <c r="D38" s="340"/>
      <c r="E38" s="157"/>
      <c r="F38" s="504"/>
      <c r="G38" s="442"/>
      <c r="H38" s="505"/>
      <c r="I38" s="357">
        <f t="shared" si="0"/>
        <v>0</v>
      </c>
      <c r="J38" s="444"/>
      <c r="K38" s="191"/>
      <c r="L38" s="445">
        <f t="shared" si="1"/>
      </c>
      <c r="M38" s="446">
        <f t="shared" si="2"/>
      </c>
      <c r="N38" s="262"/>
      <c r="O38" s="584">
        <f t="shared" si="13"/>
      </c>
      <c r="P38" s="263">
        <f t="shared" si="3"/>
      </c>
      <c r="Q38" s="941">
        <f t="shared" si="4"/>
        <v>20</v>
      </c>
      <c r="R38" s="942" t="str">
        <f t="shared" si="5"/>
        <v>--</v>
      </c>
      <c r="S38" s="500" t="str">
        <f t="shared" si="6"/>
        <v>--</v>
      </c>
      <c r="T38" s="501" t="str">
        <f t="shared" si="7"/>
        <v>--</v>
      </c>
      <c r="U38" s="364" t="str">
        <f t="shared" si="8"/>
        <v>--</v>
      </c>
      <c r="V38" s="365" t="str">
        <f t="shared" si="9"/>
        <v>--</v>
      </c>
      <c r="W38" s="502" t="str">
        <f t="shared" si="10"/>
        <v>--</v>
      </c>
      <c r="X38" s="938" t="str">
        <f t="shared" si="11"/>
        <v>--</v>
      </c>
      <c r="Y38" s="263">
        <f t="shared" si="14"/>
      </c>
      <c r="Z38" s="447">
        <f t="shared" si="12"/>
      </c>
      <c r="AA38" s="6"/>
    </row>
    <row r="39" spans="2:27" s="5" customFormat="1" ht="16.5" customHeight="1">
      <c r="B39" s="50"/>
      <c r="C39" s="340"/>
      <c r="D39" s="340"/>
      <c r="E39" s="340"/>
      <c r="F39" s="504"/>
      <c r="G39" s="442"/>
      <c r="H39" s="505"/>
      <c r="I39" s="357">
        <f t="shared" si="0"/>
        <v>0</v>
      </c>
      <c r="J39" s="444"/>
      <c r="K39" s="191"/>
      <c r="L39" s="445">
        <f t="shared" si="1"/>
      </c>
      <c r="M39" s="446">
        <f t="shared" si="2"/>
      </c>
      <c r="N39" s="262"/>
      <c r="O39" s="584">
        <f t="shared" si="13"/>
      </c>
      <c r="P39" s="263">
        <f t="shared" si="3"/>
      </c>
      <c r="Q39" s="941">
        <f t="shared" si="4"/>
        <v>20</v>
      </c>
      <c r="R39" s="942" t="str">
        <f t="shared" si="5"/>
        <v>--</v>
      </c>
      <c r="S39" s="500" t="str">
        <f t="shared" si="6"/>
        <v>--</v>
      </c>
      <c r="T39" s="501" t="str">
        <f t="shared" si="7"/>
        <v>--</v>
      </c>
      <c r="U39" s="364" t="str">
        <f t="shared" si="8"/>
        <v>--</v>
      </c>
      <c r="V39" s="365" t="str">
        <f t="shared" si="9"/>
        <v>--</v>
      </c>
      <c r="W39" s="502" t="str">
        <f t="shared" si="10"/>
        <v>--</v>
      </c>
      <c r="X39" s="938" t="str">
        <f t="shared" si="11"/>
        <v>--</v>
      </c>
      <c r="Y39" s="263">
        <f t="shared" si="14"/>
      </c>
      <c r="Z39" s="447">
        <f t="shared" si="12"/>
      </c>
      <c r="AA39" s="6"/>
    </row>
    <row r="40" spans="2:27" s="5" customFormat="1" ht="16.5" customHeight="1">
      <c r="B40" s="50"/>
      <c r="C40" s="340"/>
      <c r="D40" s="340"/>
      <c r="E40" s="157"/>
      <c r="F40" s="504"/>
      <c r="G40" s="442"/>
      <c r="H40" s="505"/>
      <c r="I40" s="357">
        <f t="shared" si="0"/>
        <v>0</v>
      </c>
      <c r="J40" s="444"/>
      <c r="K40" s="191"/>
      <c r="L40" s="445">
        <f t="shared" si="1"/>
      </c>
      <c r="M40" s="446">
        <f t="shared" si="2"/>
      </c>
      <c r="N40" s="262"/>
      <c r="O40" s="584">
        <f t="shared" si="13"/>
      </c>
      <c r="P40" s="263">
        <f t="shared" si="3"/>
      </c>
      <c r="Q40" s="941">
        <f t="shared" si="4"/>
        <v>20</v>
      </c>
      <c r="R40" s="942" t="str">
        <f t="shared" si="5"/>
        <v>--</v>
      </c>
      <c r="S40" s="500" t="str">
        <f t="shared" si="6"/>
        <v>--</v>
      </c>
      <c r="T40" s="501" t="str">
        <f t="shared" si="7"/>
        <v>--</v>
      </c>
      <c r="U40" s="364" t="str">
        <f t="shared" si="8"/>
        <v>--</v>
      </c>
      <c r="V40" s="365" t="str">
        <f t="shared" si="9"/>
        <v>--</v>
      </c>
      <c r="W40" s="502" t="str">
        <f t="shared" si="10"/>
        <v>--</v>
      </c>
      <c r="X40" s="938" t="str">
        <f t="shared" si="11"/>
        <v>--</v>
      </c>
      <c r="Y40" s="263">
        <f t="shared" si="14"/>
      </c>
      <c r="Z40" s="447">
        <f t="shared" si="12"/>
      </c>
      <c r="AA40" s="6"/>
    </row>
    <row r="41" spans="2:27" s="5" customFormat="1" ht="16.5" customHeight="1">
      <c r="B41" s="50"/>
      <c r="C41" s="340"/>
      <c r="D41" s="340"/>
      <c r="E41" s="340"/>
      <c r="F41" s="504"/>
      <c r="G41" s="442"/>
      <c r="H41" s="505"/>
      <c r="I41" s="357">
        <f t="shared" si="0"/>
        <v>0</v>
      </c>
      <c r="J41" s="444"/>
      <c r="K41" s="191"/>
      <c r="L41" s="445">
        <f t="shared" si="1"/>
      </c>
      <c r="M41" s="446">
        <f t="shared" si="2"/>
      </c>
      <c r="N41" s="262"/>
      <c r="O41" s="584">
        <f t="shared" si="13"/>
      </c>
      <c r="P41" s="263">
        <f t="shared" si="3"/>
      </c>
      <c r="Q41" s="941">
        <f t="shared" si="4"/>
        <v>20</v>
      </c>
      <c r="R41" s="942" t="str">
        <f t="shared" si="5"/>
        <v>--</v>
      </c>
      <c r="S41" s="500" t="str">
        <f t="shared" si="6"/>
        <v>--</v>
      </c>
      <c r="T41" s="501" t="str">
        <f t="shared" si="7"/>
        <v>--</v>
      </c>
      <c r="U41" s="364" t="str">
        <f t="shared" si="8"/>
        <v>--</v>
      </c>
      <c r="V41" s="365" t="str">
        <f t="shared" si="9"/>
        <v>--</v>
      </c>
      <c r="W41" s="502" t="str">
        <f t="shared" si="10"/>
        <v>--</v>
      </c>
      <c r="X41" s="938" t="str">
        <f t="shared" si="11"/>
        <v>--</v>
      </c>
      <c r="Y41" s="263">
        <f t="shared" si="14"/>
      </c>
      <c r="Z41" s="447">
        <f t="shared" si="12"/>
      </c>
      <c r="AA41" s="6"/>
    </row>
    <row r="42" spans="2:27" s="5" customFormat="1" ht="16.5" customHeight="1" thickBot="1">
      <c r="B42" s="50"/>
      <c r="C42" s="507"/>
      <c r="D42" s="507"/>
      <c r="E42" s="507"/>
      <c r="F42" s="507"/>
      <c r="G42" s="507"/>
      <c r="H42" s="507"/>
      <c r="I42" s="131"/>
      <c r="J42" s="448"/>
      <c r="K42" s="448"/>
      <c r="L42" s="449"/>
      <c r="M42" s="449"/>
      <c r="N42" s="448"/>
      <c r="O42" s="195"/>
      <c r="P42" s="156"/>
      <c r="Q42" s="508"/>
      <c r="R42" s="509"/>
      <c r="S42" s="510"/>
      <c r="T42" s="511"/>
      <c r="U42" s="382"/>
      <c r="V42" s="383"/>
      <c r="W42" s="512"/>
      <c r="X42" s="512"/>
      <c r="Y42" s="156"/>
      <c r="Z42" s="513"/>
      <c r="AA42" s="6"/>
    </row>
    <row r="43" spans="2:27" s="5" customFormat="1" ht="16.5" customHeight="1" thickBot="1" thickTop="1">
      <c r="B43" s="50"/>
      <c r="C43" s="127" t="s">
        <v>25</v>
      </c>
      <c r="D43" s="971" t="s">
        <v>361</v>
      </c>
      <c r="E43" s="127"/>
      <c r="F43" s="128"/>
      <c r="I43" s="4"/>
      <c r="J43" s="4"/>
      <c r="K43" s="4"/>
      <c r="L43" s="4"/>
      <c r="M43" s="4"/>
      <c r="N43" s="4"/>
      <c r="O43" s="4"/>
      <c r="P43" s="4"/>
      <c r="Q43" s="4"/>
      <c r="R43" s="514">
        <f aca="true" t="shared" si="15" ref="R43:X43">SUM(R20:R42)</f>
        <v>113616.6988</v>
      </c>
      <c r="S43" s="515">
        <f t="shared" si="15"/>
        <v>829.4</v>
      </c>
      <c r="T43" s="516">
        <f t="shared" si="15"/>
        <v>16090.359999999999</v>
      </c>
      <c r="U43" s="392">
        <f t="shared" si="15"/>
        <v>0</v>
      </c>
      <c r="V43" s="393">
        <f t="shared" si="15"/>
        <v>0</v>
      </c>
      <c r="W43" s="517">
        <f t="shared" si="15"/>
        <v>0</v>
      </c>
      <c r="X43" s="517">
        <f t="shared" si="15"/>
        <v>0</v>
      </c>
      <c r="Z43" s="100">
        <f>ROUND(SUM(Z20:Z42),2)</f>
        <v>130536.46</v>
      </c>
      <c r="AA43" s="518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79"/>
      <c r="G45" s="179"/>
      <c r="H45" s="179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6:29" ht="16.5" customHeight="1">
      <c r="F46" s="179"/>
      <c r="G46" s="179"/>
      <c r="H46" s="179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</row>
    <row r="47" spans="6:29" ht="16.5" customHeight="1">
      <c r="F47" s="179"/>
      <c r="G47" s="179"/>
      <c r="H47" s="179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6:29" ht="16.5" customHeight="1">
      <c r="F48" s="179"/>
      <c r="G48" s="179"/>
      <c r="H48" s="179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6:29" ht="16.5" customHeight="1">
      <c r="F49" s="179"/>
      <c r="G49" s="179"/>
      <c r="H49" s="179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6:29" ht="16.5" customHeight="1">
      <c r="F50" s="179"/>
      <c r="G50" s="179"/>
      <c r="H50" s="179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</row>
    <row r="51" spans="6:29" ht="16.5" customHeight="1"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</row>
    <row r="52" spans="6:29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</row>
    <row r="53" spans="6:29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</row>
    <row r="54" spans="6:29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</row>
    <row r="55" spans="6:29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6:29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6:29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6:29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6:29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6:29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6:29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6:29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  <row r="63" spans="6:29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</row>
    <row r="64" spans="6:29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</row>
    <row r="65" spans="6:29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</row>
    <row r="66" spans="6:29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6:29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6:29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6:29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</row>
    <row r="70" spans="6:29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</row>
    <row r="71" spans="6:29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</row>
    <row r="72" spans="6:29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</row>
    <row r="73" spans="6:29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</row>
    <row r="74" spans="6:29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</row>
    <row r="75" spans="6:29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</row>
    <row r="76" spans="6:29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</row>
    <row r="77" spans="6:29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6:29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</row>
    <row r="79" spans="6:29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</row>
    <row r="80" spans="6:29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</row>
    <row r="81" spans="6:29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6:29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6:29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</row>
    <row r="84" spans="6:29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6:29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6:29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6:29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</row>
    <row r="88" spans="6:29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</row>
    <row r="89" spans="6:29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</row>
    <row r="90" spans="6:29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</row>
    <row r="91" spans="6:29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6:29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6:29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6:29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6:29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6:29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</row>
    <row r="97" spans="6:29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</row>
    <row r="98" spans="6:29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6:29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6:29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6:29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6:29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</row>
    <row r="103" spans="6:29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</row>
    <row r="104" spans="6:29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</row>
    <row r="105" spans="6:29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6:29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6:29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</row>
    <row r="108" spans="6:29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</row>
    <row r="109" spans="6:29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</row>
    <row r="110" spans="6:29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</row>
    <row r="111" spans="6:29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</row>
    <row r="112" spans="6:29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</row>
    <row r="113" spans="6:29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</row>
    <row r="114" spans="6:29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</row>
    <row r="115" spans="6:29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</row>
    <row r="116" spans="6:29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</row>
    <row r="117" spans="6:29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</row>
    <row r="118" spans="6:29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</row>
    <row r="119" spans="6:29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</row>
    <row r="120" spans="6:29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</row>
    <row r="121" spans="6:29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</row>
    <row r="122" spans="6:29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</row>
    <row r="123" spans="6:29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</row>
    <row r="124" spans="6:29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</row>
    <row r="125" spans="6:29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</row>
    <row r="126" spans="6:29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</row>
    <row r="127" spans="6:29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</row>
    <row r="128" spans="6:29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</row>
    <row r="129" spans="6:29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</row>
    <row r="130" spans="6:29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</row>
    <row r="131" spans="6:29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</row>
    <row r="132" spans="6:29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</row>
    <row r="133" spans="6:29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</row>
    <row r="134" spans="6:29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</row>
    <row r="135" spans="6:29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</row>
    <row r="136" spans="6:29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</row>
    <row r="137" spans="6:29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</row>
    <row r="138" spans="6:29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</row>
    <row r="139" spans="6:29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</row>
    <row r="140" spans="6:29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</row>
    <row r="141" spans="6:29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</row>
    <row r="142" spans="6:29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</row>
    <row r="143" spans="6:29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</row>
    <row r="144" spans="6:29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</row>
    <row r="145" spans="6:29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</row>
    <row r="146" spans="6:29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</row>
    <row r="147" spans="6:29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</row>
    <row r="148" spans="6:29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</row>
    <row r="149" spans="6:29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</row>
    <row r="150" spans="6:29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</row>
    <row r="151" spans="6:29" ht="16.5" customHeight="1"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</row>
    <row r="152" spans="6:29" ht="16.5" customHeight="1">
      <c r="F152" s="177"/>
      <c r="G152" s="177"/>
      <c r="H152" s="177"/>
      <c r="AB152" s="177"/>
      <c r="AC152" s="177"/>
    </row>
    <row r="153" spans="6:8" ht="16.5" customHeight="1">
      <c r="F153" s="177"/>
      <c r="G153" s="177"/>
      <c r="H153" s="177"/>
    </row>
    <row r="154" spans="6:8" ht="16.5" customHeight="1">
      <c r="F154" s="177"/>
      <c r="G154" s="177"/>
      <c r="H154" s="177"/>
    </row>
    <row r="155" spans="6:8" ht="16.5" customHeight="1">
      <c r="F155" s="177"/>
      <c r="G155" s="177"/>
      <c r="H155" s="177"/>
    </row>
    <row r="156" spans="6:8" ht="16.5" customHeight="1">
      <c r="F156" s="177"/>
      <c r="G156" s="177"/>
      <c r="H156" s="177"/>
    </row>
    <row r="157" spans="6:8" ht="16.5" customHeight="1">
      <c r="F157" s="177"/>
      <c r="G157" s="177"/>
      <c r="H157" s="177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3"/>
  <dimension ref="A1:AG45"/>
  <sheetViews>
    <sheetView zoomScale="70" zoomScaleNormal="70" workbookViewId="0" topLeftCell="A1">
      <selection activeCell="A10" sqref="A10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4" width="13.7109375" style="0" customWidth="1"/>
    <col min="5" max="5" width="13.8515625" style="0" customWidth="1"/>
    <col min="6" max="6" width="42.00390625" style="0" customWidth="1"/>
    <col min="7" max="7" width="8.7109375" style="0" customWidth="1"/>
    <col min="8" max="8" width="8.421875" style="0" customWidth="1"/>
    <col min="9" max="9" width="3.8515625" style="0" customWidth="1"/>
    <col min="10" max="10" width="10.421875" style="0" hidden="1" customWidth="1"/>
    <col min="11" max="11" width="11.7109375" style="0" hidden="1" customWidth="1"/>
    <col min="12" max="13" width="15.7109375" style="0" customWidth="1"/>
    <col min="14" max="16" width="9.7109375" style="0" customWidth="1"/>
    <col min="17" max="17" width="6.00390625" style="0" customWidth="1"/>
    <col min="18" max="18" width="5.421875" style="0" customWidth="1"/>
    <col min="19" max="19" width="6.00390625" style="0" customWidth="1"/>
    <col min="20" max="20" width="15.140625" style="0" hidden="1" customWidth="1"/>
    <col min="21" max="21" width="17.28125" style="0" hidden="1" customWidth="1"/>
    <col min="22" max="22" width="12.7109375" style="0" hidden="1" customWidth="1"/>
    <col min="23" max="23" width="13.7109375" style="0" hidden="1" customWidth="1"/>
    <col min="24" max="24" width="13.00390625" style="0" hidden="1" customWidth="1"/>
    <col min="25" max="25" width="14.8515625" style="0" hidden="1" customWidth="1"/>
    <col min="26" max="26" width="12.7109375" style="0" hidden="1" customWidth="1"/>
    <col min="27" max="27" width="14.00390625" style="0" hidden="1" customWidth="1"/>
    <col min="28" max="29" width="14.140625" style="0" hidden="1" customWidth="1"/>
    <col min="30" max="30" width="8.7109375" style="0" customWidth="1"/>
    <col min="31" max="31" width="15.00390625" style="0" hidden="1" customWidth="1"/>
    <col min="32" max="32" width="15.7109375" style="0" customWidth="1"/>
    <col min="33" max="33" width="4.140625" style="0" customWidth="1"/>
    <col min="34" max="34" width="17.8515625" style="0" customWidth="1"/>
    <col min="35" max="35" width="15.00390625" style="0" customWidth="1"/>
    <col min="36" max="36" width="14.28125" style="0" customWidth="1"/>
    <col min="37" max="37" width="14.00390625" style="0" customWidth="1"/>
    <col min="38" max="38" width="4.7109375" style="0" customWidth="1"/>
    <col min="39" max="39" width="7.57421875" style="0" customWidth="1"/>
    <col min="40" max="41" width="4.140625" style="0" customWidth="1"/>
    <col min="42" max="42" width="7.140625" style="0" customWidth="1"/>
    <col min="43" max="43" width="5.28125" style="0" customWidth="1"/>
    <col min="44" max="44" width="5.421875" style="0" customWidth="1"/>
    <col min="45" max="45" width="4.7109375" style="0" customWidth="1"/>
    <col min="46" max="46" width="5.28125" style="0" customWidth="1"/>
    <col min="47" max="48" width="13.28125" style="0" customWidth="1"/>
    <col min="49" max="49" width="6.57421875" style="0" customWidth="1"/>
    <col min="50" max="50" width="6.421875" style="0" customWidth="1"/>
    <col min="55" max="55" width="12.7109375" style="0" customWidth="1"/>
    <col min="59" max="59" width="21.00390625" style="0" customWidth="1"/>
  </cols>
  <sheetData>
    <row r="1" s="18" customFormat="1" ht="31.5" customHeight="1">
      <c r="AG1" s="148"/>
    </row>
    <row r="2" spans="1:33" s="18" customFormat="1" ht="26.25">
      <c r="A2" s="91"/>
      <c r="B2" s="19" t="str">
        <f>+'TOT-0909'!B2</f>
        <v>ANEXO IV al Memorandum  D.T.E.E. N° 256/2011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="5" customFormat="1" ht="12.75">
      <c r="A3" s="90"/>
    </row>
    <row r="4" spans="1:4" s="25" customFormat="1" ht="11.25">
      <c r="A4" s="23" t="s">
        <v>2</v>
      </c>
      <c r="B4" s="124"/>
      <c r="C4" s="124"/>
      <c r="D4" s="124"/>
    </row>
    <row r="5" spans="1:4" s="25" customFormat="1" ht="11.25">
      <c r="A5" s="23" t="s">
        <v>3</v>
      </c>
      <c r="B5" s="124"/>
      <c r="C5" s="124"/>
      <c r="D5" s="124"/>
    </row>
    <row r="6" s="5" customFormat="1" ht="13.5" thickBot="1"/>
    <row r="7" spans="2:33" s="5" customFormat="1" ht="13.5" thickTop="1">
      <c r="B7" s="69"/>
      <c r="C7" s="70"/>
      <c r="D7" s="70"/>
      <c r="E7" s="70"/>
      <c r="F7" s="70"/>
      <c r="G7" s="20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94"/>
    </row>
    <row r="8" spans="2:33" s="36" customFormat="1" ht="20.25">
      <c r="B8" s="44"/>
      <c r="C8" s="43"/>
      <c r="D8" s="43"/>
      <c r="E8" s="43"/>
      <c r="F8" s="201" t="s">
        <v>69</v>
      </c>
      <c r="G8" s="43"/>
      <c r="H8" s="43"/>
      <c r="I8" s="43"/>
      <c r="J8" s="43"/>
      <c r="P8" s="43"/>
      <c r="Q8" s="43"/>
      <c r="R8" s="202"/>
      <c r="S8" s="202"/>
      <c r="T8" s="43"/>
      <c r="U8" s="43"/>
      <c r="V8" s="43"/>
      <c r="W8" s="43"/>
      <c r="X8" s="43"/>
      <c r="Y8" s="43"/>
      <c r="Z8" s="43"/>
      <c r="AA8" s="43"/>
      <c r="AB8" s="30"/>
      <c r="AC8" s="30"/>
      <c r="AD8" s="43"/>
      <c r="AE8" s="43"/>
      <c r="AF8"/>
      <c r="AG8" s="203"/>
    </row>
    <row r="9" spans="2:33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7"/>
    </row>
    <row r="10" spans="2:33" s="36" customFormat="1" ht="33" customHeight="1">
      <c r="B10" s="44"/>
      <c r="C10" s="43"/>
      <c r="D10" s="43"/>
      <c r="E10" s="43"/>
      <c r="F10" s="886" t="s">
        <v>12</v>
      </c>
      <c r="G10" s="43"/>
      <c r="H10" s="43"/>
      <c r="I10" s="43"/>
      <c r="J10" s="43"/>
      <c r="P10" s="43"/>
      <c r="Q10" s="43"/>
      <c r="R10" s="202"/>
      <c r="S10" s="202"/>
      <c r="T10" s="43"/>
      <c r="U10" s="43"/>
      <c r="V10" s="43"/>
      <c r="W10" s="43"/>
      <c r="X10" s="43"/>
      <c r="Y10" s="43"/>
      <c r="Z10" s="43"/>
      <c r="AA10" s="43"/>
      <c r="AB10" s="30"/>
      <c r="AC10" s="30"/>
      <c r="AD10" s="43"/>
      <c r="AE10" s="43"/>
      <c r="AF10"/>
      <c r="AG10" s="203"/>
    </row>
    <row r="11" spans="2:33" s="5" customFormat="1" ht="33" customHeight="1">
      <c r="B11" s="50"/>
      <c r="C11" s="4"/>
      <c r="D11" s="4"/>
      <c r="E11" s="4"/>
      <c r="F11" s="924" t="s">
        <v>243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7"/>
    </row>
    <row r="12" spans="2:33" s="36" customFormat="1" ht="21">
      <c r="B12" s="37" t="str">
        <f>'TOT-0909'!B14</f>
        <v>Desde el 01 al 30 de septiembre de 2009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04"/>
      <c r="Q12" s="20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30"/>
      <c r="AC12" s="30"/>
      <c r="AD12" s="40"/>
      <c r="AE12" s="40"/>
      <c r="AF12" s="40"/>
      <c r="AG12" s="141"/>
    </row>
    <row r="13" spans="2:33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205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7"/>
    </row>
    <row r="14" spans="2:33" s="5" customFormat="1" ht="16.5" customHeight="1" thickBot="1" thickTop="1">
      <c r="B14" s="50"/>
      <c r="C14" s="4"/>
      <c r="D14" s="4"/>
      <c r="E14" s="4"/>
      <c r="F14" s="4"/>
      <c r="G14" s="66"/>
      <c r="H14" s="66"/>
      <c r="I14" s="4"/>
      <c r="J14" s="4"/>
      <c r="K14" s="4"/>
      <c r="L14" s="205"/>
      <c r="M14" s="4"/>
      <c r="N14" s="4"/>
      <c r="O14" s="1110" t="s">
        <v>71</v>
      </c>
      <c r="P14" s="1111"/>
      <c r="Q14" s="1111"/>
      <c r="R14" s="1111"/>
      <c r="S14" s="1112"/>
      <c r="T14" s="206" t="b">
        <f>AND(S15&lt;=0.82,S16&lt;=1.17)</f>
        <v>1</v>
      </c>
      <c r="U14" s="206" t="b">
        <f>AND(S15&gt;=1.17,S16&gt;=1.7)</f>
        <v>0</v>
      </c>
      <c r="V14" s="207">
        <f>((S16/1.17)+(S15/0.82))*0.852446393-1.454892785</f>
        <v>-1.454892785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7"/>
    </row>
    <row r="15" spans="2:33" s="5" customFormat="1" ht="16.5" customHeight="1" thickBot="1" thickTop="1">
      <c r="B15" s="50"/>
      <c r="C15" s="4"/>
      <c r="D15" s="4"/>
      <c r="E15" s="4"/>
      <c r="F15" s="82" t="s">
        <v>72</v>
      </c>
      <c r="G15" s="140">
        <v>89.969</v>
      </c>
      <c r="H15" s="208"/>
      <c r="I15" s="4"/>
      <c r="J15" s="4"/>
      <c r="K15" s="4"/>
      <c r="L15"/>
      <c r="M15"/>
      <c r="N15" s="4"/>
      <c r="O15" s="209" t="s">
        <v>73</v>
      </c>
      <c r="P15" s="210"/>
      <c r="Q15" s="210"/>
      <c r="R15" s="210"/>
      <c r="S15" s="211">
        <v>0</v>
      </c>
      <c r="T15" s="212"/>
      <c r="U15" s="206"/>
      <c r="V15" s="207"/>
      <c r="W15" s="4"/>
      <c r="X15" s="4"/>
      <c r="Y15" s="4"/>
      <c r="Z15" s="4"/>
      <c r="AA15" s="4"/>
      <c r="AB15" s="40"/>
      <c r="AC15" s="40"/>
      <c r="AD15" s="4"/>
      <c r="AE15" s="4"/>
      <c r="AF15" s="4"/>
      <c r="AG15" s="17"/>
    </row>
    <row r="16" spans="2:33" s="5" customFormat="1" ht="16.5" customHeight="1" thickBot="1" thickTop="1">
      <c r="B16" s="50"/>
      <c r="C16" s="4"/>
      <c r="D16" s="4"/>
      <c r="E16" s="4"/>
      <c r="F16" s="82" t="s">
        <v>74</v>
      </c>
      <c r="G16" s="140">
        <v>74.974</v>
      </c>
      <c r="H16" s="208"/>
      <c r="I16" s="4"/>
      <c r="J16" s="4"/>
      <c r="K16" s="4"/>
      <c r="L16" s="144" t="s">
        <v>75</v>
      </c>
      <c r="M16" s="213">
        <f>4*S17</f>
        <v>1</v>
      </c>
      <c r="N16" s="4"/>
      <c r="O16" s="209" t="s">
        <v>76</v>
      </c>
      <c r="P16" s="210"/>
      <c r="Q16" s="210"/>
      <c r="R16" s="210"/>
      <c r="S16" s="211">
        <v>0</v>
      </c>
      <c r="T16" s="212"/>
      <c r="U16" s="206"/>
      <c r="V16" s="207"/>
      <c r="W16" s="4"/>
      <c r="X16" s="115"/>
      <c r="Y16" s="115"/>
      <c r="Z16" s="115"/>
      <c r="AA16" s="115"/>
      <c r="AB16" s="4"/>
      <c r="AC16" s="4"/>
      <c r="AD16" s="115"/>
      <c r="AG16" s="17"/>
    </row>
    <row r="17" spans="2:33" s="5" customFormat="1" ht="16.5" customHeight="1" thickBot="1" thickTop="1">
      <c r="B17" s="50"/>
      <c r="C17" s="4"/>
      <c r="D17" s="4"/>
      <c r="E17" s="4"/>
      <c r="F17" s="214"/>
      <c r="G17" s="215"/>
      <c r="H17" s="216"/>
      <c r="I17" s="4"/>
      <c r="J17" s="4"/>
      <c r="K17" s="4"/>
      <c r="L17" s="144"/>
      <c r="M17" s="213"/>
      <c r="N17" s="4"/>
      <c r="O17" s="209" t="s">
        <v>77</v>
      </c>
      <c r="P17" s="210"/>
      <c r="Q17" s="210"/>
      <c r="R17" s="210"/>
      <c r="S17" s="211">
        <f>IF(T14=TRUE,0.25,IF(U14=TRUE,1,V14))</f>
        <v>0.25</v>
      </c>
      <c r="T17" s="217"/>
      <c r="U17" s="217"/>
      <c r="V17" s="217"/>
      <c r="W17" s="4"/>
      <c r="X17" s="115"/>
      <c r="Y17" s="115"/>
      <c r="Z17" s="115"/>
      <c r="AA17" s="115"/>
      <c r="AB17" s="4"/>
      <c r="AC17" s="4"/>
      <c r="AD17" s="115"/>
      <c r="AG17" s="17"/>
    </row>
    <row r="18" spans="2:33" s="5" customFormat="1" ht="16.5" customHeight="1" thickBot="1" thickTop="1">
      <c r="B18" s="50"/>
      <c r="C18" s="967">
        <v>3</v>
      </c>
      <c r="D18" s="967">
        <v>4</v>
      </c>
      <c r="E18" s="967">
        <v>5</v>
      </c>
      <c r="F18" s="967">
        <v>6</v>
      </c>
      <c r="G18" s="967">
        <v>7</v>
      </c>
      <c r="H18" s="967">
        <v>8</v>
      </c>
      <c r="I18" s="967">
        <v>9</v>
      </c>
      <c r="J18" s="967">
        <v>10</v>
      </c>
      <c r="K18" s="967">
        <v>11</v>
      </c>
      <c r="L18" s="967">
        <v>12</v>
      </c>
      <c r="M18" s="967">
        <v>13</v>
      </c>
      <c r="N18" s="967">
        <v>14</v>
      </c>
      <c r="O18" s="967">
        <v>15</v>
      </c>
      <c r="P18" s="967">
        <v>16</v>
      </c>
      <c r="Q18" s="967">
        <v>17</v>
      </c>
      <c r="R18" s="967">
        <v>18</v>
      </c>
      <c r="S18" s="967">
        <v>19</v>
      </c>
      <c r="T18" s="967">
        <v>20</v>
      </c>
      <c r="U18" s="967">
        <v>21</v>
      </c>
      <c r="V18" s="967">
        <v>22</v>
      </c>
      <c r="W18" s="967">
        <v>23</v>
      </c>
      <c r="X18" s="967">
        <v>24</v>
      </c>
      <c r="Y18" s="967">
        <v>25</v>
      </c>
      <c r="Z18" s="967">
        <v>26</v>
      </c>
      <c r="AA18" s="967">
        <v>27</v>
      </c>
      <c r="AB18" s="967">
        <v>28</v>
      </c>
      <c r="AC18" s="967">
        <v>29</v>
      </c>
      <c r="AD18" s="967">
        <v>30</v>
      </c>
      <c r="AE18" s="967">
        <v>31</v>
      </c>
      <c r="AF18" s="967">
        <v>32</v>
      </c>
      <c r="AG18" s="17"/>
    </row>
    <row r="19" spans="2:33" s="5" customFormat="1" ht="33.75" customHeight="1" thickBot="1" thickTop="1">
      <c r="B19" s="50"/>
      <c r="C19" s="84" t="s">
        <v>13</v>
      </c>
      <c r="D19" s="84" t="s">
        <v>264</v>
      </c>
      <c r="E19" s="84" t="s">
        <v>265</v>
      </c>
      <c r="F19" s="219" t="s">
        <v>0</v>
      </c>
      <c r="G19" s="180" t="s">
        <v>14</v>
      </c>
      <c r="H19" s="87" t="s">
        <v>15</v>
      </c>
      <c r="I19" s="220" t="s">
        <v>78</v>
      </c>
      <c r="J19" s="221" t="s">
        <v>37</v>
      </c>
      <c r="K19" s="222" t="s">
        <v>16</v>
      </c>
      <c r="L19" s="85" t="s">
        <v>17</v>
      </c>
      <c r="M19" s="181" t="s">
        <v>18</v>
      </c>
      <c r="N19" s="88" t="s">
        <v>36</v>
      </c>
      <c r="O19" s="86" t="s">
        <v>31</v>
      </c>
      <c r="P19" s="88" t="s">
        <v>19</v>
      </c>
      <c r="Q19" s="88" t="s">
        <v>58</v>
      </c>
      <c r="R19" s="181" t="s">
        <v>59</v>
      </c>
      <c r="S19" s="85" t="s">
        <v>32</v>
      </c>
      <c r="T19" s="182" t="s">
        <v>20</v>
      </c>
      <c r="U19" s="223" t="s">
        <v>21</v>
      </c>
      <c r="V19" s="224" t="s">
        <v>79</v>
      </c>
      <c r="W19" s="225"/>
      <c r="X19" s="226"/>
      <c r="Y19" s="227" t="s">
        <v>80</v>
      </c>
      <c r="Z19" s="228"/>
      <c r="AA19" s="229"/>
      <c r="AB19" s="230" t="s">
        <v>22</v>
      </c>
      <c r="AC19" s="231" t="s">
        <v>81</v>
      </c>
      <c r="AD19" s="134" t="s">
        <v>82</v>
      </c>
      <c r="AE19" s="232" t="s">
        <v>24</v>
      </c>
      <c r="AF19" s="134" t="s">
        <v>24</v>
      </c>
      <c r="AG19" s="233"/>
    </row>
    <row r="20" spans="2:33" s="5" customFormat="1" ht="16.5" customHeight="1" thickTop="1">
      <c r="B20" s="50"/>
      <c r="C20" s="184"/>
      <c r="D20" s="184"/>
      <c r="E20" s="184"/>
      <c r="F20" s="185"/>
      <c r="G20" s="185"/>
      <c r="H20" s="880"/>
      <c r="I20" s="184"/>
      <c r="J20" s="132"/>
      <c r="K20" s="234"/>
      <c r="L20" s="184"/>
      <c r="M20" s="184"/>
      <c r="N20" s="184"/>
      <c r="O20" s="184"/>
      <c r="P20" s="184"/>
      <c r="Q20" s="184"/>
      <c r="R20" s="184"/>
      <c r="S20" s="184"/>
      <c r="T20" s="235"/>
      <c r="U20" s="236"/>
      <c r="V20" s="237"/>
      <c r="W20" s="238"/>
      <c r="X20" s="239"/>
      <c r="Y20" s="240"/>
      <c r="Z20" s="240"/>
      <c r="AA20" s="241"/>
      <c r="AB20" s="242"/>
      <c r="AC20" s="243"/>
      <c r="AD20" s="184"/>
      <c r="AE20" s="244"/>
      <c r="AF20" s="245"/>
      <c r="AG20" s="17"/>
    </row>
    <row r="21" spans="2:33" s="5" customFormat="1" ht="16.5" customHeight="1">
      <c r="B21" s="50"/>
      <c r="C21" s="340"/>
      <c r="D21" s="340"/>
      <c r="E21" s="340"/>
      <c r="F21" s="186"/>
      <c r="G21" s="188"/>
      <c r="H21" s="876"/>
      <c r="I21" s="187"/>
      <c r="J21" s="133"/>
      <c r="K21" s="246"/>
      <c r="L21" s="247"/>
      <c r="M21" s="4"/>
      <c r="N21" s="186"/>
      <c r="O21" s="186"/>
      <c r="P21" s="187"/>
      <c r="Q21" s="187"/>
      <c r="R21" s="186"/>
      <c r="S21" s="186"/>
      <c r="T21" s="248"/>
      <c r="U21" s="249"/>
      <c r="V21" s="250"/>
      <c r="W21" s="251"/>
      <c r="X21" s="252"/>
      <c r="Y21" s="253"/>
      <c r="Z21" s="253"/>
      <c r="AA21" s="254"/>
      <c r="AB21" s="255"/>
      <c r="AC21" s="256"/>
      <c r="AD21" s="186"/>
      <c r="AE21" s="257"/>
      <c r="AF21" s="258"/>
      <c r="AG21" s="17"/>
    </row>
    <row r="22" spans="2:33" s="5" customFormat="1" ht="16.5" customHeight="1">
      <c r="B22" s="50"/>
      <c r="C22" s="157">
        <v>68</v>
      </c>
      <c r="D22" s="157">
        <v>211141</v>
      </c>
      <c r="E22" s="157">
        <v>2028</v>
      </c>
      <c r="F22" s="150" t="s">
        <v>308</v>
      </c>
      <c r="G22" s="152">
        <v>500</v>
      </c>
      <c r="H22" s="879">
        <v>506</v>
      </c>
      <c r="I22" s="152" t="s">
        <v>299</v>
      </c>
      <c r="J22" s="259">
        <f aca="true" t="shared" si="0" ref="J22:J41">IF(I22="A",200,IF(I22="B",60,20))</f>
        <v>20</v>
      </c>
      <c r="K22" s="260">
        <f aca="true" t="shared" si="1" ref="K22:K41">IF(G22=500,IF(H22&lt;100,$G$15,H22*$G$15/100),IF(H22&lt;100,$G$16,H22*$G$16/100))</f>
        <v>455.24314</v>
      </c>
      <c r="L22" s="190">
        <v>40072.50486111111</v>
      </c>
      <c r="M22" s="261">
        <v>40072.52777777778</v>
      </c>
      <c r="N22" s="192">
        <f aca="true" t="shared" si="2" ref="N22:N41">IF(F22="","",(M22-L22)*24)</f>
        <v>0.5500000000465661</v>
      </c>
      <c r="O22" s="193">
        <f aca="true" t="shared" si="3" ref="O22:O41">IF(F22="","",ROUND((M22-L22)*24*60,0))</f>
        <v>33</v>
      </c>
      <c r="P22" s="262" t="s">
        <v>300</v>
      </c>
      <c r="Q22" s="584" t="str">
        <f aca="true" t="shared" si="4" ref="Q22:Q41">IF(F22="","","--")</f>
        <v>--</v>
      </c>
      <c r="R22" s="263" t="str">
        <f aca="true" t="shared" si="5" ref="R22:R41">IF(F22="","","NO")</f>
        <v>NO</v>
      </c>
      <c r="S22" s="263" t="str">
        <f aca="true" t="shared" si="6" ref="S22:S41">IF(F22="","",IF(OR(P22="P",P22="RP"),"--","NO"))</f>
        <v>NO</v>
      </c>
      <c r="T22" s="264" t="str">
        <f aca="true" t="shared" si="7" ref="T22:T41">IF(P22="P",K22*J22*ROUND(O22/60,2)*0.01,"--")</f>
        <v>--</v>
      </c>
      <c r="U22" s="265" t="str">
        <f aca="true" t="shared" si="8" ref="U22:U41">IF(P22="RP",K22*J22*ROUND(O22/60,2)*0.01*Q22/100,"--")</f>
        <v>--</v>
      </c>
      <c r="V22" s="266">
        <f aca="true" t="shared" si="9" ref="V22:V41">IF(AND(P22="F",S22="NO"),K22*J22*IF(R22="SI",1.2,1),"--")</f>
        <v>9104.862799999999</v>
      </c>
      <c r="W22" s="267">
        <f aca="true" t="shared" si="10" ref="W22:W41">IF(AND(P22="F",O22&gt;=10),K22*J22*IF(R22="SI",1.2,1)*IF(O22&lt;=300,ROUND(O22/60,2),5),"--")</f>
        <v>5007.67454</v>
      </c>
      <c r="X22" s="268" t="str">
        <f aca="true" t="shared" si="11" ref="X22:X41">IF(AND(P22="F",O22&gt;300),(ROUND(O22/60,2)-5)*K22*J22*0.1*IF(R22="SI",1.2,1),"--")</f>
        <v>--</v>
      </c>
      <c r="Y22" s="269" t="str">
        <f aca="true" t="shared" si="12" ref="Y22:Y41">IF(AND(P22="R",S22="NO"),K22*J22*Q22/100*IF(R22="SI",1.2,1),"--")</f>
        <v>--</v>
      </c>
      <c r="Z22" s="270" t="str">
        <f aca="true" t="shared" si="13" ref="Z22:Z41">IF(AND(P22="R",O22&gt;=10),IF(O22&lt;=300,K22*J22*Q22/100*IF(R22="SI",1.2,1)*ROUND(O22/60,2),5),"--")</f>
        <v>--</v>
      </c>
      <c r="AA22" s="271" t="str">
        <f aca="true" t="shared" si="14" ref="AA22:AA41">IF(AND(P22="R",O22&gt;300),(ROUND(O22/60,2)-5)*K22*J22*0.1*Q22/100*IF(R22="SI",1.2,1),"--")</f>
        <v>--</v>
      </c>
      <c r="AB22" s="272" t="str">
        <f aca="true" t="shared" si="15" ref="AB22:AB41">IF(P22="RF",ROUND(O22/60,2)*K22*J22*0.1*IF(R22="SI",1.2,1),"--")</f>
        <v>--</v>
      </c>
      <c r="AC22" s="273" t="str">
        <f aca="true" t="shared" si="16" ref="AC22:AC41">IF(P22="RR",ROUND(O22/60,2)*K22*J22*0.1*Q22/100*IF(R22="SI",1.2,1),"--")</f>
        <v>--</v>
      </c>
      <c r="AD22" s="936" t="s">
        <v>240</v>
      </c>
      <c r="AE22" s="274">
        <f aca="true" t="shared" si="17" ref="AE22:AE41">SUM(T22:AC22)*IF(AD22="SI",1,2)</f>
        <v>14112.537339999999</v>
      </c>
      <c r="AF22" s="16">
        <f aca="true" t="shared" si="18" ref="AF22:AF41">IF(F22="","",AE22*$M$16)</f>
        <v>14112.537339999999</v>
      </c>
      <c r="AG22" s="17"/>
    </row>
    <row r="23" spans="2:33" s="5" customFormat="1" ht="16.5" customHeight="1">
      <c r="B23" s="50"/>
      <c r="C23" s="340"/>
      <c r="D23" s="340"/>
      <c r="E23" s="340"/>
      <c r="F23" s="150"/>
      <c r="G23" s="152"/>
      <c r="H23" s="879"/>
      <c r="I23" s="152"/>
      <c r="J23" s="259">
        <f t="shared" si="0"/>
        <v>20</v>
      </c>
      <c r="K23" s="260">
        <f t="shared" si="1"/>
        <v>74.974</v>
      </c>
      <c r="L23" s="190"/>
      <c r="M23" s="261"/>
      <c r="N23" s="192">
        <f t="shared" si="2"/>
      </c>
      <c r="O23" s="193">
        <f t="shared" si="3"/>
      </c>
      <c r="P23" s="262"/>
      <c r="Q23" s="584">
        <f t="shared" si="4"/>
      </c>
      <c r="R23" s="263">
        <f t="shared" si="5"/>
      </c>
      <c r="S23" s="263">
        <f t="shared" si="6"/>
      </c>
      <c r="T23" s="264" t="str">
        <f t="shared" si="7"/>
        <v>--</v>
      </c>
      <c r="U23" s="265" t="str">
        <f t="shared" si="8"/>
        <v>--</v>
      </c>
      <c r="V23" s="266" t="str">
        <f t="shared" si="9"/>
        <v>--</v>
      </c>
      <c r="W23" s="267" t="str">
        <f t="shared" si="10"/>
        <v>--</v>
      </c>
      <c r="X23" s="268" t="str">
        <f t="shared" si="11"/>
        <v>--</v>
      </c>
      <c r="Y23" s="269" t="str">
        <f t="shared" si="12"/>
        <v>--</v>
      </c>
      <c r="Z23" s="270" t="str">
        <f t="shared" si="13"/>
        <v>--</v>
      </c>
      <c r="AA23" s="271" t="str">
        <f t="shared" si="14"/>
        <v>--</v>
      </c>
      <c r="AB23" s="272" t="str">
        <f t="shared" si="15"/>
        <v>--</v>
      </c>
      <c r="AC23" s="273" t="str">
        <f t="shared" si="16"/>
        <v>--</v>
      </c>
      <c r="AD23" s="936">
        <f aca="true" t="shared" si="19" ref="AD23:AD41">IF(F23="","","SI")</f>
      </c>
      <c r="AE23" s="274">
        <f t="shared" si="17"/>
        <v>0</v>
      </c>
      <c r="AF23" s="16">
        <f t="shared" si="18"/>
      </c>
      <c r="AG23" s="17"/>
    </row>
    <row r="24" spans="2:33" s="5" customFormat="1" ht="16.5" customHeight="1">
      <c r="B24" s="50"/>
      <c r="C24" s="157"/>
      <c r="D24" s="157"/>
      <c r="E24" s="157"/>
      <c r="F24" s="150"/>
      <c r="G24" s="152"/>
      <c r="H24" s="879"/>
      <c r="I24" s="152"/>
      <c r="J24" s="259">
        <f t="shared" si="0"/>
        <v>20</v>
      </c>
      <c r="K24" s="260">
        <f t="shared" si="1"/>
        <v>74.974</v>
      </c>
      <c r="L24" s="190"/>
      <c r="M24" s="261"/>
      <c r="N24" s="192">
        <f t="shared" si="2"/>
      </c>
      <c r="O24" s="193">
        <f t="shared" si="3"/>
      </c>
      <c r="P24" s="262"/>
      <c r="Q24" s="584">
        <f t="shared" si="4"/>
      </c>
      <c r="R24" s="263">
        <f t="shared" si="5"/>
      </c>
      <c r="S24" s="263">
        <f t="shared" si="6"/>
      </c>
      <c r="T24" s="264" t="str">
        <f t="shared" si="7"/>
        <v>--</v>
      </c>
      <c r="U24" s="265" t="str">
        <f t="shared" si="8"/>
        <v>--</v>
      </c>
      <c r="V24" s="266" t="str">
        <f t="shared" si="9"/>
        <v>--</v>
      </c>
      <c r="W24" s="267" t="str">
        <f t="shared" si="10"/>
        <v>--</v>
      </c>
      <c r="X24" s="268" t="str">
        <f t="shared" si="11"/>
        <v>--</v>
      </c>
      <c r="Y24" s="269" t="str">
        <f t="shared" si="12"/>
        <v>--</v>
      </c>
      <c r="Z24" s="270" t="str">
        <f t="shared" si="13"/>
        <v>--</v>
      </c>
      <c r="AA24" s="271" t="str">
        <f t="shared" si="14"/>
        <v>--</v>
      </c>
      <c r="AB24" s="272" t="str">
        <f t="shared" si="15"/>
        <v>--</v>
      </c>
      <c r="AC24" s="273" t="str">
        <f t="shared" si="16"/>
        <v>--</v>
      </c>
      <c r="AD24" s="936">
        <f t="shared" si="19"/>
      </c>
      <c r="AE24" s="274">
        <f t="shared" si="17"/>
        <v>0</v>
      </c>
      <c r="AF24" s="16">
        <f t="shared" si="18"/>
      </c>
      <c r="AG24" s="17"/>
    </row>
    <row r="25" spans="2:33" s="5" customFormat="1" ht="16.5" customHeight="1">
      <c r="B25" s="50"/>
      <c r="C25" s="340"/>
      <c r="D25" s="340"/>
      <c r="E25" s="340"/>
      <c r="F25" s="150"/>
      <c r="G25" s="152"/>
      <c r="H25" s="879"/>
      <c r="I25" s="152"/>
      <c r="J25" s="259">
        <f t="shared" si="0"/>
        <v>20</v>
      </c>
      <c r="K25" s="260">
        <f t="shared" si="1"/>
        <v>74.974</v>
      </c>
      <c r="L25" s="190"/>
      <c r="M25" s="261"/>
      <c r="N25" s="192">
        <f t="shared" si="2"/>
      </c>
      <c r="O25" s="193">
        <f t="shared" si="3"/>
      </c>
      <c r="P25" s="262"/>
      <c r="Q25" s="584">
        <f t="shared" si="4"/>
      </c>
      <c r="R25" s="263">
        <f t="shared" si="5"/>
      </c>
      <c r="S25" s="263">
        <f t="shared" si="6"/>
      </c>
      <c r="T25" s="264" t="str">
        <f t="shared" si="7"/>
        <v>--</v>
      </c>
      <c r="U25" s="265" t="str">
        <f t="shared" si="8"/>
        <v>--</v>
      </c>
      <c r="V25" s="266" t="str">
        <f t="shared" si="9"/>
        <v>--</v>
      </c>
      <c r="W25" s="267" t="str">
        <f t="shared" si="10"/>
        <v>--</v>
      </c>
      <c r="X25" s="268" t="str">
        <f t="shared" si="11"/>
        <v>--</v>
      </c>
      <c r="Y25" s="269" t="str">
        <f t="shared" si="12"/>
        <v>--</v>
      </c>
      <c r="Z25" s="270" t="str">
        <f t="shared" si="13"/>
        <v>--</v>
      </c>
      <c r="AA25" s="271" t="str">
        <f t="shared" si="14"/>
        <v>--</v>
      </c>
      <c r="AB25" s="272" t="str">
        <f t="shared" si="15"/>
        <v>--</v>
      </c>
      <c r="AC25" s="273" t="str">
        <f t="shared" si="16"/>
        <v>--</v>
      </c>
      <c r="AD25" s="936">
        <f t="shared" si="19"/>
      </c>
      <c r="AE25" s="274">
        <f t="shared" si="17"/>
        <v>0</v>
      </c>
      <c r="AF25" s="16">
        <f t="shared" si="18"/>
      </c>
      <c r="AG25" s="17"/>
    </row>
    <row r="26" spans="2:33" s="5" customFormat="1" ht="16.5" customHeight="1">
      <c r="B26" s="50"/>
      <c r="C26" s="157"/>
      <c r="D26" s="157"/>
      <c r="E26" s="157"/>
      <c r="F26" s="150"/>
      <c r="G26" s="152"/>
      <c r="H26" s="879"/>
      <c r="I26" s="152"/>
      <c r="J26" s="259">
        <f t="shared" si="0"/>
        <v>20</v>
      </c>
      <c r="K26" s="260">
        <f t="shared" si="1"/>
        <v>74.974</v>
      </c>
      <c r="L26" s="190"/>
      <c r="M26" s="261"/>
      <c r="N26" s="192">
        <f t="shared" si="2"/>
      </c>
      <c r="O26" s="193">
        <f t="shared" si="3"/>
      </c>
      <c r="P26" s="262"/>
      <c r="Q26" s="584">
        <f t="shared" si="4"/>
      </c>
      <c r="R26" s="263">
        <f t="shared" si="5"/>
      </c>
      <c r="S26" s="263">
        <f t="shared" si="6"/>
      </c>
      <c r="T26" s="264" t="str">
        <f t="shared" si="7"/>
        <v>--</v>
      </c>
      <c r="U26" s="265" t="str">
        <f t="shared" si="8"/>
        <v>--</v>
      </c>
      <c r="V26" s="266" t="str">
        <f t="shared" si="9"/>
        <v>--</v>
      </c>
      <c r="W26" s="267" t="str">
        <f t="shared" si="10"/>
        <v>--</v>
      </c>
      <c r="X26" s="268" t="str">
        <f t="shared" si="11"/>
        <v>--</v>
      </c>
      <c r="Y26" s="269" t="str">
        <f t="shared" si="12"/>
        <v>--</v>
      </c>
      <c r="Z26" s="270" t="str">
        <f t="shared" si="13"/>
        <v>--</v>
      </c>
      <c r="AA26" s="271" t="str">
        <f t="shared" si="14"/>
        <v>--</v>
      </c>
      <c r="AB26" s="272" t="str">
        <f t="shared" si="15"/>
        <v>--</v>
      </c>
      <c r="AC26" s="273" t="str">
        <f t="shared" si="16"/>
        <v>--</v>
      </c>
      <c r="AD26" s="936">
        <f t="shared" si="19"/>
      </c>
      <c r="AE26" s="274">
        <f t="shared" si="17"/>
        <v>0</v>
      </c>
      <c r="AF26" s="16">
        <f t="shared" si="18"/>
      </c>
      <c r="AG26" s="17"/>
    </row>
    <row r="27" spans="2:33" s="5" customFormat="1" ht="16.5" customHeight="1">
      <c r="B27" s="50"/>
      <c r="C27" s="340"/>
      <c r="D27" s="340"/>
      <c r="E27" s="340"/>
      <c r="F27" s="150"/>
      <c r="G27" s="152"/>
      <c r="H27" s="879"/>
      <c r="I27" s="152"/>
      <c r="J27" s="259">
        <f t="shared" si="0"/>
        <v>20</v>
      </c>
      <c r="K27" s="260">
        <f t="shared" si="1"/>
        <v>74.974</v>
      </c>
      <c r="L27" s="190"/>
      <c r="M27" s="261"/>
      <c r="N27" s="192">
        <f t="shared" si="2"/>
      </c>
      <c r="O27" s="193">
        <f t="shared" si="3"/>
      </c>
      <c r="P27" s="262"/>
      <c r="Q27" s="584">
        <f t="shared" si="4"/>
      </c>
      <c r="R27" s="263">
        <f t="shared" si="5"/>
      </c>
      <c r="S27" s="263">
        <f t="shared" si="6"/>
      </c>
      <c r="T27" s="264" t="str">
        <f t="shared" si="7"/>
        <v>--</v>
      </c>
      <c r="U27" s="265" t="str">
        <f t="shared" si="8"/>
        <v>--</v>
      </c>
      <c r="V27" s="266" t="str">
        <f t="shared" si="9"/>
        <v>--</v>
      </c>
      <c r="W27" s="267" t="str">
        <f t="shared" si="10"/>
        <v>--</v>
      </c>
      <c r="X27" s="268" t="str">
        <f t="shared" si="11"/>
        <v>--</v>
      </c>
      <c r="Y27" s="269" t="str">
        <f t="shared" si="12"/>
        <v>--</v>
      </c>
      <c r="Z27" s="270" t="str">
        <f t="shared" si="13"/>
        <v>--</v>
      </c>
      <c r="AA27" s="271" t="str">
        <f t="shared" si="14"/>
        <v>--</v>
      </c>
      <c r="AB27" s="272" t="str">
        <f t="shared" si="15"/>
        <v>--</v>
      </c>
      <c r="AC27" s="273" t="str">
        <f t="shared" si="16"/>
        <v>--</v>
      </c>
      <c r="AD27" s="936">
        <f t="shared" si="19"/>
      </c>
      <c r="AE27" s="274">
        <f t="shared" si="17"/>
        <v>0</v>
      </c>
      <c r="AF27" s="16">
        <f t="shared" si="18"/>
      </c>
      <c r="AG27" s="17"/>
    </row>
    <row r="28" spans="2:33" s="5" customFormat="1" ht="16.5" customHeight="1">
      <c r="B28" s="50"/>
      <c r="C28" s="157"/>
      <c r="D28" s="157"/>
      <c r="E28" s="157"/>
      <c r="F28" s="150"/>
      <c r="G28" s="152"/>
      <c r="H28" s="879"/>
      <c r="I28" s="152"/>
      <c r="J28" s="259">
        <f t="shared" si="0"/>
        <v>20</v>
      </c>
      <c r="K28" s="260">
        <f t="shared" si="1"/>
        <v>74.974</v>
      </c>
      <c r="L28" s="190"/>
      <c r="M28" s="261"/>
      <c r="N28" s="192">
        <f t="shared" si="2"/>
      </c>
      <c r="O28" s="193">
        <f t="shared" si="3"/>
      </c>
      <c r="P28" s="262"/>
      <c r="Q28" s="584">
        <f t="shared" si="4"/>
      </c>
      <c r="R28" s="263">
        <f t="shared" si="5"/>
      </c>
      <c r="S28" s="263">
        <f t="shared" si="6"/>
      </c>
      <c r="T28" s="264" t="str">
        <f t="shared" si="7"/>
        <v>--</v>
      </c>
      <c r="U28" s="265" t="str">
        <f t="shared" si="8"/>
        <v>--</v>
      </c>
      <c r="V28" s="266" t="str">
        <f t="shared" si="9"/>
        <v>--</v>
      </c>
      <c r="W28" s="267" t="str">
        <f t="shared" si="10"/>
        <v>--</v>
      </c>
      <c r="X28" s="268" t="str">
        <f t="shared" si="11"/>
        <v>--</v>
      </c>
      <c r="Y28" s="269" t="str">
        <f t="shared" si="12"/>
        <v>--</v>
      </c>
      <c r="Z28" s="270" t="str">
        <f t="shared" si="13"/>
        <v>--</v>
      </c>
      <c r="AA28" s="271" t="str">
        <f t="shared" si="14"/>
        <v>--</v>
      </c>
      <c r="AB28" s="272" t="str">
        <f t="shared" si="15"/>
        <v>--</v>
      </c>
      <c r="AC28" s="273" t="str">
        <f t="shared" si="16"/>
        <v>--</v>
      </c>
      <c r="AD28" s="936">
        <f t="shared" si="19"/>
      </c>
      <c r="AE28" s="274">
        <f t="shared" si="17"/>
        <v>0</v>
      </c>
      <c r="AF28" s="16">
        <f t="shared" si="18"/>
      </c>
      <c r="AG28" s="275"/>
    </row>
    <row r="29" spans="2:33" s="5" customFormat="1" ht="16.5" customHeight="1">
      <c r="B29" s="50"/>
      <c r="C29" s="340"/>
      <c r="D29" s="340"/>
      <c r="E29" s="340"/>
      <c r="F29" s="150"/>
      <c r="G29" s="152"/>
      <c r="H29" s="879"/>
      <c r="I29" s="152"/>
      <c r="J29" s="259">
        <f t="shared" si="0"/>
        <v>20</v>
      </c>
      <c r="K29" s="260">
        <f t="shared" si="1"/>
        <v>74.974</v>
      </c>
      <c r="L29" s="190"/>
      <c r="M29" s="261"/>
      <c r="N29" s="192">
        <f t="shared" si="2"/>
      </c>
      <c r="O29" s="193">
        <f t="shared" si="3"/>
      </c>
      <c r="P29" s="262"/>
      <c r="Q29" s="584">
        <f t="shared" si="4"/>
      </c>
      <c r="R29" s="263">
        <f t="shared" si="5"/>
      </c>
      <c r="S29" s="263">
        <f t="shared" si="6"/>
      </c>
      <c r="T29" s="264" t="str">
        <f t="shared" si="7"/>
        <v>--</v>
      </c>
      <c r="U29" s="265" t="str">
        <f t="shared" si="8"/>
        <v>--</v>
      </c>
      <c r="V29" s="266" t="str">
        <f t="shared" si="9"/>
        <v>--</v>
      </c>
      <c r="W29" s="267" t="str">
        <f t="shared" si="10"/>
        <v>--</v>
      </c>
      <c r="X29" s="268" t="str">
        <f t="shared" si="11"/>
        <v>--</v>
      </c>
      <c r="Y29" s="269" t="str">
        <f t="shared" si="12"/>
        <v>--</v>
      </c>
      <c r="Z29" s="270" t="str">
        <f t="shared" si="13"/>
        <v>--</v>
      </c>
      <c r="AA29" s="271" t="str">
        <f t="shared" si="14"/>
        <v>--</v>
      </c>
      <c r="AB29" s="272" t="str">
        <f t="shared" si="15"/>
        <v>--</v>
      </c>
      <c r="AC29" s="273" t="str">
        <f t="shared" si="16"/>
        <v>--</v>
      </c>
      <c r="AD29" s="936">
        <f t="shared" si="19"/>
      </c>
      <c r="AE29" s="274">
        <f t="shared" si="17"/>
        <v>0</v>
      </c>
      <c r="AF29" s="16">
        <f t="shared" si="18"/>
      </c>
      <c r="AG29" s="275"/>
    </row>
    <row r="30" spans="2:33" s="5" customFormat="1" ht="16.5" customHeight="1">
      <c r="B30" s="50"/>
      <c r="C30" s="157"/>
      <c r="D30" s="157"/>
      <c r="E30" s="157"/>
      <c r="F30" s="150"/>
      <c r="G30" s="152"/>
      <c r="H30" s="879"/>
      <c r="I30" s="152"/>
      <c r="J30" s="259">
        <f t="shared" si="0"/>
        <v>20</v>
      </c>
      <c r="K30" s="260">
        <f t="shared" si="1"/>
        <v>74.974</v>
      </c>
      <c r="L30" s="190"/>
      <c r="M30" s="261"/>
      <c r="N30" s="192">
        <f t="shared" si="2"/>
      </c>
      <c r="O30" s="193">
        <f t="shared" si="3"/>
      </c>
      <c r="P30" s="262"/>
      <c r="Q30" s="584">
        <f t="shared" si="4"/>
      </c>
      <c r="R30" s="263">
        <f t="shared" si="5"/>
      </c>
      <c r="S30" s="263">
        <f t="shared" si="6"/>
      </c>
      <c r="T30" s="264" t="str">
        <f t="shared" si="7"/>
        <v>--</v>
      </c>
      <c r="U30" s="265" t="str">
        <f t="shared" si="8"/>
        <v>--</v>
      </c>
      <c r="V30" s="266" t="str">
        <f t="shared" si="9"/>
        <v>--</v>
      </c>
      <c r="W30" s="267" t="str">
        <f t="shared" si="10"/>
        <v>--</v>
      </c>
      <c r="X30" s="268" t="str">
        <f t="shared" si="11"/>
        <v>--</v>
      </c>
      <c r="Y30" s="269" t="str">
        <f t="shared" si="12"/>
        <v>--</v>
      </c>
      <c r="Z30" s="270" t="str">
        <f t="shared" si="13"/>
        <v>--</v>
      </c>
      <c r="AA30" s="271" t="str">
        <f t="shared" si="14"/>
        <v>--</v>
      </c>
      <c r="AB30" s="272" t="str">
        <f t="shared" si="15"/>
        <v>--</v>
      </c>
      <c r="AC30" s="273" t="str">
        <f t="shared" si="16"/>
        <v>--</v>
      </c>
      <c r="AD30" s="936">
        <f t="shared" si="19"/>
      </c>
      <c r="AE30" s="274">
        <f t="shared" si="17"/>
        <v>0</v>
      </c>
      <c r="AF30" s="16">
        <f t="shared" si="18"/>
      </c>
      <c r="AG30" s="275"/>
    </row>
    <row r="31" spans="2:33" s="5" customFormat="1" ht="16.5" customHeight="1">
      <c r="B31" s="50"/>
      <c r="C31" s="340"/>
      <c r="D31" s="340"/>
      <c r="E31" s="340"/>
      <c r="F31" s="150"/>
      <c r="G31" s="152"/>
      <c r="H31" s="879"/>
      <c r="I31" s="152"/>
      <c r="J31" s="259">
        <f t="shared" si="0"/>
        <v>20</v>
      </c>
      <c r="K31" s="260">
        <f t="shared" si="1"/>
        <v>74.974</v>
      </c>
      <c r="L31" s="190"/>
      <c r="M31" s="261"/>
      <c r="N31" s="192">
        <f t="shared" si="2"/>
      </c>
      <c r="O31" s="193">
        <f t="shared" si="3"/>
      </c>
      <c r="P31" s="262"/>
      <c r="Q31" s="584">
        <f t="shared" si="4"/>
      </c>
      <c r="R31" s="263">
        <f t="shared" si="5"/>
      </c>
      <c r="S31" s="263">
        <f t="shared" si="6"/>
      </c>
      <c r="T31" s="264" t="str">
        <f t="shared" si="7"/>
        <v>--</v>
      </c>
      <c r="U31" s="265" t="str">
        <f t="shared" si="8"/>
        <v>--</v>
      </c>
      <c r="V31" s="266" t="str">
        <f t="shared" si="9"/>
        <v>--</v>
      </c>
      <c r="W31" s="267" t="str">
        <f t="shared" si="10"/>
        <v>--</v>
      </c>
      <c r="X31" s="268" t="str">
        <f t="shared" si="11"/>
        <v>--</v>
      </c>
      <c r="Y31" s="269" t="str">
        <f t="shared" si="12"/>
        <v>--</v>
      </c>
      <c r="Z31" s="270" t="str">
        <f t="shared" si="13"/>
        <v>--</v>
      </c>
      <c r="AA31" s="271" t="str">
        <f t="shared" si="14"/>
        <v>--</v>
      </c>
      <c r="AB31" s="272" t="str">
        <f t="shared" si="15"/>
        <v>--</v>
      </c>
      <c r="AC31" s="273" t="str">
        <f t="shared" si="16"/>
        <v>--</v>
      </c>
      <c r="AD31" s="936">
        <f t="shared" si="19"/>
      </c>
      <c r="AE31" s="274">
        <f t="shared" si="17"/>
        <v>0</v>
      </c>
      <c r="AF31" s="16">
        <f t="shared" si="18"/>
      </c>
      <c r="AG31" s="275"/>
    </row>
    <row r="32" spans="2:33" s="5" customFormat="1" ht="16.5" customHeight="1">
      <c r="B32" s="50"/>
      <c r="C32" s="157"/>
      <c r="D32" s="157"/>
      <c r="E32" s="157"/>
      <c r="F32" s="150"/>
      <c r="G32" s="152"/>
      <c r="H32" s="879"/>
      <c r="I32" s="152"/>
      <c r="J32" s="259">
        <f t="shared" si="0"/>
        <v>20</v>
      </c>
      <c r="K32" s="260">
        <f t="shared" si="1"/>
        <v>74.974</v>
      </c>
      <c r="L32" s="190"/>
      <c r="M32" s="261"/>
      <c r="N32" s="192">
        <f t="shared" si="2"/>
      </c>
      <c r="O32" s="193">
        <f t="shared" si="3"/>
      </c>
      <c r="P32" s="262"/>
      <c r="Q32" s="584">
        <f t="shared" si="4"/>
      </c>
      <c r="R32" s="263">
        <f t="shared" si="5"/>
      </c>
      <c r="S32" s="263">
        <f t="shared" si="6"/>
      </c>
      <c r="T32" s="264" t="str">
        <f t="shared" si="7"/>
        <v>--</v>
      </c>
      <c r="U32" s="265" t="str">
        <f t="shared" si="8"/>
        <v>--</v>
      </c>
      <c r="V32" s="266" t="str">
        <f t="shared" si="9"/>
        <v>--</v>
      </c>
      <c r="W32" s="267" t="str">
        <f t="shared" si="10"/>
        <v>--</v>
      </c>
      <c r="X32" s="268" t="str">
        <f t="shared" si="11"/>
        <v>--</v>
      </c>
      <c r="Y32" s="269" t="str">
        <f t="shared" si="12"/>
        <v>--</v>
      </c>
      <c r="Z32" s="270" t="str">
        <f t="shared" si="13"/>
        <v>--</v>
      </c>
      <c r="AA32" s="271" t="str">
        <f t="shared" si="14"/>
        <v>--</v>
      </c>
      <c r="AB32" s="272" t="str">
        <f t="shared" si="15"/>
        <v>--</v>
      </c>
      <c r="AC32" s="273" t="str">
        <f t="shared" si="16"/>
        <v>--</v>
      </c>
      <c r="AD32" s="936">
        <f t="shared" si="19"/>
      </c>
      <c r="AE32" s="274">
        <f t="shared" si="17"/>
        <v>0</v>
      </c>
      <c r="AF32" s="16">
        <f t="shared" si="18"/>
      </c>
      <c r="AG32" s="275"/>
    </row>
    <row r="33" spans="2:33" s="5" customFormat="1" ht="16.5" customHeight="1">
      <c r="B33" s="50"/>
      <c r="C33" s="340"/>
      <c r="D33" s="340"/>
      <c r="E33" s="340"/>
      <c r="F33" s="150"/>
      <c r="G33" s="152"/>
      <c r="H33" s="879"/>
      <c r="I33" s="152"/>
      <c r="J33" s="259">
        <f t="shared" si="0"/>
        <v>20</v>
      </c>
      <c r="K33" s="260">
        <f t="shared" si="1"/>
        <v>74.974</v>
      </c>
      <c r="L33" s="190"/>
      <c r="M33" s="191"/>
      <c r="N33" s="192">
        <f t="shared" si="2"/>
      </c>
      <c r="O33" s="193">
        <f t="shared" si="3"/>
      </c>
      <c r="P33" s="262"/>
      <c r="Q33" s="584">
        <f t="shared" si="4"/>
      </c>
      <c r="R33" s="263">
        <f t="shared" si="5"/>
      </c>
      <c r="S33" s="263">
        <f t="shared" si="6"/>
      </c>
      <c r="T33" s="264" t="str">
        <f t="shared" si="7"/>
        <v>--</v>
      </c>
      <c r="U33" s="265" t="str">
        <f t="shared" si="8"/>
        <v>--</v>
      </c>
      <c r="V33" s="266" t="str">
        <f t="shared" si="9"/>
        <v>--</v>
      </c>
      <c r="W33" s="267" t="str">
        <f t="shared" si="10"/>
        <v>--</v>
      </c>
      <c r="X33" s="268" t="str">
        <f t="shared" si="11"/>
        <v>--</v>
      </c>
      <c r="Y33" s="269" t="str">
        <f t="shared" si="12"/>
        <v>--</v>
      </c>
      <c r="Z33" s="270" t="str">
        <f t="shared" si="13"/>
        <v>--</v>
      </c>
      <c r="AA33" s="271" t="str">
        <f t="shared" si="14"/>
        <v>--</v>
      </c>
      <c r="AB33" s="272" t="str">
        <f t="shared" si="15"/>
        <v>--</v>
      </c>
      <c r="AC33" s="273" t="str">
        <f t="shared" si="16"/>
        <v>--</v>
      </c>
      <c r="AD33" s="936">
        <f t="shared" si="19"/>
      </c>
      <c r="AE33" s="274">
        <f t="shared" si="17"/>
        <v>0</v>
      </c>
      <c r="AF33" s="16">
        <f t="shared" si="18"/>
      </c>
      <c r="AG33" s="275"/>
    </row>
    <row r="34" spans="2:33" s="5" customFormat="1" ht="16.5" customHeight="1">
      <c r="B34" s="50"/>
      <c r="C34" s="157"/>
      <c r="D34" s="157"/>
      <c r="E34" s="157"/>
      <c r="F34" s="150"/>
      <c r="G34" s="152"/>
      <c r="H34" s="879"/>
      <c r="I34" s="152"/>
      <c r="J34" s="259">
        <f t="shared" si="0"/>
        <v>20</v>
      </c>
      <c r="K34" s="260">
        <f t="shared" si="1"/>
        <v>74.974</v>
      </c>
      <c r="L34" s="190"/>
      <c r="M34" s="191"/>
      <c r="N34" s="192">
        <f t="shared" si="2"/>
      </c>
      <c r="O34" s="193">
        <f t="shared" si="3"/>
      </c>
      <c r="P34" s="262"/>
      <c r="Q34" s="584">
        <f t="shared" si="4"/>
      </c>
      <c r="R34" s="263">
        <f t="shared" si="5"/>
      </c>
      <c r="S34" s="263">
        <f t="shared" si="6"/>
      </c>
      <c r="T34" s="264" t="str">
        <f t="shared" si="7"/>
        <v>--</v>
      </c>
      <c r="U34" s="265" t="str">
        <f t="shared" si="8"/>
        <v>--</v>
      </c>
      <c r="V34" s="266" t="str">
        <f t="shared" si="9"/>
        <v>--</v>
      </c>
      <c r="W34" s="267" t="str">
        <f t="shared" si="10"/>
        <v>--</v>
      </c>
      <c r="X34" s="268" t="str">
        <f t="shared" si="11"/>
        <v>--</v>
      </c>
      <c r="Y34" s="269" t="str">
        <f t="shared" si="12"/>
        <v>--</v>
      </c>
      <c r="Z34" s="270" t="str">
        <f t="shared" si="13"/>
        <v>--</v>
      </c>
      <c r="AA34" s="271" t="str">
        <f t="shared" si="14"/>
        <v>--</v>
      </c>
      <c r="AB34" s="272" t="str">
        <f t="shared" si="15"/>
        <v>--</v>
      </c>
      <c r="AC34" s="273" t="str">
        <f t="shared" si="16"/>
        <v>--</v>
      </c>
      <c r="AD34" s="936">
        <f t="shared" si="19"/>
      </c>
      <c r="AE34" s="274">
        <f t="shared" si="17"/>
        <v>0</v>
      </c>
      <c r="AF34" s="16">
        <f t="shared" si="18"/>
      </c>
      <c r="AG34" s="275"/>
    </row>
    <row r="35" spans="2:33" s="5" customFormat="1" ht="16.5" customHeight="1">
      <c r="B35" s="50"/>
      <c r="C35" s="340"/>
      <c r="D35" s="340"/>
      <c r="E35" s="340"/>
      <c r="F35" s="150"/>
      <c r="G35" s="152"/>
      <c r="H35" s="879"/>
      <c r="I35" s="152"/>
      <c r="J35" s="259">
        <f t="shared" si="0"/>
        <v>20</v>
      </c>
      <c r="K35" s="260">
        <f t="shared" si="1"/>
        <v>74.974</v>
      </c>
      <c r="L35" s="190"/>
      <c r="M35" s="191"/>
      <c r="N35" s="192">
        <f t="shared" si="2"/>
      </c>
      <c r="O35" s="193">
        <f t="shared" si="3"/>
      </c>
      <c r="P35" s="262"/>
      <c r="Q35" s="584">
        <f t="shared" si="4"/>
      </c>
      <c r="R35" s="263">
        <f t="shared" si="5"/>
      </c>
      <c r="S35" s="263">
        <f t="shared" si="6"/>
      </c>
      <c r="T35" s="264" t="str">
        <f t="shared" si="7"/>
        <v>--</v>
      </c>
      <c r="U35" s="265" t="str">
        <f t="shared" si="8"/>
        <v>--</v>
      </c>
      <c r="V35" s="266" t="str">
        <f t="shared" si="9"/>
        <v>--</v>
      </c>
      <c r="W35" s="267" t="str">
        <f t="shared" si="10"/>
        <v>--</v>
      </c>
      <c r="X35" s="268" t="str">
        <f t="shared" si="11"/>
        <v>--</v>
      </c>
      <c r="Y35" s="269" t="str">
        <f t="shared" si="12"/>
        <v>--</v>
      </c>
      <c r="Z35" s="270" t="str">
        <f t="shared" si="13"/>
        <v>--</v>
      </c>
      <c r="AA35" s="271" t="str">
        <f t="shared" si="14"/>
        <v>--</v>
      </c>
      <c r="AB35" s="272" t="str">
        <f t="shared" si="15"/>
        <v>--</v>
      </c>
      <c r="AC35" s="273" t="str">
        <f t="shared" si="16"/>
        <v>--</v>
      </c>
      <c r="AD35" s="936">
        <f t="shared" si="19"/>
      </c>
      <c r="AE35" s="274">
        <f t="shared" si="17"/>
        <v>0</v>
      </c>
      <c r="AF35" s="16">
        <f t="shared" si="18"/>
      </c>
      <c r="AG35" s="275"/>
    </row>
    <row r="36" spans="2:33" s="5" customFormat="1" ht="16.5" customHeight="1">
      <c r="B36" s="50"/>
      <c r="C36" s="157"/>
      <c r="D36" s="157"/>
      <c r="E36" s="157"/>
      <c r="F36" s="150"/>
      <c r="G36" s="152"/>
      <c r="H36" s="879"/>
      <c r="I36" s="152"/>
      <c r="J36" s="259">
        <f t="shared" si="0"/>
        <v>20</v>
      </c>
      <c r="K36" s="260">
        <f t="shared" si="1"/>
        <v>74.974</v>
      </c>
      <c r="L36" s="190"/>
      <c r="M36" s="191"/>
      <c r="N36" s="192">
        <f t="shared" si="2"/>
      </c>
      <c r="O36" s="193">
        <f t="shared" si="3"/>
      </c>
      <c r="P36" s="262"/>
      <c r="Q36" s="584">
        <f t="shared" si="4"/>
      </c>
      <c r="R36" s="263">
        <f t="shared" si="5"/>
      </c>
      <c r="S36" s="263">
        <f t="shared" si="6"/>
      </c>
      <c r="T36" s="264" t="str">
        <f t="shared" si="7"/>
        <v>--</v>
      </c>
      <c r="U36" s="265" t="str">
        <f t="shared" si="8"/>
        <v>--</v>
      </c>
      <c r="V36" s="266" t="str">
        <f t="shared" si="9"/>
        <v>--</v>
      </c>
      <c r="W36" s="267" t="str">
        <f t="shared" si="10"/>
        <v>--</v>
      </c>
      <c r="X36" s="268" t="str">
        <f t="shared" si="11"/>
        <v>--</v>
      </c>
      <c r="Y36" s="269" t="str">
        <f t="shared" si="12"/>
        <v>--</v>
      </c>
      <c r="Z36" s="270" t="str">
        <f t="shared" si="13"/>
        <v>--</v>
      </c>
      <c r="AA36" s="271" t="str">
        <f t="shared" si="14"/>
        <v>--</v>
      </c>
      <c r="AB36" s="272" t="str">
        <f t="shared" si="15"/>
        <v>--</v>
      </c>
      <c r="AC36" s="273" t="str">
        <f t="shared" si="16"/>
        <v>--</v>
      </c>
      <c r="AD36" s="936">
        <f t="shared" si="19"/>
      </c>
      <c r="AE36" s="274">
        <f t="shared" si="17"/>
        <v>0</v>
      </c>
      <c r="AF36" s="16">
        <f t="shared" si="18"/>
      </c>
      <c r="AG36" s="275"/>
    </row>
    <row r="37" spans="2:33" s="5" customFormat="1" ht="16.5" customHeight="1">
      <c r="B37" s="50"/>
      <c r="C37" s="340"/>
      <c r="D37" s="340"/>
      <c r="E37" s="340"/>
      <c r="F37" s="150"/>
      <c r="G37" s="152"/>
      <c r="H37" s="879"/>
      <c r="I37" s="152"/>
      <c r="J37" s="259">
        <f t="shared" si="0"/>
        <v>20</v>
      </c>
      <c r="K37" s="260">
        <f t="shared" si="1"/>
        <v>74.974</v>
      </c>
      <c r="L37" s="190"/>
      <c r="M37" s="191"/>
      <c r="N37" s="192">
        <f t="shared" si="2"/>
      </c>
      <c r="O37" s="193">
        <f t="shared" si="3"/>
      </c>
      <c r="P37" s="262"/>
      <c r="Q37" s="584">
        <f t="shared" si="4"/>
      </c>
      <c r="R37" s="263">
        <f t="shared" si="5"/>
      </c>
      <c r="S37" s="263">
        <f t="shared" si="6"/>
      </c>
      <c r="T37" s="264" t="str">
        <f t="shared" si="7"/>
        <v>--</v>
      </c>
      <c r="U37" s="265" t="str">
        <f t="shared" si="8"/>
        <v>--</v>
      </c>
      <c r="V37" s="266" t="str">
        <f t="shared" si="9"/>
        <v>--</v>
      </c>
      <c r="W37" s="267" t="str">
        <f t="shared" si="10"/>
        <v>--</v>
      </c>
      <c r="X37" s="268" t="str">
        <f t="shared" si="11"/>
        <v>--</v>
      </c>
      <c r="Y37" s="269" t="str">
        <f t="shared" si="12"/>
        <v>--</v>
      </c>
      <c r="Z37" s="270" t="str">
        <f t="shared" si="13"/>
        <v>--</v>
      </c>
      <c r="AA37" s="271" t="str">
        <f t="shared" si="14"/>
        <v>--</v>
      </c>
      <c r="AB37" s="272" t="str">
        <f t="shared" si="15"/>
        <v>--</v>
      </c>
      <c r="AC37" s="273" t="str">
        <f t="shared" si="16"/>
        <v>--</v>
      </c>
      <c r="AD37" s="936">
        <f t="shared" si="19"/>
      </c>
      <c r="AE37" s="274">
        <f t="shared" si="17"/>
        <v>0</v>
      </c>
      <c r="AF37" s="16">
        <f t="shared" si="18"/>
      </c>
      <c r="AG37" s="275"/>
    </row>
    <row r="38" spans="2:33" s="5" customFormat="1" ht="16.5" customHeight="1">
      <c r="B38" s="50"/>
      <c r="C38" s="157"/>
      <c r="D38" s="157"/>
      <c r="E38" s="157"/>
      <c r="F38" s="150"/>
      <c r="G38" s="152"/>
      <c r="H38" s="879"/>
      <c r="I38" s="152"/>
      <c r="J38" s="259">
        <f t="shared" si="0"/>
        <v>20</v>
      </c>
      <c r="K38" s="260">
        <f t="shared" si="1"/>
        <v>74.974</v>
      </c>
      <c r="L38" s="190"/>
      <c r="M38" s="191"/>
      <c r="N38" s="192">
        <f t="shared" si="2"/>
      </c>
      <c r="O38" s="193">
        <f t="shared" si="3"/>
      </c>
      <c r="P38" s="262"/>
      <c r="Q38" s="584">
        <f t="shared" si="4"/>
      </c>
      <c r="R38" s="263">
        <f t="shared" si="5"/>
      </c>
      <c r="S38" s="263">
        <f t="shared" si="6"/>
      </c>
      <c r="T38" s="264" t="str">
        <f t="shared" si="7"/>
        <v>--</v>
      </c>
      <c r="U38" s="265" t="str">
        <f t="shared" si="8"/>
        <v>--</v>
      </c>
      <c r="V38" s="266" t="str">
        <f t="shared" si="9"/>
        <v>--</v>
      </c>
      <c r="W38" s="267" t="str">
        <f t="shared" si="10"/>
        <v>--</v>
      </c>
      <c r="X38" s="268" t="str">
        <f t="shared" si="11"/>
        <v>--</v>
      </c>
      <c r="Y38" s="269" t="str">
        <f t="shared" si="12"/>
        <v>--</v>
      </c>
      <c r="Z38" s="270" t="str">
        <f t="shared" si="13"/>
        <v>--</v>
      </c>
      <c r="AA38" s="271" t="str">
        <f t="shared" si="14"/>
        <v>--</v>
      </c>
      <c r="AB38" s="272" t="str">
        <f t="shared" si="15"/>
        <v>--</v>
      </c>
      <c r="AC38" s="273" t="str">
        <f t="shared" si="16"/>
        <v>--</v>
      </c>
      <c r="AD38" s="936">
        <f t="shared" si="19"/>
      </c>
      <c r="AE38" s="274">
        <f t="shared" si="17"/>
        <v>0</v>
      </c>
      <c r="AF38" s="16">
        <f t="shared" si="18"/>
      </c>
      <c r="AG38" s="275"/>
    </row>
    <row r="39" spans="2:33" s="5" customFormat="1" ht="16.5" customHeight="1">
      <c r="B39" s="50"/>
      <c r="C39" s="340"/>
      <c r="D39" s="340"/>
      <c r="E39" s="340"/>
      <c r="F39" s="150"/>
      <c r="G39" s="152"/>
      <c r="H39" s="879"/>
      <c r="I39" s="152"/>
      <c r="J39" s="259">
        <f t="shared" si="0"/>
        <v>20</v>
      </c>
      <c r="K39" s="260">
        <f t="shared" si="1"/>
        <v>74.974</v>
      </c>
      <c r="L39" s="190"/>
      <c r="M39" s="191"/>
      <c r="N39" s="192">
        <f t="shared" si="2"/>
      </c>
      <c r="O39" s="193">
        <f t="shared" si="3"/>
      </c>
      <c r="P39" s="262"/>
      <c r="Q39" s="584">
        <f t="shared" si="4"/>
      </c>
      <c r="R39" s="263">
        <f t="shared" si="5"/>
      </c>
      <c r="S39" s="263">
        <f t="shared" si="6"/>
      </c>
      <c r="T39" s="264" t="str">
        <f t="shared" si="7"/>
        <v>--</v>
      </c>
      <c r="U39" s="265" t="str">
        <f t="shared" si="8"/>
        <v>--</v>
      </c>
      <c r="V39" s="266" t="str">
        <f t="shared" si="9"/>
        <v>--</v>
      </c>
      <c r="W39" s="267" t="str">
        <f t="shared" si="10"/>
        <v>--</v>
      </c>
      <c r="X39" s="268" t="str">
        <f t="shared" si="11"/>
        <v>--</v>
      </c>
      <c r="Y39" s="269" t="str">
        <f t="shared" si="12"/>
        <v>--</v>
      </c>
      <c r="Z39" s="270" t="str">
        <f t="shared" si="13"/>
        <v>--</v>
      </c>
      <c r="AA39" s="271" t="str">
        <f t="shared" si="14"/>
        <v>--</v>
      </c>
      <c r="AB39" s="272" t="str">
        <f t="shared" si="15"/>
        <v>--</v>
      </c>
      <c r="AC39" s="273" t="str">
        <f t="shared" si="16"/>
        <v>--</v>
      </c>
      <c r="AD39" s="936">
        <f t="shared" si="19"/>
      </c>
      <c r="AE39" s="274">
        <f t="shared" si="17"/>
        <v>0</v>
      </c>
      <c r="AF39" s="16">
        <f t="shared" si="18"/>
      </c>
      <c r="AG39" s="275"/>
    </row>
    <row r="40" spans="2:33" s="5" customFormat="1" ht="16.5" customHeight="1">
      <c r="B40" s="50"/>
      <c r="C40" s="157"/>
      <c r="D40" s="157"/>
      <c r="E40" s="157"/>
      <c r="F40" s="150"/>
      <c r="G40" s="276"/>
      <c r="H40" s="879"/>
      <c r="I40" s="152"/>
      <c r="J40" s="259">
        <f t="shared" si="0"/>
        <v>20</v>
      </c>
      <c r="K40" s="260">
        <f t="shared" si="1"/>
        <v>74.974</v>
      </c>
      <c r="L40" s="190"/>
      <c r="M40" s="191"/>
      <c r="N40" s="192">
        <f t="shared" si="2"/>
      </c>
      <c r="O40" s="193">
        <f t="shared" si="3"/>
      </c>
      <c r="P40" s="262"/>
      <c r="Q40" s="584">
        <f t="shared" si="4"/>
      </c>
      <c r="R40" s="263">
        <f t="shared" si="5"/>
      </c>
      <c r="S40" s="263">
        <f t="shared" si="6"/>
      </c>
      <c r="T40" s="264" t="str">
        <f t="shared" si="7"/>
        <v>--</v>
      </c>
      <c r="U40" s="265" t="str">
        <f t="shared" si="8"/>
        <v>--</v>
      </c>
      <c r="V40" s="266" t="str">
        <f t="shared" si="9"/>
        <v>--</v>
      </c>
      <c r="W40" s="267" t="str">
        <f t="shared" si="10"/>
        <v>--</v>
      </c>
      <c r="X40" s="268" t="str">
        <f t="shared" si="11"/>
        <v>--</v>
      </c>
      <c r="Y40" s="269" t="str">
        <f t="shared" si="12"/>
        <v>--</v>
      </c>
      <c r="Z40" s="270" t="str">
        <f t="shared" si="13"/>
        <v>--</v>
      </c>
      <c r="AA40" s="271" t="str">
        <f t="shared" si="14"/>
        <v>--</v>
      </c>
      <c r="AB40" s="272" t="str">
        <f t="shared" si="15"/>
        <v>--</v>
      </c>
      <c r="AC40" s="273" t="str">
        <f t="shared" si="16"/>
        <v>--</v>
      </c>
      <c r="AD40" s="936">
        <f t="shared" si="19"/>
      </c>
      <c r="AE40" s="274">
        <f t="shared" si="17"/>
        <v>0</v>
      </c>
      <c r="AF40" s="16">
        <f t="shared" si="18"/>
      </c>
      <c r="AG40" s="275"/>
    </row>
    <row r="41" spans="2:33" s="5" customFormat="1" ht="16.5" customHeight="1">
      <c r="B41" s="50"/>
      <c r="C41" s="340"/>
      <c r="D41" s="340"/>
      <c r="E41" s="340"/>
      <c r="F41" s="150"/>
      <c r="G41" s="276"/>
      <c r="H41" s="879"/>
      <c r="I41" s="152"/>
      <c r="J41" s="259">
        <f t="shared" si="0"/>
        <v>20</v>
      </c>
      <c r="K41" s="260">
        <f t="shared" si="1"/>
        <v>74.974</v>
      </c>
      <c r="L41" s="190"/>
      <c r="M41" s="191"/>
      <c r="N41" s="192">
        <f t="shared" si="2"/>
      </c>
      <c r="O41" s="193">
        <f t="shared" si="3"/>
      </c>
      <c r="P41" s="262"/>
      <c r="Q41" s="584">
        <f t="shared" si="4"/>
      </c>
      <c r="R41" s="263">
        <f t="shared" si="5"/>
      </c>
      <c r="S41" s="263">
        <f t="shared" si="6"/>
      </c>
      <c r="T41" s="264" t="str">
        <f t="shared" si="7"/>
        <v>--</v>
      </c>
      <c r="U41" s="265" t="str">
        <f t="shared" si="8"/>
        <v>--</v>
      </c>
      <c r="V41" s="266" t="str">
        <f t="shared" si="9"/>
        <v>--</v>
      </c>
      <c r="W41" s="267" t="str">
        <f t="shared" si="10"/>
        <v>--</v>
      </c>
      <c r="X41" s="268" t="str">
        <f t="shared" si="11"/>
        <v>--</v>
      </c>
      <c r="Y41" s="269" t="str">
        <f t="shared" si="12"/>
        <v>--</v>
      </c>
      <c r="Z41" s="270" t="str">
        <f t="shared" si="13"/>
        <v>--</v>
      </c>
      <c r="AA41" s="271" t="str">
        <f t="shared" si="14"/>
        <v>--</v>
      </c>
      <c r="AB41" s="272" t="str">
        <f t="shared" si="15"/>
        <v>--</v>
      </c>
      <c r="AC41" s="273" t="str">
        <f t="shared" si="16"/>
        <v>--</v>
      </c>
      <c r="AD41" s="936">
        <f t="shared" si="19"/>
      </c>
      <c r="AE41" s="274">
        <f t="shared" si="17"/>
        <v>0</v>
      </c>
      <c r="AF41" s="16">
        <f t="shared" si="18"/>
      </c>
      <c r="AG41" s="275"/>
    </row>
    <row r="42" spans="2:33" s="5" customFormat="1" ht="16.5" customHeight="1" thickBot="1">
      <c r="B42" s="50"/>
      <c r="C42" s="157"/>
      <c r="D42" s="157"/>
      <c r="E42" s="157"/>
      <c r="F42" s="154"/>
      <c r="G42" s="277"/>
      <c r="H42" s="873"/>
      <c r="I42" s="278"/>
      <c r="J42" s="279"/>
      <c r="K42" s="280"/>
      <c r="L42" s="156"/>
      <c r="M42" s="156"/>
      <c r="N42" s="9"/>
      <c r="O42" s="9"/>
      <c r="P42" s="156"/>
      <c r="Q42" s="195"/>
      <c r="R42" s="9"/>
      <c r="S42" s="156"/>
      <c r="T42" s="281"/>
      <c r="U42" s="282"/>
      <c r="V42" s="283"/>
      <c r="W42" s="284"/>
      <c r="X42" s="285"/>
      <c r="Y42" s="286"/>
      <c r="Z42" s="287"/>
      <c r="AA42" s="288"/>
      <c r="AB42" s="289"/>
      <c r="AC42" s="290"/>
      <c r="AD42" s="291"/>
      <c r="AE42" s="292"/>
      <c r="AF42" s="293"/>
      <c r="AG42" s="275"/>
    </row>
    <row r="43" spans="2:33" s="5" customFormat="1" ht="16.5" customHeight="1" thickBot="1" thickTop="1">
      <c r="B43" s="50"/>
      <c r="C43" s="127" t="s">
        <v>25</v>
      </c>
      <c r="D43" s="973" t="s">
        <v>371</v>
      </c>
      <c r="E43" s="127"/>
      <c r="F43" s="128"/>
      <c r="G43" s="294"/>
      <c r="H43" s="218"/>
      <c r="I43" s="295"/>
      <c r="J43" s="218"/>
      <c r="K43" s="196"/>
      <c r="L43" s="196"/>
      <c r="M43" s="196"/>
      <c r="N43" s="196"/>
      <c r="O43" s="196"/>
      <c r="P43" s="196"/>
      <c r="Q43" s="296"/>
      <c r="R43" s="196"/>
      <c r="S43" s="196"/>
      <c r="T43" s="197">
        <f aca="true" t="shared" si="20" ref="T43:AC43">SUM(T20:T42)</f>
        <v>0</v>
      </c>
      <c r="U43" s="297">
        <f t="shared" si="20"/>
        <v>0</v>
      </c>
      <c r="V43" s="298">
        <f t="shared" si="20"/>
        <v>9104.862799999999</v>
      </c>
      <c r="W43" s="299">
        <f t="shared" si="20"/>
        <v>5007.67454</v>
      </c>
      <c r="X43" s="300">
        <f t="shared" si="20"/>
        <v>0</v>
      </c>
      <c r="Y43" s="301">
        <f t="shared" si="20"/>
        <v>0</v>
      </c>
      <c r="Z43" s="302">
        <f t="shared" si="20"/>
        <v>0</v>
      </c>
      <c r="AA43" s="303">
        <f t="shared" si="20"/>
        <v>0</v>
      </c>
      <c r="AB43" s="304">
        <f t="shared" si="20"/>
        <v>0</v>
      </c>
      <c r="AC43" s="305">
        <f t="shared" si="20"/>
        <v>0</v>
      </c>
      <c r="AD43" s="306"/>
      <c r="AE43" s="307">
        <f>ROUND(SUM(AE20:AE42),2)</f>
        <v>14112.54</v>
      </c>
      <c r="AF43" s="308">
        <f>ROUND(SUM(AF20:AF42),2)</f>
        <v>14112.54</v>
      </c>
      <c r="AG43" s="275"/>
    </row>
    <row r="44" spans="2:3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6"/>
    </row>
    <row r="45" spans="2:33" ht="16.5" customHeight="1" thickTop="1">
      <c r="B45" s="1"/>
      <c r="C45" s="1"/>
      <c r="D45" s="1"/>
      <c r="AG45" s="1"/>
    </row>
  </sheetData>
  <mergeCells count="1">
    <mergeCell ref="O14:S14"/>
  </mergeCells>
  <printOptions/>
  <pageMargins left="0.7" right="0.1968503937007874" top="0.54" bottom="0.65" header="0.33" footer="0.4"/>
  <pageSetup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AE154"/>
  <sheetViews>
    <sheetView zoomScale="70" zoomScaleNormal="70" workbookViewId="0" topLeftCell="A10">
      <selection activeCell="A10" sqref="A10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49"/>
    </row>
    <row r="2" spans="1:30" s="18" customFormat="1" ht="26.25">
      <c r="A2" s="91"/>
      <c r="B2" s="309" t="str">
        <f>+'TOT-0909'!B2</f>
        <v>ANEXO IV al Memorandum  D.T.E.E. N° 256/2011</v>
      </c>
      <c r="C2" s="309"/>
      <c r="D2" s="309"/>
      <c r="E2" s="309"/>
      <c r="F2" s="309"/>
      <c r="G2" s="1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</row>
    <row r="3" spans="1:30" s="5" customFormat="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s="25" customFormat="1" ht="11.25">
      <c r="A4" s="310" t="s">
        <v>83</v>
      </c>
      <c r="B4" s="114"/>
      <c r="C4" s="114"/>
      <c r="D4" s="11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25" customFormat="1" ht="11.25">
      <c r="A5" s="310" t="s">
        <v>3</v>
      </c>
      <c r="B5" s="114"/>
      <c r="C5" s="114"/>
      <c r="D5" s="11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1:30" s="5" customFormat="1" ht="13.5" thickBo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s="5" customFormat="1" ht="13.5" thickTop="1">
      <c r="A7" s="90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4"/>
    </row>
    <row r="8" spans="1:30" s="29" customFormat="1" ht="20.25">
      <c r="A8" s="105"/>
      <c r="B8" s="106"/>
      <c r="C8" s="96"/>
      <c r="D8" s="96"/>
      <c r="E8" s="105"/>
      <c r="F8" s="311" t="s">
        <v>69</v>
      </c>
      <c r="G8" s="105"/>
      <c r="H8" s="105"/>
      <c r="I8" s="312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96"/>
      <c r="U8" s="96"/>
      <c r="V8" s="96"/>
      <c r="W8" s="96"/>
      <c r="X8" s="96"/>
      <c r="Y8" s="96"/>
      <c r="Z8" s="96"/>
      <c r="AA8" s="96"/>
      <c r="AB8" s="96"/>
      <c r="AC8" s="96"/>
      <c r="AD8" s="107"/>
    </row>
    <row r="9" spans="1:30" s="5" customFormat="1" ht="12.75">
      <c r="A9" s="90"/>
      <c r="B9" s="95"/>
      <c r="C9" s="15"/>
      <c r="D9" s="15"/>
      <c r="E9" s="90"/>
      <c r="F9" s="15"/>
      <c r="G9" s="313"/>
      <c r="H9" s="90"/>
      <c r="I9" s="15"/>
      <c r="J9" s="90"/>
      <c r="K9" s="90"/>
      <c r="L9" s="90"/>
      <c r="M9" s="90"/>
      <c r="N9" s="90"/>
      <c r="O9" s="90"/>
      <c r="P9" s="90"/>
      <c r="Q9" s="90"/>
      <c r="R9" s="90"/>
      <c r="S9" s="90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888" customFormat="1" ht="33" customHeight="1">
      <c r="A10" s="911"/>
      <c r="B10" s="919"/>
      <c r="C10" s="922"/>
      <c r="D10" s="922"/>
      <c r="E10" s="911"/>
      <c r="F10" s="920" t="s">
        <v>253</v>
      </c>
      <c r="G10" s="911"/>
      <c r="H10" s="921"/>
      <c r="I10" s="922"/>
      <c r="J10" s="911"/>
      <c r="K10" s="911"/>
      <c r="L10" s="911"/>
      <c r="M10" s="911"/>
      <c r="N10" s="911"/>
      <c r="O10" s="911"/>
      <c r="P10" s="911"/>
      <c r="Q10" s="911"/>
      <c r="R10" s="911"/>
      <c r="S10" s="911"/>
      <c r="T10" s="922"/>
      <c r="U10" s="922"/>
      <c r="V10" s="922"/>
      <c r="W10" s="922"/>
      <c r="X10" s="922"/>
      <c r="Y10" s="922"/>
      <c r="Z10" s="922"/>
      <c r="AA10" s="922"/>
      <c r="AB10" s="922"/>
      <c r="AC10" s="922"/>
      <c r="AD10" s="890"/>
    </row>
    <row r="11" spans="1:30" s="891" customFormat="1" ht="33" customHeight="1">
      <c r="A11" s="915"/>
      <c r="B11" s="923"/>
      <c r="C11" s="925"/>
      <c r="D11" s="925"/>
      <c r="E11" s="915"/>
      <c r="F11" s="924" t="s">
        <v>363</v>
      </c>
      <c r="G11" s="925"/>
      <c r="H11" s="925"/>
      <c r="I11" s="926"/>
      <c r="J11" s="925"/>
      <c r="K11" s="925"/>
      <c r="L11" s="925"/>
      <c r="M11" s="925"/>
      <c r="N11" s="925"/>
      <c r="O11" s="915"/>
      <c r="P11" s="915"/>
      <c r="Q11" s="915"/>
      <c r="R11" s="915"/>
      <c r="S11" s="915"/>
      <c r="T11" s="925"/>
      <c r="U11" s="925"/>
      <c r="V11" s="925"/>
      <c r="W11" s="925"/>
      <c r="X11" s="925"/>
      <c r="Y11" s="925"/>
      <c r="Z11" s="925"/>
      <c r="AA11" s="925"/>
      <c r="AB11" s="925"/>
      <c r="AC11" s="925"/>
      <c r="AD11" s="894"/>
    </row>
    <row r="12" spans="1:30" s="36" customFormat="1" ht="19.5">
      <c r="A12" s="109"/>
      <c r="B12" s="37" t="str">
        <f>'TOT-0909'!B14</f>
        <v>Desde el 01 al 30 de septiembre de 2009</v>
      </c>
      <c r="C12" s="40"/>
      <c r="D12" s="40"/>
      <c r="E12" s="314"/>
      <c r="F12" s="112"/>
      <c r="G12" s="112"/>
      <c r="H12" s="112"/>
      <c r="I12" s="112"/>
      <c r="J12" s="112"/>
      <c r="K12" s="112"/>
      <c r="L12" s="112"/>
      <c r="M12" s="112"/>
      <c r="N12" s="112"/>
      <c r="O12" s="314"/>
      <c r="P12" s="314"/>
      <c r="Q12" s="314"/>
      <c r="R12" s="314"/>
      <c r="S12" s="314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315"/>
    </row>
    <row r="13" spans="1:30" s="5" customFormat="1" ht="13.5" thickBot="1">
      <c r="A13" s="90"/>
      <c r="B13" s="95"/>
      <c r="C13" s="15"/>
      <c r="D13" s="15"/>
      <c r="E13" s="90"/>
      <c r="F13" s="15"/>
      <c r="G13" s="15"/>
      <c r="H13" s="15"/>
      <c r="I13" s="98"/>
      <c r="J13" s="15"/>
      <c r="K13" s="15"/>
      <c r="L13" s="15"/>
      <c r="M13" s="15"/>
      <c r="N13" s="15"/>
      <c r="O13" s="90"/>
      <c r="P13" s="90"/>
      <c r="Q13" s="90"/>
      <c r="R13" s="90"/>
      <c r="S13" s="9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5" customFormat="1" ht="16.5" customHeight="1" thickBot="1" thickTop="1">
      <c r="A14" s="90"/>
      <c r="B14" s="95"/>
      <c r="C14" s="15"/>
      <c r="D14" s="15"/>
      <c r="E14" s="90"/>
      <c r="F14" s="316" t="s">
        <v>84</v>
      </c>
      <c r="G14" s="317"/>
      <c r="H14" s="318">
        <v>0.118</v>
      </c>
      <c r="J14" s="90"/>
      <c r="K14" s="90"/>
      <c r="L14" s="90"/>
      <c r="M14" s="90"/>
      <c r="N14" s="90"/>
      <c r="O14" s="90"/>
      <c r="P14" s="9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7"/>
    </row>
    <row r="15" spans="1:30" s="5" customFormat="1" ht="16.5" customHeight="1" thickBot="1" thickTop="1">
      <c r="A15" s="90"/>
      <c r="B15" s="95"/>
      <c r="C15" s="15"/>
      <c r="D15" s="15"/>
      <c r="E15" s="90"/>
      <c r="F15" s="110" t="s">
        <v>26</v>
      </c>
      <c r="G15" s="111"/>
      <c r="H15" s="882">
        <v>200</v>
      </c>
      <c r="I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9"/>
      <c r="X15" s="99"/>
      <c r="Y15" s="99"/>
      <c r="Z15" s="99"/>
      <c r="AA15" s="99"/>
      <c r="AB15" s="99"/>
      <c r="AC15" s="90"/>
      <c r="AD15" s="17"/>
    </row>
    <row r="16" spans="1:30" s="5" customFormat="1" ht="16.5" customHeight="1" thickBot="1" thickTop="1">
      <c r="A16" s="90"/>
      <c r="B16" s="95"/>
      <c r="C16" s="968">
        <v>3</v>
      </c>
      <c r="D16" s="968">
        <v>4</v>
      </c>
      <c r="E16" s="968">
        <v>5</v>
      </c>
      <c r="F16" s="968">
        <v>6</v>
      </c>
      <c r="G16" s="968">
        <v>7</v>
      </c>
      <c r="H16" s="968">
        <v>8</v>
      </c>
      <c r="I16" s="968">
        <v>9</v>
      </c>
      <c r="J16" s="968">
        <v>10</v>
      </c>
      <c r="K16" s="968">
        <v>11</v>
      </c>
      <c r="L16" s="968">
        <v>12</v>
      </c>
      <c r="M16" s="968">
        <v>13</v>
      </c>
      <c r="N16" s="968">
        <v>14</v>
      </c>
      <c r="O16" s="968">
        <v>15</v>
      </c>
      <c r="P16" s="968">
        <v>16</v>
      </c>
      <c r="Q16" s="968">
        <v>17</v>
      </c>
      <c r="R16" s="968">
        <v>18</v>
      </c>
      <c r="S16" s="968">
        <v>19</v>
      </c>
      <c r="T16" s="968">
        <v>20</v>
      </c>
      <c r="U16" s="968">
        <v>21</v>
      </c>
      <c r="V16" s="968">
        <v>22</v>
      </c>
      <c r="W16" s="968">
        <v>23</v>
      </c>
      <c r="X16" s="968">
        <v>24</v>
      </c>
      <c r="Y16" s="968">
        <v>25</v>
      </c>
      <c r="Z16" s="968">
        <v>26</v>
      </c>
      <c r="AA16" s="968">
        <v>27</v>
      </c>
      <c r="AB16" s="968">
        <v>28</v>
      </c>
      <c r="AC16" s="968">
        <v>29</v>
      </c>
      <c r="AD16" s="17"/>
    </row>
    <row r="17" spans="1:30" s="5" customFormat="1" ht="33.75" customHeight="1" thickBot="1" thickTop="1">
      <c r="A17" s="90"/>
      <c r="B17" s="95"/>
      <c r="C17" s="123" t="s">
        <v>13</v>
      </c>
      <c r="D17" s="84" t="s">
        <v>264</v>
      </c>
      <c r="E17" s="84" t="s">
        <v>265</v>
      </c>
      <c r="F17" s="119" t="s">
        <v>27</v>
      </c>
      <c r="G17" s="118" t="s">
        <v>28</v>
      </c>
      <c r="H17" s="120" t="s">
        <v>29</v>
      </c>
      <c r="I17" s="121" t="s">
        <v>14</v>
      </c>
      <c r="J17" s="129" t="s">
        <v>16</v>
      </c>
      <c r="K17" s="118" t="s">
        <v>17</v>
      </c>
      <c r="L17" s="118" t="s">
        <v>18</v>
      </c>
      <c r="M17" s="119" t="s">
        <v>30</v>
      </c>
      <c r="N17" s="119" t="s">
        <v>31</v>
      </c>
      <c r="O17" s="88" t="s">
        <v>19</v>
      </c>
      <c r="P17" s="88" t="s">
        <v>58</v>
      </c>
      <c r="Q17" s="122" t="s">
        <v>32</v>
      </c>
      <c r="R17" s="118" t="s">
        <v>33</v>
      </c>
      <c r="S17" s="319" t="s">
        <v>37</v>
      </c>
      <c r="T17" s="320" t="s">
        <v>20</v>
      </c>
      <c r="U17" s="321" t="s">
        <v>21</v>
      </c>
      <c r="V17" s="224" t="s">
        <v>85</v>
      </c>
      <c r="W17" s="226"/>
      <c r="X17" s="322" t="s">
        <v>86</v>
      </c>
      <c r="Y17" s="323"/>
      <c r="Z17" s="324" t="s">
        <v>22</v>
      </c>
      <c r="AA17" s="325" t="s">
        <v>81</v>
      </c>
      <c r="AB17" s="134" t="s">
        <v>82</v>
      </c>
      <c r="AC17" s="121" t="s">
        <v>24</v>
      </c>
      <c r="AD17" s="17"/>
    </row>
    <row r="18" spans="1:30" s="5" customFormat="1" ht="16.5" customHeight="1" thickTop="1">
      <c r="A18" s="90"/>
      <c r="B18" s="95"/>
      <c r="C18" s="326"/>
      <c r="D18" s="326"/>
      <c r="E18" s="326"/>
      <c r="F18" s="326"/>
      <c r="G18" s="326"/>
      <c r="H18" s="326"/>
      <c r="I18" s="327"/>
      <c r="J18" s="328"/>
      <c r="K18" s="326"/>
      <c r="L18" s="326"/>
      <c r="M18" s="326"/>
      <c r="N18" s="326"/>
      <c r="O18" s="326"/>
      <c r="P18" s="184"/>
      <c r="Q18" s="329"/>
      <c r="R18" s="326"/>
      <c r="S18" s="330"/>
      <c r="T18" s="331"/>
      <c r="U18" s="332"/>
      <c r="V18" s="333"/>
      <c r="W18" s="334"/>
      <c r="X18" s="335"/>
      <c r="Y18" s="336"/>
      <c r="Z18" s="337"/>
      <c r="AA18" s="338"/>
      <c r="AB18" s="329"/>
      <c r="AC18" s="339"/>
      <c r="AD18" s="17"/>
    </row>
    <row r="19" spans="1:30" s="5" customFormat="1" ht="16.5" customHeight="1">
      <c r="A19" s="90"/>
      <c r="B19" s="95"/>
      <c r="C19" s="340"/>
      <c r="D19" s="340"/>
      <c r="E19" s="340"/>
      <c r="F19" s="340"/>
      <c r="G19" s="340"/>
      <c r="H19" s="340"/>
      <c r="I19" s="341"/>
      <c r="J19" s="342"/>
      <c r="K19" s="340"/>
      <c r="L19" s="340"/>
      <c r="M19" s="340"/>
      <c r="N19" s="340"/>
      <c r="O19" s="340"/>
      <c r="P19" s="187"/>
      <c r="Q19" s="343"/>
      <c r="R19" s="340"/>
      <c r="S19" s="344"/>
      <c r="T19" s="345"/>
      <c r="U19" s="346"/>
      <c r="V19" s="347"/>
      <c r="W19" s="348"/>
      <c r="X19" s="349"/>
      <c r="Y19" s="350"/>
      <c r="Z19" s="351"/>
      <c r="AA19" s="352"/>
      <c r="AB19" s="343"/>
      <c r="AC19" s="353"/>
      <c r="AD19" s="17"/>
    </row>
    <row r="20" spans="1:30" s="5" customFormat="1" ht="16.5" customHeight="1">
      <c r="A20" s="90"/>
      <c r="B20" s="95"/>
      <c r="C20" s="340">
        <v>78</v>
      </c>
      <c r="D20" s="340">
        <v>210930</v>
      </c>
      <c r="E20" s="157">
        <v>4619</v>
      </c>
      <c r="F20" s="153" t="s">
        <v>364</v>
      </c>
      <c r="G20" s="354" t="s">
        <v>365</v>
      </c>
      <c r="H20" s="355">
        <v>300</v>
      </c>
      <c r="I20" s="970" t="s">
        <v>311</v>
      </c>
      <c r="J20" s="357">
        <f aca="true" t="shared" si="0" ref="J20:J39">H20*$H$14</f>
        <v>35.4</v>
      </c>
      <c r="K20" s="158">
        <v>40063.35902777778</v>
      </c>
      <c r="L20" s="158">
        <v>40063.56527777778</v>
      </c>
      <c r="M20" s="358">
        <f aca="true" t="shared" si="1" ref="M20:M39">IF(F20="","",(L20-K20)*24)</f>
        <v>4.950000000069849</v>
      </c>
      <c r="N20" s="14">
        <f aca="true" t="shared" si="2" ref="N20:N39">IF(F20="","",ROUND((L20-K20)*24*60,0))</f>
        <v>297</v>
      </c>
      <c r="O20" s="159" t="s">
        <v>303</v>
      </c>
      <c r="P20" s="584" t="str">
        <f aca="true" t="shared" si="3" ref="P20:P39">IF(F20="","","--")</f>
        <v>--</v>
      </c>
      <c r="Q20" s="8" t="str">
        <f>IF(F20="","",IF(OR(O20="P",O20="RP"),"--","NO"))</f>
        <v>--</v>
      </c>
      <c r="R20" s="263" t="str">
        <f aca="true" t="shared" si="4" ref="R20:R39">IF(F20="","","NO")</f>
        <v>NO</v>
      </c>
      <c r="S20" s="359">
        <f aca="true" t="shared" si="5" ref="S20:S39">$H$15*IF(OR(O20="P",O20="RP"),0.1,1)*IF(R20="SI",1,0.1)</f>
        <v>2</v>
      </c>
      <c r="T20" s="937">
        <f aca="true" t="shared" si="6" ref="T20:T39">IF(O20="P",J20*S20*ROUND(N20/60,2),"--")</f>
        <v>350.46</v>
      </c>
      <c r="U20" s="938" t="str">
        <f aca="true" t="shared" si="7" ref="U20:U39">IF(O20="RP",J20*S20*P20/100*ROUND(N20/60,2),"--")</f>
        <v>--</v>
      </c>
      <c r="V20" s="362" t="str">
        <f aca="true" t="shared" si="8" ref="V20:V39">IF(AND(O20="F",Q20="NO"),J20*S20,"--")</f>
        <v>--</v>
      </c>
      <c r="W20" s="363" t="str">
        <f aca="true" t="shared" si="9" ref="W20:W39">IF(O20="F",J20*S20*ROUND(N20/60,2),"--")</f>
        <v>--</v>
      </c>
      <c r="X20" s="364" t="str">
        <f aca="true" t="shared" si="10" ref="X20:X39">IF(AND(O20="R",Q20="NO"),J20*S20*P20/100,"--")</f>
        <v>--</v>
      </c>
      <c r="Y20" s="365" t="str">
        <f aca="true" t="shared" si="11" ref="Y20:Y39">IF(O20="R",J20*S20*P20/100*ROUND(N20/60,2),"--")</f>
        <v>--</v>
      </c>
      <c r="Z20" s="366" t="str">
        <f aca="true" t="shared" si="12" ref="Z20:Z39">IF(O20="RF",J20*S20*ROUND(N20/60,2),"--")</f>
        <v>--</v>
      </c>
      <c r="AA20" s="367" t="str">
        <f aca="true" t="shared" si="13" ref="AA20:AA39">IF(O20="RR",J20*S20*P20/100*ROUND(N20/60,2),"--")</f>
        <v>--</v>
      </c>
      <c r="AB20" s="939" t="str">
        <f aca="true" t="shared" si="14" ref="AB20:AB39">IF(F20="","","SI")</f>
        <v>SI</v>
      </c>
      <c r="AC20" s="369">
        <f aca="true" t="shared" si="15" ref="AC20:AC39">IF(F20="","",SUM(T20:AA20)*IF(AB20="SI",1,2)*IF(AND(P22&lt;&gt;"--",O22="RF"),P22/100,1))</f>
        <v>350.46</v>
      </c>
      <c r="AD20" s="17"/>
    </row>
    <row r="21" spans="1:30" s="5" customFormat="1" ht="16.5" customHeight="1">
      <c r="A21" s="90"/>
      <c r="B21" s="95"/>
      <c r="C21" s="340"/>
      <c r="D21" s="340"/>
      <c r="E21" s="340"/>
      <c r="F21" s="153"/>
      <c r="G21" s="354"/>
      <c r="H21" s="355"/>
      <c r="I21" s="356"/>
      <c r="J21" s="357">
        <f t="shared" si="0"/>
        <v>0</v>
      </c>
      <c r="K21" s="158"/>
      <c r="L21" s="158"/>
      <c r="M21" s="358">
        <f t="shared" si="1"/>
      </c>
      <c r="N21" s="14">
        <f t="shared" si="2"/>
      </c>
      <c r="O21" s="159"/>
      <c r="P21" s="584">
        <f t="shared" si="3"/>
      </c>
      <c r="Q21" s="8">
        <f aca="true" t="shared" si="16" ref="Q21:Q39">IF(F21="","",IF(O21="P","--","NO"))</f>
      </c>
      <c r="R21" s="263">
        <f t="shared" si="4"/>
      </c>
      <c r="S21" s="359">
        <f t="shared" si="5"/>
        <v>20</v>
      </c>
      <c r="T21" s="937" t="str">
        <f t="shared" si="6"/>
        <v>--</v>
      </c>
      <c r="U21" s="938" t="str">
        <f t="shared" si="7"/>
        <v>--</v>
      </c>
      <c r="V21" s="362" t="str">
        <f t="shared" si="8"/>
        <v>--</v>
      </c>
      <c r="W21" s="363" t="str">
        <f t="shared" si="9"/>
        <v>--</v>
      </c>
      <c r="X21" s="364" t="str">
        <f t="shared" si="10"/>
        <v>--</v>
      </c>
      <c r="Y21" s="365" t="str">
        <f t="shared" si="11"/>
        <v>--</v>
      </c>
      <c r="Z21" s="366" t="str">
        <f t="shared" si="12"/>
        <v>--</v>
      </c>
      <c r="AA21" s="367" t="str">
        <f t="shared" si="13"/>
        <v>--</v>
      </c>
      <c r="AB21" s="939">
        <f t="shared" si="14"/>
      </c>
      <c r="AC21" s="369">
        <f t="shared" si="15"/>
      </c>
      <c r="AD21" s="17"/>
    </row>
    <row r="22" spans="1:30" s="5" customFormat="1" ht="16.5" customHeight="1">
      <c r="A22" s="90"/>
      <c r="B22" s="95"/>
      <c r="C22" s="340"/>
      <c r="D22" s="340"/>
      <c r="E22" s="157"/>
      <c r="F22" s="153"/>
      <c r="G22" s="354"/>
      <c r="H22" s="355"/>
      <c r="I22" s="356"/>
      <c r="J22" s="357">
        <f t="shared" si="0"/>
        <v>0</v>
      </c>
      <c r="K22" s="158"/>
      <c r="L22" s="158"/>
      <c r="M22" s="358">
        <f t="shared" si="1"/>
      </c>
      <c r="N22" s="14">
        <f t="shared" si="2"/>
      </c>
      <c r="O22" s="159"/>
      <c r="P22" s="584">
        <f t="shared" si="3"/>
      </c>
      <c r="Q22" s="8">
        <f t="shared" si="16"/>
      </c>
      <c r="R22" s="263">
        <f t="shared" si="4"/>
      </c>
      <c r="S22" s="359">
        <f t="shared" si="5"/>
        <v>20</v>
      </c>
      <c r="T22" s="937" t="str">
        <f t="shared" si="6"/>
        <v>--</v>
      </c>
      <c r="U22" s="938" t="str">
        <f t="shared" si="7"/>
        <v>--</v>
      </c>
      <c r="V22" s="362" t="str">
        <f t="shared" si="8"/>
        <v>--</v>
      </c>
      <c r="W22" s="363" t="str">
        <f t="shared" si="9"/>
        <v>--</v>
      </c>
      <c r="X22" s="364" t="str">
        <f t="shared" si="10"/>
        <v>--</v>
      </c>
      <c r="Y22" s="365" t="str">
        <f t="shared" si="11"/>
        <v>--</v>
      </c>
      <c r="Z22" s="366" t="str">
        <f t="shared" si="12"/>
        <v>--</v>
      </c>
      <c r="AA22" s="367" t="str">
        <f t="shared" si="13"/>
        <v>--</v>
      </c>
      <c r="AB22" s="939">
        <f t="shared" si="14"/>
      </c>
      <c r="AC22" s="369">
        <f t="shared" si="15"/>
      </c>
      <c r="AD22" s="17"/>
    </row>
    <row r="23" spans="1:30" s="5" customFormat="1" ht="16.5" customHeight="1">
      <c r="A23" s="90"/>
      <c r="B23" s="95"/>
      <c r="C23" s="340"/>
      <c r="D23" s="340"/>
      <c r="E23" s="340"/>
      <c r="F23" s="153"/>
      <c r="G23" s="354"/>
      <c r="H23" s="355"/>
      <c r="I23" s="356"/>
      <c r="J23" s="357">
        <f t="shared" si="0"/>
        <v>0</v>
      </c>
      <c r="K23" s="158"/>
      <c r="L23" s="158"/>
      <c r="M23" s="358">
        <f t="shared" si="1"/>
      </c>
      <c r="N23" s="14">
        <f t="shared" si="2"/>
      </c>
      <c r="O23" s="159"/>
      <c r="P23" s="584">
        <f t="shared" si="3"/>
      </c>
      <c r="Q23" s="8">
        <f t="shared" si="16"/>
      </c>
      <c r="R23" s="263">
        <f t="shared" si="4"/>
      </c>
      <c r="S23" s="359">
        <f t="shared" si="5"/>
        <v>20</v>
      </c>
      <c r="T23" s="937" t="str">
        <f t="shared" si="6"/>
        <v>--</v>
      </c>
      <c r="U23" s="938" t="str">
        <f t="shared" si="7"/>
        <v>--</v>
      </c>
      <c r="V23" s="362" t="str">
        <f t="shared" si="8"/>
        <v>--</v>
      </c>
      <c r="W23" s="363" t="str">
        <f t="shared" si="9"/>
        <v>--</v>
      </c>
      <c r="X23" s="364" t="str">
        <f t="shared" si="10"/>
        <v>--</v>
      </c>
      <c r="Y23" s="365" t="str">
        <f t="shared" si="11"/>
        <v>--</v>
      </c>
      <c r="Z23" s="366" t="str">
        <f t="shared" si="12"/>
        <v>--</v>
      </c>
      <c r="AA23" s="367" t="str">
        <f t="shared" si="13"/>
        <v>--</v>
      </c>
      <c r="AB23" s="939">
        <f t="shared" si="14"/>
      </c>
      <c r="AC23" s="369">
        <f t="shared" si="15"/>
      </c>
      <c r="AD23" s="17"/>
    </row>
    <row r="24" spans="1:30" s="5" customFormat="1" ht="16.5" customHeight="1">
      <c r="A24" s="90"/>
      <c r="B24" s="95"/>
      <c r="C24" s="340"/>
      <c r="D24" s="340"/>
      <c r="E24" s="157"/>
      <c r="F24" s="153"/>
      <c r="G24" s="354"/>
      <c r="H24" s="355"/>
      <c r="I24" s="356"/>
      <c r="J24" s="357">
        <f t="shared" si="0"/>
        <v>0</v>
      </c>
      <c r="K24" s="158"/>
      <c r="L24" s="158"/>
      <c r="M24" s="358">
        <f t="shared" si="1"/>
      </c>
      <c r="N24" s="14">
        <f t="shared" si="2"/>
      </c>
      <c r="O24" s="159"/>
      <c r="P24" s="584">
        <f t="shared" si="3"/>
      </c>
      <c r="Q24" s="8">
        <f t="shared" si="16"/>
      </c>
      <c r="R24" s="263">
        <f t="shared" si="4"/>
      </c>
      <c r="S24" s="359">
        <f t="shared" si="5"/>
        <v>20</v>
      </c>
      <c r="T24" s="937" t="str">
        <f t="shared" si="6"/>
        <v>--</v>
      </c>
      <c r="U24" s="938" t="str">
        <f t="shared" si="7"/>
        <v>--</v>
      </c>
      <c r="V24" s="362" t="str">
        <f t="shared" si="8"/>
        <v>--</v>
      </c>
      <c r="W24" s="363" t="str">
        <f t="shared" si="9"/>
        <v>--</v>
      </c>
      <c r="X24" s="364" t="str">
        <f t="shared" si="10"/>
        <v>--</v>
      </c>
      <c r="Y24" s="365" t="str">
        <f t="shared" si="11"/>
        <v>--</v>
      </c>
      <c r="Z24" s="366" t="str">
        <f t="shared" si="12"/>
        <v>--</v>
      </c>
      <c r="AA24" s="367" t="str">
        <f t="shared" si="13"/>
        <v>--</v>
      </c>
      <c r="AB24" s="939">
        <f t="shared" si="14"/>
      </c>
      <c r="AC24" s="369">
        <f t="shared" si="15"/>
      </c>
      <c r="AD24" s="17"/>
    </row>
    <row r="25" spans="1:30" s="5" customFormat="1" ht="16.5" customHeight="1">
      <c r="A25" s="90"/>
      <c r="B25" s="95"/>
      <c r="C25" s="340"/>
      <c r="D25" s="340"/>
      <c r="E25" s="340"/>
      <c r="F25" s="153"/>
      <c r="G25" s="354"/>
      <c r="H25" s="355"/>
      <c r="I25" s="356"/>
      <c r="J25" s="357">
        <f t="shared" si="0"/>
        <v>0</v>
      </c>
      <c r="K25" s="158"/>
      <c r="L25" s="158"/>
      <c r="M25" s="358">
        <f t="shared" si="1"/>
      </c>
      <c r="N25" s="14">
        <f t="shared" si="2"/>
      </c>
      <c r="O25" s="159"/>
      <c r="P25" s="584">
        <f t="shared" si="3"/>
      </c>
      <c r="Q25" s="8">
        <f t="shared" si="16"/>
      </c>
      <c r="R25" s="263">
        <f t="shared" si="4"/>
      </c>
      <c r="S25" s="359">
        <f t="shared" si="5"/>
        <v>20</v>
      </c>
      <c r="T25" s="937" t="str">
        <f t="shared" si="6"/>
        <v>--</v>
      </c>
      <c r="U25" s="938" t="str">
        <f t="shared" si="7"/>
        <v>--</v>
      </c>
      <c r="V25" s="362" t="str">
        <f t="shared" si="8"/>
        <v>--</v>
      </c>
      <c r="W25" s="363" t="str">
        <f t="shared" si="9"/>
        <v>--</v>
      </c>
      <c r="X25" s="364" t="str">
        <f t="shared" si="10"/>
        <v>--</v>
      </c>
      <c r="Y25" s="365" t="str">
        <f t="shared" si="11"/>
        <v>--</v>
      </c>
      <c r="Z25" s="366" t="str">
        <f t="shared" si="12"/>
        <v>--</v>
      </c>
      <c r="AA25" s="367" t="str">
        <f t="shared" si="13"/>
        <v>--</v>
      </c>
      <c r="AB25" s="939">
        <f t="shared" si="14"/>
      </c>
      <c r="AC25" s="369">
        <f t="shared" si="15"/>
      </c>
      <c r="AD25" s="17"/>
    </row>
    <row r="26" spans="1:31" s="5" customFormat="1" ht="16.5" customHeight="1">
      <c r="A26" s="90"/>
      <c r="B26" s="95"/>
      <c r="C26" s="340"/>
      <c r="D26" s="340"/>
      <c r="E26" s="157"/>
      <c r="F26" s="153"/>
      <c r="G26" s="354"/>
      <c r="H26" s="355"/>
      <c r="I26" s="356"/>
      <c r="J26" s="357">
        <f t="shared" si="0"/>
        <v>0</v>
      </c>
      <c r="K26" s="158"/>
      <c r="L26" s="158"/>
      <c r="M26" s="358">
        <f t="shared" si="1"/>
      </c>
      <c r="N26" s="14">
        <f t="shared" si="2"/>
      </c>
      <c r="O26" s="159"/>
      <c r="P26" s="584">
        <f t="shared" si="3"/>
      </c>
      <c r="Q26" s="8">
        <f t="shared" si="16"/>
      </c>
      <c r="R26" s="263">
        <f t="shared" si="4"/>
      </c>
      <c r="S26" s="359">
        <f t="shared" si="5"/>
        <v>20</v>
      </c>
      <c r="T26" s="937" t="str">
        <f t="shared" si="6"/>
        <v>--</v>
      </c>
      <c r="U26" s="938" t="str">
        <f t="shared" si="7"/>
        <v>--</v>
      </c>
      <c r="V26" s="362" t="str">
        <f t="shared" si="8"/>
        <v>--</v>
      </c>
      <c r="W26" s="363" t="str">
        <f t="shared" si="9"/>
        <v>--</v>
      </c>
      <c r="X26" s="364" t="str">
        <f t="shared" si="10"/>
        <v>--</v>
      </c>
      <c r="Y26" s="365" t="str">
        <f t="shared" si="11"/>
        <v>--</v>
      </c>
      <c r="Z26" s="366" t="str">
        <f t="shared" si="12"/>
        <v>--</v>
      </c>
      <c r="AA26" s="367" t="str">
        <f t="shared" si="13"/>
        <v>--</v>
      </c>
      <c r="AB26" s="939">
        <f t="shared" si="14"/>
      </c>
      <c r="AC26" s="369">
        <f t="shared" si="15"/>
      </c>
      <c r="AD26" s="17"/>
      <c r="AE26" s="15"/>
    </row>
    <row r="27" spans="1:30" s="5" customFormat="1" ht="16.5" customHeight="1">
      <c r="A27" s="90"/>
      <c r="B27" s="95"/>
      <c r="C27" s="340"/>
      <c r="D27" s="340"/>
      <c r="E27" s="340"/>
      <c r="F27" s="153"/>
      <c r="G27" s="354"/>
      <c r="H27" s="355"/>
      <c r="I27" s="356"/>
      <c r="J27" s="357">
        <f t="shared" si="0"/>
        <v>0</v>
      </c>
      <c r="K27" s="158"/>
      <c r="L27" s="158"/>
      <c r="M27" s="358">
        <f t="shared" si="1"/>
      </c>
      <c r="N27" s="14">
        <f t="shared" si="2"/>
      </c>
      <c r="O27" s="159"/>
      <c r="P27" s="584">
        <f t="shared" si="3"/>
      </c>
      <c r="Q27" s="8">
        <f t="shared" si="16"/>
      </c>
      <c r="R27" s="263">
        <f t="shared" si="4"/>
      </c>
      <c r="S27" s="359">
        <f t="shared" si="5"/>
        <v>20</v>
      </c>
      <c r="T27" s="937" t="str">
        <f t="shared" si="6"/>
        <v>--</v>
      </c>
      <c r="U27" s="938" t="str">
        <f t="shared" si="7"/>
        <v>--</v>
      </c>
      <c r="V27" s="362" t="str">
        <f t="shared" si="8"/>
        <v>--</v>
      </c>
      <c r="W27" s="363" t="str">
        <f t="shared" si="9"/>
        <v>--</v>
      </c>
      <c r="X27" s="364" t="str">
        <f t="shared" si="10"/>
        <v>--</v>
      </c>
      <c r="Y27" s="365" t="str">
        <f t="shared" si="11"/>
        <v>--</v>
      </c>
      <c r="Z27" s="366" t="str">
        <f t="shared" si="12"/>
        <v>--</v>
      </c>
      <c r="AA27" s="367" t="str">
        <f t="shared" si="13"/>
        <v>--</v>
      </c>
      <c r="AB27" s="939">
        <f t="shared" si="14"/>
      </c>
      <c r="AC27" s="369">
        <f t="shared" si="15"/>
      </c>
      <c r="AD27" s="17"/>
    </row>
    <row r="28" spans="1:30" s="5" customFormat="1" ht="16.5" customHeight="1">
      <c r="A28" s="90"/>
      <c r="B28" s="95"/>
      <c r="C28" s="340"/>
      <c r="D28" s="340"/>
      <c r="E28" s="157"/>
      <c r="F28" s="153"/>
      <c r="G28" s="354"/>
      <c r="H28" s="355"/>
      <c r="I28" s="356"/>
      <c r="J28" s="357">
        <f t="shared" si="0"/>
        <v>0</v>
      </c>
      <c r="K28" s="158"/>
      <c r="L28" s="158"/>
      <c r="M28" s="358">
        <f t="shared" si="1"/>
      </c>
      <c r="N28" s="14">
        <f t="shared" si="2"/>
      </c>
      <c r="O28" s="159"/>
      <c r="P28" s="584">
        <f t="shared" si="3"/>
      </c>
      <c r="Q28" s="8">
        <f t="shared" si="16"/>
      </c>
      <c r="R28" s="263">
        <f t="shared" si="4"/>
      </c>
      <c r="S28" s="359">
        <f t="shared" si="5"/>
        <v>20</v>
      </c>
      <c r="T28" s="937" t="str">
        <f t="shared" si="6"/>
        <v>--</v>
      </c>
      <c r="U28" s="938" t="str">
        <f t="shared" si="7"/>
        <v>--</v>
      </c>
      <c r="V28" s="362" t="str">
        <f t="shared" si="8"/>
        <v>--</v>
      </c>
      <c r="W28" s="363" t="str">
        <f t="shared" si="9"/>
        <v>--</v>
      </c>
      <c r="X28" s="364" t="str">
        <f t="shared" si="10"/>
        <v>--</v>
      </c>
      <c r="Y28" s="365" t="str">
        <f t="shared" si="11"/>
        <v>--</v>
      </c>
      <c r="Z28" s="366" t="str">
        <f t="shared" si="12"/>
        <v>--</v>
      </c>
      <c r="AA28" s="367" t="str">
        <f t="shared" si="13"/>
        <v>--</v>
      </c>
      <c r="AB28" s="939">
        <f t="shared" si="14"/>
      </c>
      <c r="AC28" s="369">
        <f t="shared" si="15"/>
      </c>
      <c r="AD28" s="17"/>
    </row>
    <row r="29" spans="1:30" s="5" customFormat="1" ht="16.5" customHeight="1">
      <c r="A29" s="90"/>
      <c r="B29" s="95"/>
      <c r="C29" s="340"/>
      <c r="D29" s="340"/>
      <c r="E29" s="340"/>
      <c r="F29" s="153"/>
      <c r="G29" s="354"/>
      <c r="H29" s="355"/>
      <c r="I29" s="356"/>
      <c r="J29" s="357">
        <f t="shared" si="0"/>
        <v>0</v>
      </c>
      <c r="K29" s="158"/>
      <c r="L29" s="158"/>
      <c r="M29" s="358">
        <f t="shared" si="1"/>
      </c>
      <c r="N29" s="14">
        <f t="shared" si="2"/>
      </c>
      <c r="O29" s="159"/>
      <c r="P29" s="584">
        <f t="shared" si="3"/>
      </c>
      <c r="Q29" s="8">
        <f t="shared" si="16"/>
      </c>
      <c r="R29" s="263">
        <f t="shared" si="4"/>
      </c>
      <c r="S29" s="359">
        <f t="shared" si="5"/>
        <v>20</v>
      </c>
      <c r="T29" s="937" t="str">
        <f t="shared" si="6"/>
        <v>--</v>
      </c>
      <c r="U29" s="938" t="str">
        <f t="shared" si="7"/>
        <v>--</v>
      </c>
      <c r="V29" s="362" t="str">
        <f t="shared" si="8"/>
        <v>--</v>
      </c>
      <c r="W29" s="363" t="str">
        <f t="shared" si="9"/>
        <v>--</v>
      </c>
      <c r="X29" s="364" t="str">
        <f t="shared" si="10"/>
        <v>--</v>
      </c>
      <c r="Y29" s="365" t="str">
        <f t="shared" si="11"/>
        <v>--</v>
      </c>
      <c r="Z29" s="366" t="str">
        <f t="shared" si="12"/>
        <v>--</v>
      </c>
      <c r="AA29" s="367" t="str">
        <f t="shared" si="13"/>
        <v>--</v>
      </c>
      <c r="AB29" s="939">
        <f t="shared" si="14"/>
      </c>
      <c r="AC29" s="369">
        <f t="shared" si="15"/>
      </c>
      <c r="AD29" s="17"/>
    </row>
    <row r="30" spans="1:30" s="5" customFormat="1" ht="16.5" customHeight="1">
      <c r="A30" s="90"/>
      <c r="B30" s="95"/>
      <c r="C30" s="340"/>
      <c r="D30" s="340"/>
      <c r="E30" s="157"/>
      <c r="F30" s="153"/>
      <c r="G30" s="370"/>
      <c r="H30" s="355"/>
      <c r="I30" s="356"/>
      <c r="J30" s="357">
        <f t="shared" si="0"/>
        <v>0</v>
      </c>
      <c r="K30" s="158"/>
      <c r="L30" s="158"/>
      <c r="M30" s="358">
        <f t="shared" si="1"/>
      </c>
      <c r="N30" s="14">
        <f t="shared" si="2"/>
      </c>
      <c r="O30" s="159"/>
      <c r="P30" s="584">
        <f t="shared" si="3"/>
      </c>
      <c r="Q30" s="8">
        <f t="shared" si="16"/>
      </c>
      <c r="R30" s="263">
        <f t="shared" si="4"/>
      </c>
      <c r="S30" s="359">
        <f t="shared" si="5"/>
        <v>20</v>
      </c>
      <c r="T30" s="937" t="str">
        <f t="shared" si="6"/>
        <v>--</v>
      </c>
      <c r="U30" s="938" t="str">
        <f t="shared" si="7"/>
        <v>--</v>
      </c>
      <c r="V30" s="362" t="str">
        <f t="shared" si="8"/>
        <v>--</v>
      </c>
      <c r="W30" s="363" t="str">
        <f t="shared" si="9"/>
        <v>--</v>
      </c>
      <c r="X30" s="364" t="str">
        <f t="shared" si="10"/>
        <v>--</v>
      </c>
      <c r="Y30" s="365" t="str">
        <f t="shared" si="11"/>
        <v>--</v>
      </c>
      <c r="Z30" s="366" t="str">
        <f t="shared" si="12"/>
        <v>--</v>
      </c>
      <c r="AA30" s="367" t="str">
        <f t="shared" si="13"/>
        <v>--</v>
      </c>
      <c r="AB30" s="939">
        <f t="shared" si="14"/>
      </c>
      <c r="AC30" s="369">
        <f t="shared" si="15"/>
      </c>
      <c r="AD30" s="17"/>
    </row>
    <row r="31" spans="1:30" s="5" customFormat="1" ht="16.5" customHeight="1">
      <c r="A31" s="90"/>
      <c r="B31" s="95"/>
      <c r="C31" s="340"/>
      <c r="D31" s="340"/>
      <c r="E31" s="340"/>
      <c r="F31" s="153"/>
      <c r="G31" s="370"/>
      <c r="H31" s="355"/>
      <c r="I31" s="356"/>
      <c r="J31" s="357">
        <f t="shared" si="0"/>
        <v>0</v>
      </c>
      <c r="K31" s="158"/>
      <c r="L31" s="158"/>
      <c r="M31" s="358">
        <f t="shared" si="1"/>
      </c>
      <c r="N31" s="14">
        <f t="shared" si="2"/>
      </c>
      <c r="O31" s="159"/>
      <c r="P31" s="584">
        <f t="shared" si="3"/>
      </c>
      <c r="Q31" s="8">
        <f t="shared" si="16"/>
      </c>
      <c r="R31" s="263">
        <f t="shared" si="4"/>
      </c>
      <c r="S31" s="359">
        <f t="shared" si="5"/>
        <v>20</v>
      </c>
      <c r="T31" s="937" t="str">
        <f t="shared" si="6"/>
        <v>--</v>
      </c>
      <c r="U31" s="938" t="str">
        <f t="shared" si="7"/>
        <v>--</v>
      </c>
      <c r="V31" s="362" t="str">
        <f t="shared" si="8"/>
        <v>--</v>
      </c>
      <c r="W31" s="363" t="str">
        <f t="shared" si="9"/>
        <v>--</v>
      </c>
      <c r="X31" s="364" t="str">
        <f t="shared" si="10"/>
        <v>--</v>
      </c>
      <c r="Y31" s="365" t="str">
        <f t="shared" si="11"/>
        <v>--</v>
      </c>
      <c r="Z31" s="366" t="str">
        <f t="shared" si="12"/>
        <v>--</v>
      </c>
      <c r="AA31" s="367" t="str">
        <f t="shared" si="13"/>
        <v>--</v>
      </c>
      <c r="AB31" s="939">
        <f t="shared" si="14"/>
      </c>
      <c r="AC31" s="369">
        <f t="shared" si="15"/>
      </c>
      <c r="AD31" s="17"/>
    </row>
    <row r="32" spans="1:30" s="5" customFormat="1" ht="16.5" customHeight="1">
      <c r="A32" s="90"/>
      <c r="B32" s="95"/>
      <c r="C32" s="340"/>
      <c r="D32" s="340"/>
      <c r="E32" s="157"/>
      <c r="F32" s="153"/>
      <c r="G32" s="370"/>
      <c r="H32" s="355"/>
      <c r="I32" s="356"/>
      <c r="J32" s="357">
        <f t="shared" si="0"/>
        <v>0</v>
      </c>
      <c r="K32" s="158"/>
      <c r="L32" s="158"/>
      <c r="M32" s="358">
        <f t="shared" si="1"/>
      </c>
      <c r="N32" s="14">
        <f t="shared" si="2"/>
      </c>
      <c r="O32" s="159"/>
      <c r="P32" s="584">
        <f t="shared" si="3"/>
      </c>
      <c r="Q32" s="8">
        <f t="shared" si="16"/>
      </c>
      <c r="R32" s="263">
        <f t="shared" si="4"/>
      </c>
      <c r="S32" s="359">
        <f t="shared" si="5"/>
        <v>20</v>
      </c>
      <c r="T32" s="937" t="str">
        <f t="shared" si="6"/>
        <v>--</v>
      </c>
      <c r="U32" s="938" t="str">
        <f t="shared" si="7"/>
        <v>--</v>
      </c>
      <c r="V32" s="362" t="str">
        <f t="shared" si="8"/>
        <v>--</v>
      </c>
      <c r="W32" s="363" t="str">
        <f t="shared" si="9"/>
        <v>--</v>
      </c>
      <c r="X32" s="364" t="str">
        <f t="shared" si="10"/>
        <v>--</v>
      </c>
      <c r="Y32" s="365" t="str">
        <f t="shared" si="11"/>
        <v>--</v>
      </c>
      <c r="Z32" s="366" t="str">
        <f t="shared" si="12"/>
        <v>--</v>
      </c>
      <c r="AA32" s="367" t="str">
        <f t="shared" si="13"/>
        <v>--</v>
      </c>
      <c r="AB32" s="939">
        <f t="shared" si="14"/>
      </c>
      <c r="AC32" s="369">
        <f t="shared" si="15"/>
      </c>
      <c r="AD32" s="17"/>
    </row>
    <row r="33" spans="1:30" s="5" customFormat="1" ht="16.5" customHeight="1">
      <c r="A33" s="90"/>
      <c r="B33" s="95"/>
      <c r="C33" s="340"/>
      <c r="D33" s="340"/>
      <c r="E33" s="340"/>
      <c r="F33" s="153"/>
      <c r="G33" s="370"/>
      <c r="H33" s="355"/>
      <c r="I33" s="356"/>
      <c r="J33" s="357">
        <f t="shared" si="0"/>
        <v>0</v>
      </c>
      <c r="K33" s="158"/>
      <c r="L33" s="158"/>
      <c r="M33" s="358">
        <f t="shared" si="1"/>
      </c>
      <c r="N33" s="14">
        <f t="shared" si="2"/>
      </c>
      <c r="O33" s="159"/>
      <c r="P33" s="584">
        <f t="shared" si="3"/>
      </c>
      <c r="Q33" s="8">
        <f t="shared" si="16"/>
      </c>
      <c r="R33" s="263">
        <f t="shared" si="4"/>
      </c>
      <c r="S33" s="359">
        <f t="shared" si="5"/>
        <v>20</v>
      </c>
      <c r="T33" s="937" t="str">
        <f t="shared" si="6"/>
        <v>--</v>
      </c>
      <c r="U33" s="938" t="str">
        <f t="shared" si="7"/>
        <v>--</v>
      </c>
      <c r="V33" s="362" t="str">
        <f t="shared" si="8"/>
        <v>--</v>
      </c>
      <c r="W33" s="363" t="str">
        <f t="shared" si="9"/>
        <v>--</v>
      </c>
      <c r="X33" s="364" t="str">
        <f t="shared" si="10"/>
        <v>--</v>
      </c>
      <c r="Y33" s="365" t="str">
        <f t="shared" si="11"/>
        <v>--</v>
      </c>
      <c r="Z33" s="366" t="str">
        <f t="shared" si="12"/>
        <v>--</v>
      </c>
      <c r="AA33" s="367" t="str">
        <f t="shared" si="13"/>
        <v>--</v>
      </c>
      <c r="AB33" s="939">
        <f t="shared" si="14"/>
      </c>
      <c r="AC33" s="369">
        <f t="shared" si="15"/>
      </c>
      <c r="AD33" s="17"/>
    </row>
    <row r="34" spans="1:30" s="5" customFormat="1" ht="16.5" customHeight="1">
      <c r="A34" s="90"/>
      <c r="B34" s="95"/>
      <c r="C34" s="340"/>
      <c r="D34" s="340"/>
      <c r="E34" s="157"/>
      <c r="F34" s="153"/>
      <c r="G34" s="370"/>
      <c r="H34" s="355"/>
      <c r="I34" s="356"/>
      <c r="J34" s="357">
        <f t="shared" si="0"/>
        <v>0</v>
      </c>
      <c r="K34" s="158"/>
      <c r="L34" s="158"/>
      <c r="M34" s="358">
        <f t="shared" si="1"/>
      </c>
      <c r="N34" s="14">
        <f t="shared" si="2"/>
      </c>
      <c r="O34" s="159"/>
      <c r="P34" s="584">
        <f t="shared" si="3"/>
      </c>
      <c r="Q34" s="8">
        <f t="shared" si="16"/>
      </c>
      <c r="R34" s="263">
        <f t="shared" si="4"/>
      </c>
      <c r="S34" s="359">
        <f t="shared" si="5"/>
        <v>20</v>
      </c>
      <c r="T34" s="937" t="str">
        <f t="shared" si="6"/>
        <v>--</v>
      </c>
      <c r="U34" s="938" t="str">
        <f t="shared" si="7"/>
        <v>--</v>
      </c>
      <c r="V34" s="362" t="str">
        <f t="shared" si="8"/>
        <v>--</v>
      </c>
      <c r="W34" s="363" t="str">
        <f t="shared" si="9"/>
        <v>--</v>
      </c>
      <c r="X34" s="364" t="str">
        <f t="shared" si="10"/>
        <v>--</v>
      </c>
      <c r="Y34" s="365" t="str">
        <f t="shared" si="11"/>
        <v>--</v>
      </c>
      <c r="Z34" s="366" t="str">
        <f t="shared" si="12"/>
        <v>--</v>
      </c>
      <c r="AA34" s="367" t="str">
        <f t="shared" si="13"/>
        <v>--</v>
      </c>
      <c r="AB34" s="939">
        <f t="shared" si="14"/>
      </c>
      <c r="AC34" s="369">
        <f t="shared" si="15"/>
      </c>
      <c r="AD34" s="17"/>
    </row>
    <row r="35" spans="1:30" s="5" customFormat="1" ht="16.5" customHeight="1">
      <c r="A35" s="90"/>
      <c r="B35" s="95"/>
      <c r="C35" s="340"/>
      <c r="D35" s="340"/>
      <c r="E35" s="340"/>
      <c r="F35" s="153"/>
      <c r="G35" s="370"/>
      <c r="H35" s="355"/>
      <c r="I35" s="356"/>
      <c r="J35" s="357">
        <f t="shared" si="0"/>
        <v>0</v>
      </c>
      <c r="K35" s="158"/>
      <c r="L35" s="158"/>
      <c r="M35" s="358">
        <f t="shared" si="1"/>
      </c>
      <c r="N35" s="14">
        <f t="shared" si="2"/>
      </c>
      <c r="O35" s="159"/>
      <c r="P35" s="584">
        <f t="shared" si="3"/>
      </c>
      <c r="Q35" s="8">
        <f t="shared" si="16"/>
      </c>
      <c r="R35" s="263">
        <f t="shared" si="4"/>
      </c>
      <c r="S35" s="359">
        <f t="shared" si="5"/>
        <v>20</v>
      </c>
      <c r="T35" s="937" t="str">
        <f t="shared" si="6"/>
        <v>--</v>
      </c>
      <c r="U35" s="938" t="str">
        <f t="shared" si="7"/>
        <v>--</v>
      </c>
      <c r="V35" s="362" t="str">
        <f t="shared" si="8"/>
        <v>--</v>
      </c>
      <c r="W35" s="363" t="str">
        <f t="shared" si="9"/>
        <v>--</v>
      </c>
      <c r="X35" s="364" t="str">
        <f t="shared" si="10"/>
        <v>--</v>
      </c>
      <c r="Y35" s="365" t="str">
        <f t="shared" si="11"/>
        <v>--</v>
      </c>
      <c r="Z35" s="366" t="str">
        <f t="shared" si="12"/>
        <v>--</v>
      </c>
      <c r="AA35" s="367" t="str">
        <f t="shared" si="13"/>
        <v>--</v>
      </c>
      <c r="AB35" s="939">
        <f t="shared" si="14"/>
      </c>
      <c r="AC35" s="369">
        <f t="shared" si="15"/>
      </c>
      <c r="AD35" s="17"/>
    </row>
    <row r="36" spans="1:30" s="5" customFormat="1" ht="16.5" customHeight="1">
      <c r="A36" s="90"/>
      <c r="B36" s="95"/>
      <c r="C36" s="340"/>
      <c r="D36" s="340"/>
      <c r="E36" s="157"/>
      <c r="F36" s="153"/>
      <c r="G36" s="370"/>
      <c r="H36" s="355"/>
      <c r="I36" s="356"/>
      <c r="J36" s="357">
        <f t="shared" si="0"/>
        <v>0</v>
      </c>
      <c r="K36" s="158"/>
      <c r="L36" s="158"/>
      <c r="M36" s="358">
        <f t="shared" si="1"/>
      </c>
      <c r="N36" s="14">
        <f t="shared" si="2"/>
      </c>
      <c r="O36" s="159"/>
      <c r="P36" s="584">
        <f t="shared" si="3"/>
      </c>
      <c r="Q36" s="8">
        <f t="shared" si="16"/>
      </c>
      <c r="R36" s="263">
        <f t="shared" si="4"/>
      </c>
      <c r="S36" s="359">
        <f t="shared" si="5"/>
        <v>20</v>
      </c>
      <c r="T36" s="937" t="str">
        <f t="shared" si="6"/>
        <v>--</v>
      </c>
      <c r="U36" s="938" t="str">
        <f t="shared" si="7"/>
        <v>--</v>
      </c>
      <c r="V36" s="362" t="str">
        <f t="shared" si="8"/>
        <v>--</v>
      </c>
      <c r="W36" s="363" t="str">
        <f t="shared" si="9"/>
        <v>--</v>
      </c>
      <c r="X36" s="364" t="str">
        <f t="shared" si="10"/>
        <v>--</v>
      </c>
      <c r="Y36" s="365" t="str">
        <f t="shared" si="11"/>
        <v>--</v>
      </c>
      <c r="Z36" s="366" t="str">
        <f t="shared" si="12"/>
        <v>--</v>
      </c>
      <c r="AA36" s="367" t="str">
        <f t="shared" si="13"/>
        <v>--</v>
      </c>
      <c r="AB36" s="939">
        <f t="shared" si="14"/>
      </c>
      <c r="AC36" s="369">
        <f t="shared" si="15"/>
      </c>
      <c r="AD36" s="17"/>
    </row>
    <row r="37" spans="1:30" s="5" customFormat="1" ht="16.5" customHeight="1">
      <c r="A37" s="90"/>
      <c r="B37" s="95"/>
      <c r="C37" s="340"/>
      <c r="D37" s="340"/>
      <c r="E37" s="340"/>
      <c r="F37" s="153"/>
      <c r="G37" s="370"/>
      <c r="H37" s="355"/>
      <c r="I37" s="356"/>
      <c r="J37" s="357">
        <f t="shared" si="0"/>
        <v>0</v>
      </c>
      <c r="K37" s="158"/>
      <c r="L37" s="158"/>
      <c r="M37" s="358">
        <f t="shared" si="1"/>
      </c>
      <c r="N37" s="14">
        <f t="shared" si="2"/>
      </c>
      <c r="O37" s="159"/>
      <c r="P37" s="584">
        <f t="shared" si="3"/>
      </c>
      <c r="Q37" s="8">
        <f t="shared" si="16"/>
      </c>
      <c r="R37" s="263">
        <f t="shared" si="4"/>
      </c>
      <c r="S37" s="359">
        <f t="shared" si="5"/>
        <v>20</v>
      </c>
      <c r="T37" s="937" t="str">
        <f t="shared" si="6"/>
        <v>--</v>
      </c>
      <c r="U37" s="938" t="str">
        <f t="shared" si="7"/>
        <v>--</v>
      </c>
      <c r="V37" s="362" t="str">
        <f t="shared" si="8"/>
        <v>--</v>
      </c>
      <c r="W37" s="363" t="str">
        <f t="shared" si="9"/>
        <v>--</v>
      </c>
      <c r="X37" s="364" t="str">
        <f t="shared" si="10"/>
        <v>--</v>
      </c>
      <c r="Y37" s="365" t="str">
        <f t="shared" si="11"/>
        <v>--</v>
      </c>
      <c r="Z37" s="366" t="str">
        <f t="shared" si="12"/>
        <v>--</v>
      </c>
      <c r="AA37" s="367" t="str">
        <f t="shared" si="13"/>
        <v>--</v>
      </c>
      <c r="AB37" s="939">
        <f t="shared" si="14"/>
      </c>
      <c r="AC37" s="369">
        <f t="shared" si="15"/>
      </c>
      <c r="AD37" s="17"/>
    </row>
    <row r="38" spans="1:30" s="5" customFormat="1" ht="16.5" customHeight="1">
      <c r="A38" s="90"/>
      <c r="B38" s="95"/>
      <c r="C38" s="340"/>
      <c r="D38" s="340"/>
      <c r="E38" s="157"/>
      <c r="F38" s="153"/>
      <c r="G38" s="370"/>
      <c r="H38" s="355"/>
      <c r="I38" s="356"/>
      <c r="J38" s="357">
        <f t="shared" si="0"/>
        <v>0</v>
      </c>
      <c r="K38" s="158"/>
      <c r="L38" s="158"/>
      <c r="M38" s="358">
        <f t="shared" si="1"/>
      </c>
      <c r="N38" s="14">
        <f t="shared" si="2"/>
      </c>
      <c r="O38" s="159"/>
      <c r="P38" s="584">
        <f t="shared" si="3"/>
      </c>
      <c r="Q38" s="8">
        <f t="shared" si="16"/>
      </c>
      <c r="R38" s="263">
        <f t="shared" si="4"/>
      </c>
      <c r="S38" s="359">
        <f t="shared" si="5"/>
        <v>20</v>
      </c>
      <c r="T38" s="937" t="str">
        <f t="shared" si="6"/>
        <v>--</v>
      </c>
      <c r="U38" s="938" t="str">
        <f t="shared" si="7"/>
        <v>--</v>
      </c>
      <c r="V38" s="362" t="str">
        <f t="shared" si="8"/>
        <v>--</v>
      </c>
      <c r="W38" s="363" t="str">
        <f t="shared" si="9"/>
        <v>--</v>
      </c>
      <c r="X38" s="364" t="str">
        <f t="shared" si="10"/>
        <v>--</v>
      </c>
      <c r="Y38" s="365" t="str">
        <f t="shared" si="11"/>
        <v>--</v>
      </c>
      <c r="Z38" s="366" t="str">
        <f t="shared" si="12"/>
        <v>--</v>
      </c>
      <c r="AA38" s="367" t="str">
        <f t="shared" si="13"/>
        <v>--</v>
      </c>
      <c r="AB38" s="939">
        <f t="shared" si="14"/>
      </c>
      <c r="AC38" s="369">
        <f t="shared" si="15"/>
      </c>
      <c r="AD38" s="17"/>
    </row>
    <row r="39" spans="1:30" s="5" customFormat="1" ht="16.5" customHeight="1">
      <c r="A39" s="90"/>
      <c r="B39" s="95"/>
      <c r="C39" s="340"/>
      <c r="D39" s="340"/>
      <c r="E39" s="340"/>
      <c r="F39" s="153"/>
      <c r="G39" s="370"/>
      <c r="H39" s="355"/>
      <c r="I39" s="356"/>
      <c r="J39" s="357">
        <f t="shared" si="0"/>
        <v>0</v>
      </c>
      <c r="K39" s="158"/>
      <c r="L39" s="158"/>
      <c r="M39" s="358">
        <f t="shared" si="1"/>
      </c>
      <c r="N39" s="14">
        <f t="shared" si="2"/>
      </c>
      <c r="O39" s="159"/>
      <c r="P39" s="584">
        <f t="shared" si="3"/>
      </c>
      <c r="Q39" s="8">
        <f t="shared" si="16"/>
      </c>
      <c r="R39" s="263">
        <f t="shared" si="4"/>
      </c>
      <c r="S39" s="359">
        <f t="shared" si="5"/>
        <v>20</v>
      </c>
      <c r="T39" s="937" t="str">
        <f t="shared" si="6"/>
        <v>--</v>
      </c>
      <c r="U39" s="938" t="str">
        <f t="shared" si="7"/>
        <v>--</v>
      </c>
      <c r="V39" s="362" t="str">
        <f t="shared" si="8"/>
        <v>--</v>
      </c>
      <c r="W39" s="363" t="str">
        <f t="shared" si="9"/>
        <v>--</v>
      </c>
      <c r="X39" s="364" t="str">
        <f t="shared" si="10"/>
        <v>--</v>
      </c>
      <c r="Y39" s="365" t="str">
        <f t="shared" si="11"/>
        <v>--</v>
      </c>
      <c r="Z39" s="366" t="str">
        <f t="shared" si="12"/>
        <v>--</v>
      </c>
      <c r="AA39" s="367" t="str">
        <f t="shared" si="13"/>
        <v>--</v>
      </c>
      <c r="AB39" s="939">
        <f t="shared" si="14"/>
      </c>
      <c r="AC39" s="369">
        <f t="shared" si="15"/>
      </c>
      <c r="AD39" s="17"/>
    </row>
    <row r="40" spans="1:30" s="5" customFormat="1" ht="16.5" customHeight="1" thickBot="1">
      <c r="A40" s="90"/>
      <c r="B40" s="95"/>
      <c r="C40" s="371"/>
      <c r="D40" s="371"/>
      <c r="E40" s="371"/>
      <c r="F40" s="371"/>
      <c r="G40" s="371"/>
      <c r="H40" s="371"/>
      <c r="I40" s="373"/>
      <c r="J40" s="131"/>
      <c r="K40" s="160"/>
      <c r="L40" s="374"/>
      <c r="M40" s="375"/>
      <c r="N40" s="376"/>
      <c r="O40" s="163"/>
      <c r="P40" s="195"/>
      <c r="Q40" s="161"/>
      <c r="R40" s="163"/>
      <c r="S40" s="407"/>
      <c r="T40" s="398"/>
      <c r="U40" s="399"/>
      <c r="V40" s="400"/>
      <c r="W40" s="401"/>
      <c r="X40" s="402"/>
      <c r="Y40" s="403"/>
      <c r="Z40" s="404"/>
      <c r="AA40" s="405"/>
      <c r="AB40" s="406"/>
      <c r="AC40" s="387"/>
      <c r="AD40" s="17"/>
    </row>
    <row r="41" spans="1:30" s="5" customFormat="1" ht="16.5" customHeight="1" thickBot="1" thickTop="1">
      <c r="A41" s="90"/>
      <c r="B41" s="95"/>
      <c r="C41" s="127" t="s">
        <v>25</v>
      </c>
      <c r="D41" s="972" t="s">
        <v>362</v>
      </c>
      <c r="E41" s="127"/>
      <c r="F41" s="128"/>
      <c r="G41" s="15"/>
      <c r="H41" s="15"/>
      <c r="I41" s="15"/>
      <c r="J41" s="15"/>
      <c r="K41" s="15"/>
      <c r="L41" s="99"/>
      <c r="M41" s="15"/>
      <c r="N41" s="15"/>
      <c r="O41" s="15"/>
      <c r="P41" s="15"/>
      <c r="Q41" s="15"/>
      <c r="R41" s="15"/>
      <c r="S41" s="15"/>
      <c r="T41" s="388">
        <f aca="true" t="shared" si="17" ref="T41:AA41">SUM(T18:T40)</f>
        <v>350.46</v>
      </c>
      <c r="U41" s="389">
        <f t="shared" si="17"/>
        <v>0</v>
      </c>
      <c r="V41" s="390">
        <f t="shared" si="17"/>
        <v>0</v>
      </c>
      <c r="W41" s="391">
        <f t="shared" si="17"/>
        <v>0</v>
      </c>
      <c r="X41" s="392">
        <f t="shared" si="17"/>
        <v>0</v>
      </c>
      <c r="Y41" s="393">
        <f t="shared" si="17"/>
        <v>0</v>
      </c>
      <c r="Z41" s="394">
        <f t="shared" si="17"/>
        <v>0</v>
      </c>
      <c r="AA41" s="395">
        <f t="shared" si="17"/>
        <v>0</v>
      </c>
      <c r="AB41" s="90"/>
      <c r="AC41" s="396">
        <f>ROUND(SUM(AC18:AC40),2)</f>
        <v>350.46</v>
      </c>
      <c r="AD41" s="17"/>
    </row>
    <row r="42" spans="1:30" s="5" customFormat="1" ht="16.5" customHeight="1" thickBot="1" thickTop="1">
      <c r="A42" s="90"/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3"/>
    </row>
    <row r="43" spans="1:31" ht="16.5" customHeight="1" thickTop="1">
      <c r="A43" s="2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</row>
    <row r="44" spans="1:31" ht="16.5" customHeight="1">
      <c r="A44" s="2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1:31" ht="16.5" customHeight="1">
      <c r="A45" s="2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</row>
    <row r="46" spans="1:31" ht="16.5" customHeight="1">
      <c r="A46" s="2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</row>
    <row r="47" spans="6:31" ht="16.5" customHeight="1"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</row>
    <row r="48" spans="6:31" ht="16.5" customHeight="1"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</row>
    <row r="49" spans="6:31" ht="16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</row>
    <row r="50" spans="6:31" ht="16.5" customHeight="1"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</row>
    <row r="51" spans="6:31" ht="16.5" customHeight="1"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</row>
    <row r="52" spans="6:31" ht="16.5" customHeight="1"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</row>
    <row r="53" spans="6:31" ht="16.5" customHeight="1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</row>
    <row r="54" spans="6:31" ht="16.5" customHeight="1"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</row>
    <row r="55" spans="6:31" ht="16.5" customHeight="1"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</row>
    <row r="56" spans="6:31" ht="16.5" customHeight="1"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</row>
    <row r="57" spans="6:31" ht="16.5" customHeight="1"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</row>
    <row r="58" spans="6:31" ht="16.5" customHeight="1"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</row>
    <row r="59" spans="6:31" ht="16.5" customHeight="1"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</row>
    <row r="60" spans="6:31" ht="16.5" customHeight="1"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</row>
    <row r="61" spans="6:31" ht="16.5" customHeight="1"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</row>
    <row r="62" spans="6:31" ht="16.5" customHeight="1"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</row>
    <row r="63" spans="6:31" ht="16.5" customHeight="1"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</row>
    <row r="64" spans="6:31" ht="16.5" customHeight="1"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</row>
    <row r="65" spans="6:31" ht="16.5" customHeight="1"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</row>
    <row r="66" spans="6:31" ht="16.5" customHeight="1"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</row>
    <row r="67" spans="6:31" ht="16.5" customHeight="1"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</row>
    <row r="68" spans="6:31" ht="16.5" customHeight="1"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</row>
    <row r="69" spans="6:31" ht="16.5" customHeight="1"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</row>
    <row r="70" spans="6:31" ht="16.5" customHeight="1"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</row>
    <row r="71" spans="6:31" ht="16.5" customHeight="1"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</row>
    <row r="72" spans="6:31" ht="16.5" customHeight="1"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</row>
    <row r="73" spans="6:31" ht="16.5" customHeight="1"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</row>
    <row r="74" spans="6:31" ht="16.5" customHeight="1"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</row>
    <row r="75" spans="6:31" ht="16.5" customHeight="1"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</row>
    <row r="76" spans="6:31" ht="16.5" customHeight="1"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</row>
    <row r="77" spans="6:31" ht="16.5" customHeight="1"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</row>
    <row r="78" spans="6:31" ht="16.5" customHeight="1"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</row>
    <row r="79" spans="6:31" ht="16.5" customHeight="1"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</row>
    <row r="80" spans="6:31" ht="16.5" customHeight="1"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6:31" ht="16.5" customHeight="1"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6:31" ht="16.5" customHeight="1"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6:31" ht="16.5" customHeight="1"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6:31" ht="16.5" customHeight="1"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6:31" ht="16.5" customHeight="1"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6:31" ht="16.5" customHeight="1"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6:31" ht="16.5" customHeight="1"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6:31" ht="16.5" customHeight="1"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6:31" ht="16.5" customHeight="1"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6:31" ht="16.5" customHeight="1"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6:31" ht="16.5" customHeight="1"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</row>
    <row r="92" spans="6:31" ht="16.5" customHeight="1"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6:31" ht="16.5" customHeight="1"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6:31" ht="16.5" customHeight="1"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</row>
    <row r="95" spans="6:31" ht="16.5" customHeight="1"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</row>
    <row r="96" spans="6:31" ht="16.5" customHeight="1"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</row>
    <row r="97" spans="6:31" ht="16.5" customHeight="1"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</row>
    <row r="98" spans="6:31" ht="16.5" customHeight="1"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</row>
    <row r="99" spans="6:31" ht="16.5" customHeight="1"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</row>
    <row r="100" spans="6:31" ht="16.5" customHeight="1"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</row>
    <row r="101" spans="6:31" ht="16.5" customHeight="1"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</row>
    <row r="102" spans="6:31" ht="16.5" customHeight="1"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</row>
    <row r="103" spans="6:31" ht="16.5" customHeight="1"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</row>
    <row r="104" spans="6:31" ht="16.5" customHeight="1"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</row>
    <row r="105" spans="6:31" ht="16.5" customHeight="1"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</row>
    <row r="106" spans="6:31" ht="16.5" customHeight="1"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</row>
    <row r="107" spans="6:31" ht="16.5" customHeight="1"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</row>
    <row r="108" spans="6:31" ht="16.5" customHeight="1"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</row>
    <row r="109" spans="6:31" ht="16.5" customHeight="1"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</row>
    <row r="110" spans="6:31" ht="16.5" customHeight="1"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</row>
    <row r="111" spans="6:31" ht="16.5" customHeight="1"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</row>
    <row r="112" spans="6:31" ht="16.5" customHeight="1"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</row>
    <row r="113" spans="6:31" ht="16.5" customHeight="1"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</row>
    <row r="114" spans="6:31" ht="16.5" customHeight="1"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</row>
    <row r="115" spans="6:31" ht="16.5" customHeight="1"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</row>
    <row r="116" spans="6:31" ht="16.5" customHeight="1"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</row>
    <row r="117" spans="6:31" ht="16.5" customHeight="1"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</row>
    <row r="118" spans="6:31" ht="16.5" customHeight="1"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</row>
    <row r="119" spans="6:31" ht="16.5" customHeight="1"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</row>
    <row r="120" spans="6:31" ht="16.5" customHeight="1"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</row>
    <row r="121" spans="6:31" ht="16.5" customHeight="1"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6:31" ht="16.5" customHeight="1"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6:31" ht="16.5" customHeight="1"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6:31" ht="16.5" customHeight="1"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6:31" ht="16.5" customHeight="1"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6:31" ht="16.5" customHeight="1"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6:31" ht="16.5" customHeight="1"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</row>
    <row r="128" spans="6:31" ht="16.5" customHeight="1"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6:31" ht="16.5" customHeight="1"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</row>
    <row r="130" spans="6:31" ht="16.5" customHeight="1"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6:31" ht="16.5" customHeight="1"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</row>
    <row r="132" spans="6:31" ht="16.5" customHeight="1"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</row>
    <row r="133" spans="6:31" ht="16.5" customHeight="1"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</row>
    <row r="134" spans="6:31" ht="16.5" customHeight="1"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</row>
    <row r="135" spans="6:31" ht="16.5" customHeight="1"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</row>
    <row r="136" spans="6:31" ht="16.5" customHeight="1"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</row>
    <row r="137" spans="6:31" ht="16.5" customHeight="1"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</row>
    <row r="138" spans="6:31" ht="16.5" customHeight="1"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</row>
    <row r="139" spans="6:31" ht="16.5" customHeight="1"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</row>
    <row r="140" spans="6:31" ht="16.5" customHeight="1"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</row>
    <row r="141" spans="6:31" ht="16.5" customHeight="1"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</row>
    <row r="142" spans="6:31" ht="16.5" customHeight="1"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</row>
    <row r="143" spans="6:31" ht="16.5" customHeight="1"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</row>
    <row r="144" spans="6:31" ht="16.5" customHeight="1"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</row>
    <row r="145" spans="6:31" ht="16.5" customHeight="1"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</row>
    <row r="146" spans="6:31" ht="16.5" customHeight="1"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</row>
    <row r="147" spans="6:31" ht="16.5" customHeight="1"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</row>
    <row r="148" spans="6:31" ht="16.5" customHeight="1"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</row>
    <row r="149" spans="6:31" ht="16.5" customHeight="1"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</row>
    <row r="150" spans="6:31" ht="16.5" customHeight="1"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</row>
    <row r="151" ht="16.5" customHeight="1">
      <c r="AE151" s="177"/>
    </row>
    <row r="152" ht="16.5" customHeight="1">
      <c r="AE152" s="177"/>
    </row>
    <row r="153" ht="16.5" customHeight="1">
      <c r="AE153" s="177"/>
    </row>
    <row r="154" ht="16.5" customHeight="1">
      <c r="AE154" s="177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2011-04-01T14:33:13Z</cp:lastPrinted>
  <dcterms:created xsi:type="dcterms:W3CDTF">1998-04-21T14:04:37Z</dcterms:created>
  <dcterms:modified xsi:type="dcterms:W3CDTF">2011-05-19T19:17:44Z</dcterms:modified>
  <cp:category/>
  <cp:version/>
  <cp:contentType/>
  <cp:contentStatus/>
</cp:coreProperties>
</file>