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8" activeTab="0"/>
  </bookViews>
  <sheets>
    <sheet name="TOT-0110" sheetId="1" r:id="rId1"/>
    <sheet name="LI-01 (1)" sheetId="2" r:id="rId2"/>
    <sheet name="LI-01 (2)" sheetId="3" r:id="rId3"/>
    <sheet name="LI-INTESAR-01 (1)" sheetId="4" r:id="rId4"/>
    <sheet name="TR-01 (1)" sheetId="5" r:id="rId5"/>
    <sheet name="TR-TIBA-01 (1)" sheetId="6" r:id="rId6"/>
    <sheet name="TR-ENECOR-01 (1)" sheetId="7" r:id="rId7"/>
    <sheet name="T4CH - Nota SE N° 2492" sheetId="8" r:id="rId8"/>
    <sheet name="SA-01 (1)" sheetId="9" r:id="rId9"/>
    <sheet name="SA-01 (2)" sheetId="10" r:id="rId10"/>
    <sheet name="SA-TIBA-01 (1)" sheetId="11" r:id="rId11"/>
    <sheet name="SA-LIMSA-01 (1)" sheetId="12" r:id="rId12"/>
    <sheet name="RE-01 (1)" sheetId="13" r:id="rId13"/>
    <sheet name="RE-Res.01_03" sheetId="14" r:id="rId14"/>
    <sheet name="RE-YACY (1)" sheetId="15" r:id="rId15"/>
    <sheet name="SUP-INTESAR" sheetId="16" r:id="rId16"/>
    <sheet name="SUP-TIBA" sheetId="17" r:id="rId17"/>
    <sheet name="SUP-ENECOR" sheetId="18" r:id="rId18"/>
    <sheet name="SUP-LIMSA" sheetId="19" r:id="rId19"/>
    <sheet name="SUP-YACYLEC" sheetId="20" r:id="rId20"/>
    <sheet name="TASA FALLA" sheetId="21" r:id="rId21"/>
  </sheets>
  <externalReferences>
    <externalReference r:id="rId24"/>
    <externalReference r:id="rId25"/>
  </externalReferences>
  <definedNames>
    <definedName name="_xlnm.Print_Area" localSheetId="17">'SUP-ENECOR'!$A$1:$AB$57</definedName>
    <definedName name="_xlnm.Print_Area" localSheetId="15">'SUP-INTESAR'!$A$1:$AD$60</definedName>
    <definedName name="_xlnm.Print_Area" localSheetId="18">'SUP-LIMSA'!$A$1:$AD$67</definedName>
    <definedName name="_xlnm.Print_Area" localSheetId="16">'SUP-TIBA'!$A$1:$W$71</definedName>
    <definedName name="_xlnm.Print_Area" localSheetId="19">'SUP-YACYLEC'!$A$1:$AD$74</definedName>
    <definedName name="_xlnm.Print_Area" localSheetId="20">'TASA FALLA'!$A$1:$V$99</definedName>
    <definedName name="DD" localSheetId="7">'T4CH - Nota SE N° 2492'!DD</definedName>
    <definedName name="DD" localSheetId="20">'TASA FALLA'!DD</definedName>
    <definedName name="DD">[0]!DD</definedName>
    <definedName name="DDD" localSheetId="7">'T4CH - Nota SE N° 2492'!DDD</definedName>
    <definedName name="DDD" localSheetId="20">'TASA FALLA'!DDD</definedName>
    <definedName name="DDD">[0]!DDD</definedName>
    <definedName name="DISTROCUYO" localSheetId="7">'T4CH - Nota SE N° 2492'!DISTROCUYO</definedName>
    <definedName name="DISTROCUYO" localSheetId="20">'TASA FALLA'!DISTROCUYO</definedName>
    <definedName name="DISTROCUYO">[0]!DISTROCUYO</definedName>
    <definedName name="FER" localSheetId="7">'T4CH - Nota SE N° 2492'!FER</definedName>
    <definedName name="FER" localSheetId="20">'TASA FALLA'!FER</definedName>
    <definedName name="FER">[0]!FER</definedName>
    <definedName name="INICIO" localSheetId="7">'T4CH - Nota SE N° 2492'!INICIO</definedName>
    <definedName name="INICIO" localSheetId="20">'TASA FALLA'!INICIO</definedName>
    <definedName name="INICIO">[0]!INICIO</definedName>
    <definedName name="INICIOTI" localSheetId="7">'T4CH - Nota SE N° 2492'!INICIOTI</definedName>
    <definedName name="INICIOTI" localSheetId="20">'TASA FALLA'!INICIOTI</definedName>
    <definedName name="INICIOTI">[0]!INICIOTI</definedName>
    <definedName name="LINEAS" localSheetId="7">'T4CH - Nota SE N° 2492'!LINEAS</definedName>
    <definedName name="LINEAS" localSheetId="20">'TASA FALLA'!LINEAS</definedName>
    <definedName name="LINEAS">[0]!LINEAS</definedName>
    <definedName name="NAME_L" localSheetId="7">'T4CH - Nota SE N° 2492'!NAME_L</definedName>
    <definedName name="NAME_L" localSheetId="20">'TASA FALLA'!NAME_L</definedName>
    <definedName name="NAME_L">[0]!NAME_L</definedName>
    <definedName name="NAME_L_TI" localSheetId="7">'T4CH - Nota SE N° 2492'!NAME_L_TI</definedName>
    <definedName name="NAME_L_TI" localSheetId="20">'TASA FALLA'!NAME_L_TI</definedName>
    <definedName name="NAME_L_TI">[0]!NAME_L_TI</definedName>
    <definedName name="TRAN" localSheetId="7">'T4CH - Nota SE N° 2492'!TRAN</definedName>
    <definedName name="TRAN" localSheetId="20">'TASA FALLA'!TRAN</definedName>
    <definedName name="TRAN">[0]!TRAN</definedName>
    <definedName name="TRANSNOA" localSheetId="7">'T4CH - Nota SE N° 2492'!TRANSNOA</definedName>
    <definedName name="TRANSNOA" localSheetId="20">'TASA FALLA'!TRANSNOA</definedName>
    <definedName name="TRANSNOA">[0]!TRANSNOA</definedName>
    <definedName name="x" localSheetId="7">'T4CH - Nota SE N° 2492'!x</definedName>
    <definedName name="x" localSheetId="20">'TASA FALLA'!x</definedName>
    <definedName name="x">[0]!x</definedName>
    <definedName name="XX" localSheetId="7">'T4CH - Nota SE N° 2492'!XX</definedName>
    <definedName name="XX" localSheetId="20">'TASA FALLA'!XX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49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3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19.xml><?xml version="1.0" encoding="utf-8"?>
<comments xmlns="http://schemas.openxmlformats.org/spreadsheetml/2006/main">
  <authors>
    <author>Ing. Juan Messina</author>
  </authors>
  <commentList>
    <comment ref="M5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6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3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<sst xmlns="http://schemas.openxmlformats.org/spreadsheetml/2006/main" count="1537" uniqueCount="325">
  <si>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</si>
  <si>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</si>
  <si>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</si>
  <si>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</si>
  <si>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</si>
  <si>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</si>
  <si>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</si>
  <si>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</si>
  <si>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</si>
  <si>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</si>
  <si>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</si>
  <si>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</si>
  <si>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</si>
  <si>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</si>
  <si>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</si>
  <si>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</si>
  <si>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</si>
  <si>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</si>
  <si>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</si>
  <si>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</si>
  <si>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</si>
  <si>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</si>
  <si>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</si>
  <si>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</si>
  <si>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</si>
  <si>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</si>
  <si>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</si>
  <si>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</si>
  <si>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</si>
  <si>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</si>
  <si>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</si>
  <si>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</si>
  <si>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</si>
  <si>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</si>
  <si>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</si>
  <si>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</si>
  <si>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</si>
  <si>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</si>
  <si>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</si>
  <si>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</si>
  <si>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</si>
  <si>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</si>
  <si>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</si>
  <si>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</si>
  <si>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</si>
  <si>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</si>
  <si>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</si>
  <si>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</si>
  <si>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</si>
  <si>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</si>
  <si>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</si>
  <si>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</si>
  <si>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YACYLEC S.A.</t>
  </si>
  <si>
    <t>Transportista Independiente ENECOR S.A.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</si>
  <si>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</si>
  <si>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</si>
  <si>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</si>
  <si>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</si>
  <si>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</si>
  <si>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</si>
  <si>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</si>
  <si>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PENALIZACION FORZADA
Por Salida      1ras 5 hs.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</si>
  <si>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</si>
  <si>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</si>
  <si>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</si>
  <si>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</si>
  <si>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</si>
  <si>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</si>
  <si>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</si>
  <si>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</si>
  <si>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</si>
  <si>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</si>
  <si>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</si>
  <si>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</si>
  <si>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</si>
  <si>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</si>
  <si>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</si>
  <si>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3.2.-  Transportista Independiente YACYLEC S.A.</t>
  </si>
  <si>
    <t>R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</si>
  <si>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</si>
  <si>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</si>
  <si>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</si>
  <si>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</si>
  <si>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</si>
  <si>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</si>
  <si>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</si>
  <si>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</si>
  <si>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</si>
  <si>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</si>
  <si>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</si>
  <si>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</si>
  <si>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</si>
  <si>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</si>
  <si>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</si>
  <si>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</si>
  <si>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</si>
  <si>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</si>
  <si>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</si>
  <si>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</si>
  <si>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</si>
  <si>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</si>
  <si>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</si>
  <si>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t>Remuneración TRANSFORMADOR    =</t>
  </si>
  <si>
    <t>$/MVA</t>
  </si>
  <si>
    <t>Remuneración SALIDA 132 kV             =</t>
  </si>
  <si>
    <t>$/hora</t>
  </si>
  <si>
    <t>TRANSFORMADOR</t>
  </si>
  <si>
    <t>POT. [MVA]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</si>
  <si>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</si>
  <si>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</si>
  <si>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</si>
  <si>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</si>
  <si>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</si>
  <si>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</si>
  <si>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</si>
  <si>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</si>
  <si>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</si>
  <si>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</si>
  <si>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</si>
  <si>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Factor X =</t>
  </si>
  <si>
    <t>Paso de la Patria Trafo 1</t>
  </si>
  <si>
    <t>500/132/33</t>
  </si>
  <si>
    <t>Paso de la Patria</t>
  </si>
  <si>
    <t>TOTAL A PENALIZAR A TRANSENER S.A POR SUPERVISIÓN A ENECOR S.A.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</si>
  <si>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</si>
  <si>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</si>
  <si>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</si>
  <si>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</si>
  <si>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</si>
  <si>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</si>
  <si>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</si>
  <si>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</si>
  <si>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</si>
  <si>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</si>
  <si>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</si>
  <si>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</si>
  <si>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ANEXO a la Resolución D.T.E.E. N°          /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</si>
  <si>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</si>
  <si>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</si>
  <si>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</si>
  <si>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</si>
  <si>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</si>
  <si>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</si>
  <si>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</si>
  <si>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</si>
  <si>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</si>
  <si>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</si>
  <si>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</si>
  <si>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SI</t>
  </si>
  <si>
    <t>TOTAL A PENALIZAR A TRANSENER S.A POR SUPERVISIÓN A INTESAR</t>
  </si>
  <si>
    <t xml:space="preserve"> 2.2.- SALIDAS</t>
  </si>
  <si>
    <t>2.1.- TRANSFORMACIÓN</t>
  </si>
  <si>
    <t>2.1.1.- Equipamiento Propio</t>
  </si>
  <si>
    <t xml:space="preserve">3.- POTENCIA REACTIVA </t>
  </si>
  <si>
    <t>3.1.1- Equipamiento propio Res. 01_03</t>
  </si>
  <si>
    <t>REM ($/h*MVAr)</t>
  </si>
  <si>
    <t>Equipamiento propio Res. ENRE 01/2003</t>
  </si>
  <si>
    <t>500/330/33</t>
  </si>
  <si>
    <t>Choele Choel - P.Madryn</t>
  </si>
  <si>
    <t>Nueva P. Madryn AT1</t>
  </si>
  <si>
    <t>Rest %</t>
  </si>
  <si>
    <t>REDUC PROGR</t>
  </si>
  <si>
    <t>Transportista Independiente INTESAR S.A.</t>
  </si>
  <si>
    <t>Remuneración LÍNEAS 220 kV              =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</si>
  <si>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</si>
  <si>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</si>
  <si>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</si>
  <si>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</si>
  <si>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</si>
  <si>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P - PROGRAMADA ;   RP - REDUCCIÓN PROGRAMADA ;   RR - REDUCCIÓN RESTANTE ;   F - FORZADA ;   R - REDUCCIÓN FORZADA ;   RF - RESTANTE FORZADA</t>
  </si>
  <si>
    <t>POT.
[MVAr]</t>
  </si>
  <si>
    <t>INDISP</t>
  </si>
  <si>
    <t>ID EQUIPO</t>
  </si>
  <si>
    <t>4.4.- Transportista Independiente LIMSA</t>
  </si>
  <si>
    <t>Mercedes - Colonia Elía</t>
  </si>
  <si>
    <t>Rincon - Mercedes</t>
  </si>
  <si>
    <t>Mercedes</t>
  </si>
  <si>
    <t>Transportista Independiente LIMSA</t>
  </si>
  <si>
    <t>(DTE 0209)</t>
  </si>
  <si>
    <t>-</t>
  </si>
  <si>
    <t>Transportista Independiene L.I.M.S.A.</t>
  </si>
  <si>
    <t>DPEC 1</t>
  </si>
  <si>
    <t>DPEC 2</t>
  </si>
  <si>
    <t>Desde el 01 al 31 de enero de 2010</t>
  </si>
  <si>
    <t>RAMALLO - ROSARIO OESTE</t>
  </si>
  <si>
    <t>C</t>
  </si>
  <si>
    <t>F</t>
  </si>
  <si>
    <t>ROSARIO OESTE - RAMALLO 2</t>
  </si>
  <si>
    <t>RAMALLO - SAN NICOLAS 1</t>
  </si>
  <si>
    <t>GRAL. RODRIGUEZ - RAMALLO</t>
  </si>
  <si>
    <t>ROSARIO OESTE - RAMALLO 1</t>
  </si>
  <si>
    <t>P</t>
  </si>
  <si>
    <t>RAMALLO - VILLA LIA  1</t>
  </si>
  <si>
    <t>COLONIA ELIA - CAMPANA</t>
  </si>
  <si>
    <t>SALTO GRANDE - SANTO TOME</t>
  </si>
  <si>
    <t>ALMAFUERTE - ROSARIO OESTE</t>
  </si>
  <si>
    <t>B</t>
  </si>
  <si>
    <t>CHO.W. - CHO. 2 (5WC2)</t>
  </si>
  <si>
    <t>CHOCON - C.H. CHOCON 1</t>
  </si>
  <si>
    <t>CHO.W. - CHO. 1 (5WC1)</t>
  </si>
  <si>
    <t>EL CHOCON</t>
  </si>
  <si>
    <t>TRAFO 4</t>
  </si>
  <si>
    <t>500/132/13,2</t>
  </si>
  <si>
    <t>RAMALLO</t>
  </si>
  <si>
    <t>EZEIZA</t>
  </si>
  <si>
    <t>TRAFO 2</t>
  </si>
  <si>
    <t>500/220/132</t>
  </si>
  <si>
    <t>MALVINAS ARGENTINAS</t>
  </si>
  <si>
    <t>CHOCON OESTE</t>
  </si>
  <si>
    <t>TRAFO 8</t>
  </si>
  <si>
    <t>LUJAN</t>
  </si>
  <si>
    <t>NUEVA CAMPANA</t>
  </si>
  <si>
    <t>T1CA</t>
  </si>
  <si>
    <t>P. DE LA PATRIA</t>
  </si>
  <si>
    <t>TRPP</t>
  </si>
  <si>
    <t>RESISTENCIA</t>
  </si>
  <si>
    <t>SALIDA LINEA CORRIENTES 1</t>
  </si>
  <si>
    <t>EL BRACHO</t>
  </si>
  <si>
    <t>SALIDA LINEA A RÍO HONDO</t>
  </si>
  <si>
    <t>SALIDA LINEA AES PARANA</t>
  </si>
  <si>
    <t>SALIDA LINEA ARGENER</t>
  </si>
  <si>
    <t>SALIDA LÍNEA A C.T. TUCUMÁN maq 1</t>
  </si>
  <si>
    <t>ROSARIO OESTE</t>
  </si>
  <si>
    <t>SALIDA LINEA A GODOY</t>
  </si>
  <si>
    <t>RECREO</t>
  </si>
  <si>
    <t>ALIMENTADOR A CATAMARCA</t>
  </si>
  <si>
    <t>CAMPANA 500</t>
  </si>
  <si>
    <t>SALIDA ACOP. BARRAS A,C</t>
  </si>
  <si>
    <t>SALIDA ACOP. BARRAS B,D</t>
  </si>
  <si>
    <t>SALIDA LINEA PILAR</t>
  </si>
  <si>
    <t>SALIDA LÍNEA A C.T. TUCUMÁN maq 3</t>
  </si>
  <si>
    <t>SALIDA LINEA STA. CATALINA</t>
  </si>
  <si>
    <t>GRAN MENDOZA</t>
  </si>
  <si>
    <t>SALIDA LINEA LOS REYUNOS</t>
  </si>
  <si>
    <t>SALIDA LINEA CHOCON</t>
  </si>
  <si>
    <t>SALIDA LINEA M. DE ABASTO</t>
  </si>
  <si>
    <t>SALIDA LINEA R.S.PEÑA 1</t>
  </si>
  <si>
    <t>SALIDA LINEA ROSARIO SUR 3</t>
  </si>
  <si>
    <t>CAMPANA</t>
  </si>
  <si>
    <t>SALIDA A SIDERCA 1</t>
  </si>
  <si>
    <t>BAHIA BLANCA</t>
  </si>
  <si>
    <t>SALIDA A COOP. P. ALTA</t>
  </si>
  <si>
    <t>SALIDA A P. LURO</t>
  </si>
  <si>
    <t>SALIDA A SIDERCA 0</t>
  </si>
  <si>
    <t>OLAVARRIA</t>
  </si>
  <si>
    <t>SALIDA A L. NEGRA</t>
  </si>
  <si>
    <t>SALIDA a Norte II</t>
  </si>
  <si>
    <t>MERCEDES</t>
  </si>
  <si>
    <t>SALIDA DPEC 1</t>
  </si>
  <si>
    <t>SALIDA DPEC 2</t>
  </si>
  <si>
    <t>CS5</t>
  </si>
  <si>
    <t>CS2</t>
  </si>
  <si>
    <t>CS1</t>
  </si>
  <si>
    <t>CS6</t>
  </si>
  <si>
    <t>CAMP CELIA</t>
  </si>
  <si>
    <t>BC1RL</t>
  </si>
  <si>
    <t>P - PROGRAMADA ;   F - FORZADA</t>
  </si>
  <si>
    <t>P - PROGRAMADA</t>
  </si>
  <si>
    <t>P - PROGRAMADA ;   F - FORZADA ;   R - REDUCCIÓN FORZADA</t>
  </si>
  <si>
    <t>P.DE LA PATRIA</t>
  </si>
  <si>
    <t>(**)</t>
  </si>
  <si>
    <t>R6L5RS</t>
  </si>
  <si>
    <t>4.1.- Transportista Independiente INTESAR S.A.</t>
  </si>
  <si>
    <t>4.2.- Transportista Independiente  TIBA S.A.</t>
  </si>
  <si>
    <t>4.3.- Transportista Independiente  ENECOR S.A.</t>
  </si>
  <si>
    <t>4.5.- Transportista Independiente YACYLEC S.A.</t>
  </si>
  <si>
    <t>RECREO - LA RIOJA SUR</t>
  </si>
  <si>
    <t>COLONIA ELÍA - M. BELGRANO</t>
  </si>
  <si>
    <t>TRAFO 1</t>
  </si>
  <si>
    <t>RF</t>
  </si>
  <si>
    <t>REDUCCIÓN RESTANTE</t>
  </si>
  <si>
    <t>Rest. %</t>
  </si>
  <si>
    <t>REDUCCION   FORZADA
Por Salida    hs. Restantes</t>
  </si>
  <si>
    <t>M. BELGRANO</t>
  </si>
  <si>
    <t>SALIDA TRAFO TV1</t>
  </si>
  <si>
    <t>SALIDA SAN NICOLAS</t>
  </si>
  <si>
    <t>1.2.- Transportista Independiente INTESAR S.A.</t>
  </si>
  <si>
    <t>2.1.2.- Transportista Independiente TIBA S.A.</t>
  </si>
  <si>
    <t>2.1.3.- Transportista Independiente ENECOR S.A.</t>
  </si>
  <si>
    <t xml:space="preserve"> 2.2.3.- Transportista Independiente LIMSA</t>
  </si>
  <si>
    <t>RAMALLO - C.T. SAN NICOLAS 1</t>
  </si>
  <si>
    <t>A</t>
  </si>
  <si>
    <t>Valores remuneratorios según - Res ENRE N° 328/08 - Res ENRE N° 327/08 - Res ENRE N° 72/09 modificada por Res. ENRE 196/09</t>
  </si>
  <si>
    <t>SISTEMA DE TRANSPORTE DE ENERGÍA ELÉCTRICA EN ALTA TENSION</t>
  </si>
  <si>
    <t>INDISPONIBILIDADES FORZADAS DE LÍNEAS - TASA DE FALLA</t>
  </si>
  <si>
    <t>Correspondiente al mes de enero de 2010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</si>
  <si>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</si>
  <si>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</si>
  <si>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</si>
  <si>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</si>
  <si>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</si>
  <si>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</si>
  <si>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</si>
  <si>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</si>
  <si>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EUIPAMIENTO CONSIDERADO EN EL EXPEDIENTE ENRE Nº 31419/2010</t>
  </si>
  <si>
    <t>EUIPAMIENTO CONSIDERADO EN EL EXPEDIENTE ENRE Nº 31348/2010</t>
  </si>
  <si>
    <t>(***)</t>
  </si>
  <si>
    <t>INDISPONIBILIDAD ELIMINADA POR CAMMESA DEL DCST DEFINITIVO</t>
  </si>
  <si>
    <t>(*)</t>
  </si>
  <si>
    <t>--</t>
  </si>
  <si>
    <t>NO</t>
  </si>
  <si>
    <t>FM</t>
  </si>
  <si>
    <t>FM - Fuerza Mayor</t>
  </si>
  <si>
    <t>K1PT</t>
  </si>
  <si>
    <t>TOTAL DE PENALIZACIONES</t>
  </si>
  <si>
    <t>RM: Por Capacitores ET Bahía Blanca:</t>
  </si>
  <si>
    <t>100 MVAr</t>
  </si>
  <si>
    <t>(*):</t>
  </si>
  <si>
    <t>Según Resolución ENRE N° 157/07</t>
  </si>
  <si>
    <t>2.1.4.- Indisponibilidad Transformador N° 4 E.T. El Chocón</t>
  </si>
  <si>
    <t>Indisp. Transformador N° 4 E.T. El Chocón</t>
  </si>
  <si>
    <t>Resistencia</t>
  </si>
  <si>
    <t xml:space="preserve">Rincón </t>
  </si>
  <si>
    <t>500/132</t>
  </si>
  <si>
    <t>(*): Según Nota S.E. N° 2492</t>
  </si>
  <si>
    <t>Valores remuneratorios "Acuerdo Instrumental del Acta Acuerdo  UNIREN  -  TRANSENER S.A."</t>
  </si>
  <si>
    <t>dte 0110</t>
  </si>
  <si>
    <t>RM=</t>
  </si>
  <si>
    <t>RM*=</t>
  </si>
  <si>
    <t>Remuneracion utilizada para el calculo de Cs</t>
  </si>
  <si>
    <t>DTE 0110</t>
  </si>
  <si>
    <t>RM* =</t>
  </si>
  <si>
    <t>Remuneración utilizada para el calculo de Cs</t>
  </si>
  <si>
    <t>Utilizada para el calculo de Cs</t>
  </si>
  <si>
    <t xml:space="preserve">ANEXO II al Memorandum D.T.E.E. N°    679       / 2011           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</si>
</sst>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[$-2C0A]hh:mm:ss\ \a\.m\./\p\.m\."/>
  </numFmts>
  <fonts count="1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b/>
      <sz val="9"/>
      <name val="Times New Roman"/>
      <family val="1"/>
    </font>
    <font>
      <b/>
      <sz val="8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6" fillId="3" borderId="14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4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3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0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68" fontId="65" fillId="6" borderId="21" xfId="0" applyNumberFormat="1" applyFont="1" applyFill="1" applyBorder="1" applyAlignment="1" applyProtection="1" quotePrefix="1">
      <alignment horizontal="center"/>
      <protection/>
    </xf>
    <xf numFmtId="168" fontId="65" fillId="6" borderId="4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45" fillId="3" borderId="19" xfId="0" applyNumberFormat="1" applyFont="1" applyFill="1" applyBorder="1" applyAlignment="1" applyProtection="1" quotePrefix="1">
      <alignment horizontal="center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7" fillId="8" borderId="14" xfId="0" applyFont="1" applyFill="1" applyBorder="1" applyAlignment="1">
      <alignment horizontal="center" vertical="center" wrapText="1"/>
    </xf>
    <xf numFmtId="0" fontId="68" fillId="9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168" fontId="37" fillId="2" borderId="21" xfId="0" applyNumberFormat="1" applyFont="1" applyFill="1" applyBorder="1" applyAlignment="1" applyProtection="1" quotePrefix="1">
      <alignment horizontal="center"/>
      <protection/>
    </xf>
    <xf numFmtId="168" fontId="37" fillId="2" borderId="22" xfId="0" applyNumberFormat="1" applyFont="1" applyFill="1" applyBorder="1" applyAlignment="1" applyProtection="1" quotePrefix="1">
      <alignment horizontal="center"/>
      <protection/>
    </xf>
    <xf numFmtId="4" fontId="37" fillId="2" borderId="4" xfId="0" applyNumberFormat="1" applyFont="1" applyFill="1" applyBorder="1" applyAlignment="1" applyProtection="1">
      <alignment horizontal="center"/>
      <protection/>
    </xf>
    <xf numFmtId="4" fontId="69" fillId="8" borderId="2" xfId="0" applyNumberFormat="1" applyFont="1" applyFill="1" applyBorder="1" applyAlignment="1" applyProtection="1">
      <alignment horizontal="center"/>
      <protection/>
    </xf>
    <xf numFmtId="4" fontId="70" fillId="9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3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7" fillId="2" borderId="21" xfId="0" applyNumberFormat="1" applyFont="1" applyFill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1" fillId="8" borderId="2" xfId="0" applyNumberFormat="1" applyFont="1" applyFill="1" applyBorder="1" applyAlignment="1" applyProtection="1">
      <alignment horizontal="center"/>
      <protection locked="0"/>
    </xf>
    <xf numFmtId="4" fontId="72" fillId="9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4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26" xfId="0" applyNumberFormat="1" applyFont="1" applyFill="1" applyBorder="1" applyAlignment="1" applyProtection="1">
      <alignment horizontal="center"/>
      <protection locked="0"/>
    </xf>
    <xf numFmtId="4" fontId="71" fillId="8" borderId="3" xfId="0" applyNumberFormat="1" applyFont="1" applyFill="1" applyBorder="1" applyAlignment="1" applyProtection="1">
      <alignment horizontal="center"/>
      <protection locked="0"/>
    </xf>
    <xf numFmtId="4" fontId="72" fillId="9" borderId="3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1" fillId="8" borderId="14" xfId="0" applyNumberFormat="1" applyFont="1" applyFill="1" applyBorder="1" applyAlignment="1" applyProtection="1">
      <alignment horizontal="center"/>
      <protection/>
    </xf>
    <xf numFmtId="2" fontId="72" fillId="9" borderId="14" xfId="0" applyNumberFormat="1" applyFont="1" applyFill="1" applyBorder="1" applyAlignment="1" applyProtection="1">
      <alignment horizontal="center"/>
      <protection/>
    </xf>
    <xf numFmtId="2" fontId="61" fillId="0" borderId="28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3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5" borderId="14" xfId="0" applyFont="1" applyFill="1" applyBorder="1" applyAlignment="1" applyProtection="1">
      <alignment horizontal="center" vertical="center"/>
      <protection/>
    </xf>
    <xf numFmtId="0" fontId="74" fillId="8" borderId="14" xfId="0" applyFont="1" applyFill="1" applyBorder="1" applyAlignment="1">
      <alignment horizontal="center" vertical="center" wrapText="1"/>
    </xf>
    <xf numFmtId="0" fontId="75" fillId="6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6" fillId="11" borderId="14" xfId="0" applyFont="1" applyFill="1" applyBorder="1" applyAlignment="1">
      <alignment horizontal="center" vertical="center" wrapText="1"/>
    </xf>
    <xf numFmtId="0" fontId="41" fillId="8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 applyProtection="1">
      <alignment horizontal="center"/>
      <protection/>
    </xf>
    <xf numFmtId="0" fontId="36" fillId="2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5" fillId="5" borderId="29" xfId="0" applyFont="1" applyFill="1" applyBorder="1" applyAlignment="1">
      <alignment horizontal="center"/>
    </xf>
    <xf numFmtId="0" fontId="76" fillId="8" borderId="29" xfId="0" applyFont="1" applyFill="1" applyBorder="1" applyAlignment="1">
      <alignment horizontal="center"/>
    </xf>
    <xf numFmtId="0" fontId="77" fillId="6" borderId="29" xfId="0" applyFont="1" applyFill="1" applyBorder="1" applyAlignment="1">
      <alignment horizontal="center"/>
    </xf>
    <xf numFmtId="0" fontId="37" fillId="2" borderId="31" xfId="0" applyFont="1" applyFill="1" applyBorder="1" applyAlignment="1">
      <alignment horizontal="center"/>
    </xf>
    <xf numFmtId="0" fontId="37" fillId="2" borderId="32" xfId="0" applyFont="1" applyFill="1" applyBorder="1" applyAlignment="1">
      <alignment horizontal="center"/>
    </xf>
    <xf numFmtId="0" fontId="78" fillId="10" borderId="33" xfId="0" applyFont="1" applyFill="1" applyBorder="1" applyAlignment="1">
      <alignment horizontal="center"/>
    </xf>
    <xf numFmtId="0" fontId="78" fillId="10" borderId="34" xfId="0" applyFont="1" applyFill="1" applyBorder="1" applyAlignment="1">
      <alignment horizontal="center"/>
    </xf>
    <xf numFmtId="0" fontId="47" fillId="11" borderId="29" xfId="0" applyFont="1" applyFill="1" applyBorder="1" applyAlignment="1">
      <alignment horizontal="center"/>
    </xf>
    <xf numFmtId="0" fontId="79" fillId="8" borderId="29" xfId="0" applyFont="1" applyFill="1" applyBorder="1" applyAlignment="1">
      <alignment horizontal="center"/>
    </xf>
    <xf numFmtId="7" fontId="10" fillId="0" borderId="3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76" fillId="8" borderId="18" xfId="0" applyFont="1" applyFill="1" applyBorder="1" applyAlignment="1">
      <alignment horizontal="center"/>
    </xf>
    <xf numFmtId="0" fontId="77" fillId="6" borderId="18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37" xfId="0" applyFont="1" applyFill="1" applyBorder="1" applyAlignment="1">
      <alignment horizontal="center"/>
    </xf>
    <xf numFmtId="0" fontId="78" fillId="10" borderId="36" xfId="0" applyFont="1" applyFill="1" applyBorder="1" applyAlignment="1">
      <alignment horizontal="center"/>
    </xf>
    <xf numFmtId="0" fontId="78" fillId="10" borderId="37" xfId="0" applyFont="1" applyFill="1" applyBorder="1" applyAlignment="1">
      <alignment horizontal="center"/>
    </xf>
    <xf numFmtId="0" fontId="47" fillId="11" borderId="18" xfId="0" applyFont="1" applyFill="1" applyBorder="1" applyAlignment="1">
      <alignment horizontal="center"/>
    </xf>
    <xf numFmtId="0" fontId="79" fillId="8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5" fillId="5" borderId="2" xfId="0" applyNumberFormat="1" applyFont="1" applyFill="1" applyBorder="1" applyAlignment="1" applyProtection="1">
      <alignment horizontal="center"/>
      <protection/>
    </xf>
    <xf numFmtId="2" fontId="76" fillId="8" borderId="2" xfId="0" applyNumberFormat="1" applyFont="1" applyFill="1" applyBorder="1" applyAlignment="1">
      <alignment horizontal="center"/>
    </xf>
    <xf numFmtId="2" fontId="77" fillId="6" borderId="2" xfId="0" applyNumberFormat="1" applyFont="1" applyFill="1" applyBorder="1" applyAlignment="1">
      <alignment horizontal="center"/>
    </xf>
    <xf numFmtId="168" fontId="37" fillId="2" borderId="36" xfId="0" applyNumberFormat="1" applyFont="1" applyFill="1" applyBorder="1" applyAlignment="1" applyProtection="1" quotePrefix="1">
      <alignment horizontal="center"/>
      <protection/>
    </xf>
    <xf numFmtId="168" fontId="37" fillId="2" borderId="37" xfId="0" applyNumberFormat="1" applyFont="1" applyFill="1" applyBorder="1" applyAlignment="1" applyProtection="1" quotePrefix="1">
      <alignment horizontal="center"/>
      <protection/>
    </xf>
    <xf numFmtId="168" fontId="78" fillId="10" borderId="36" xfId="0" applyNumberFormat="1" applyFont="1" applyFill="1" applyBorder="1" applyAlignment="1" applyProtection="1" quotePrefix="1">
      <alignment horizontal="center"/>
      <protection/>
    </xf>
    <xf numFmtId="168" fontId="78" fillId="10" borderId="37" xfId="0" applyNumberFormat="1" applyFont="1" applyFill="1" applyBorder="1" applyAlignment="1" applyProtection="1" quotePrefix="1">
      <alignment horizontal="center"/>
      <protection/>
    </xf>
    <xf numFmtId="168" fontId="47" fillId="11" borderId="2" xfId="0" applyNumberFormat="1" applyFont="1" applyFill="1" applyBorder="1" applyAlignment="1" applyProtection="1" quotePrefix="1">
      <alignment horizontal="center"/>
      <protection/>
    </xf>
    <xf numFmtId="168" fontId="79" fillId="8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5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38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5" fillId="5" borderId="3" xfId="0" applyNumberFormat="1" applyFont="1" applyFill="1" applyBorder="1" applyAlignment="1" applyProtection="1">
      <alignment horizontal="center"/>
      <protection/>
    </xf>
    <xf numFmtId="2" fontId="76" fillId="8" borderId="3" xfId="0" applyNumberFormat="1" applyFont="1" applyFill="1" applyBorder="1" applyAlignment="1">
      <alignment horizontal="center"/>
    </xf>
    <xf numFmtId="2" fontId="77" fillId="6" borderId="3" xfId="0" applyNumberFormat="1" applyFont="1" applyFill="1" applyBorder="1" applyAlignment="1">
      <alignment horizontal="center"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37" fillId="2" borderId="40" xfId="0" applyNumberFormat="1" applyFont="1" applyFill="1" applyBorder="1" applyAlignment="1" applyProtection="1" quotePrefix="1">
      <alignment horizontal="center"/>
      <protection/>
    </xf>
    <xf numFmtId="168" fontId="78" fillId="10" borderId="24" xfId="0" applyNumberFormat="1" applyFont="1" applyFill="1" applyBorder="1" applyAlignment="1" applyProtection="1" quotePrefix="1">
      <alignment horizontal="center"/>
      <protection/>
    </xf>
    <xf numFmtId="168" fontId="78" fillId="10" borderId="26" xfId="0" applyNumberFormat="1" applyFont="1" applyFill="1" applyBorder="1" applyAlignment="1" applyProtection="1" quotePrefix="1">
      <alignment horizontal="center"/>
      <protection/>
    </xf>
    <xf numFmtId="168" fontId="47" fillId="11" borderId="3" xfId="0" applyNumberFormat="1" applyFont="1" applyFill="1" applyBorder="1" applyAlignment="1" applyProtection="1" quotePrefix="1">
      <alignment horizontal="center"/>
      <protection/>
    </xf>
    <xf numFmtId="168" fontId="79" fillId="8" borderId="3" xfId="0" applyNumberFormat="1" applyFont="1" applyFill="1" applyBorder="1" applyAlignment="1" applyProtection="1" quotePrefix="1">
      <alignment horizontal="center"/>
      <protection/>
    </xf>
    <xf numFmtId="168" fontId="66" fillId="0" borderId="19" xfId="0" applyNumberFormat="1" applyFont="1" applyFill="1" applyBorder="1" applyAlignment="1">
      <alignment horizontal="center"/>
    </xf>
    <xf numFmtId="168" fontId="28" fillId="0" borderId="41" xfId="0" applyNumberFormat="1" applyFont="1" applyFill="1" applyBorder="1" applyAlignment="1">
      <alignment horizontal="center"/>
    </xf>
    <xf numFmtId="4" fontId="76" fillId="8" borderId="14" xfId="0" applyNumberFormat="1" applyFont="1" applyFill="1" applyBorder="1" applyAlignment="1">
      <alignment horizontal="center"/>
    </xf>
    <xf numFmtId="4" fontId="77" fillId="6" borderId="14" xfId="0" applyNumberFormat="1" applyFont="1" applyFill="1" applyBorder="1" applyAlignment="1">
      <alignment horizontal="center"/>
    </xf>
    <xf numFmtId="4" fontId="37" fillId="2" borderId="42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8" fillId="10" borderId="42" xfId="0" applyNumberFormat="1" applyFont="1" applyFill="1" applyBorder="1" applyAlignment="1">
      <alignment horizontal="center"/>
    </xf>
    <xf numFmtId="4" fontId="78" fillId="10" borderId="43" xfId="0" applyNumberFormat="1" applyFont="1" applyFill="1" applyBorder="1" applyAlignment="1">
      <alignment horizontal="center"/>
    </xf>
    <xf numFmtId="4" fontId="47" fillId="11" borderId="14" xfId="0" applyNumberFormat="1" applyFont="1" applyFill="1" applyBorder="1" applyAlignment="1">
      <alignment horizontal="center"/>
    </xf>
    <xf numFmtId="4" fontId="79" fillId="8" borderId="14" xfId="0" applyNumberFormat="1" applyFont="1" applyFill="1" applyBorder="1" applyAlignment="1">
      <alignment horizontal="center"/>
    </xf>
    <xf numFmtId="7" fontId="80" fillId="0" borderId="14" xfId="0" applyNumberFormat="1" applyFont="1" applyFill="1" applyBorder="1" applyAlignment="1">
      <alignment horizontal="right"/>
    </xf>
    <xf numFmtId="0" fontId="36" fillId="2" borderId="44" xfId="0" applyFont="1" applyFill="1" applyBorder="1" applyAlignment="1">
      <alignment horizontal="center"/>
    </xf>
    <xf numFmtId="2" fontId="76" fillId="8" borderId="3" xfId="0" applyNumberFormat="1" applyFont="1" applyFill="1" applyBorder="1" applyAlignment="1" applyProtection="1">
      <alignment horizontal="center"/>
      <protection locked="0"/>
    </xf>
    <xf numFmtId="2" fontId="77" fillId="6" borderId="3" xfId="0" applyNumberFormat="1" applyFont="1" applyFill="1" applyBorder="1" applyAlignment="1" applyProtection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37" fillId="2" borderId="40" xfId="0" applyNumberFormat="1" applyFont="1" applyFill="1" applyBorder="1" applyAlignment="1" applyProtection="1" quotePrefix="1">
      <alignment horizontal="center"/>
      <protection locked="0"/>
    </xf>
    <xf numFmtId="168" fontId="78" fillId="10" borderId="24" xfId="0" applyNumberFormat="1" applyFont="1" applyFill="1" applyBorder="1" applyAlignment="1" applyProtection="1" quotePrefix="1">
      <alignment horizontal="center"/>
      <protection locked="0"/>
    </xf>
    <xf numFmtId="168" fontId="78" fillId="10" borderId="26" xfId="0" applyNumberFormat="1" applyFont="1" applyFill="1" applyBorder="1" applyAlignment="1" applyProtection="1" quotePrefix="1">
      <alignment horizontal="center"/>
      <protection locked="0"/>
    </xf>
    <xf numFmtId="168" fontId="47" fillId="11" borderId="3" xfId="0" applyNumberFormat="1" applyFont="1" applyFill="1" applyBorder="1" applyAlignment="1" applyProtection="1" quotePrefix="1">
      <alignment horizontal="center"/>
      <protection locked="0"/>
    </xf>
    <xf numFmtId="168" fontId="79" fillId="8" borderId="3" xfId="0" applyNumberFormat="1" applyFont="1" applyFill="1" applyBorder="1" applyAlignment="1" applyProtection="1" quotePrefix="1">
      <alignment horizontal="center"/>
      <protection locked="0"/>
    </xf>
    <xf numFmtId="168" fontId="66" fillId="0" borderId="19" xfId="0" applyNumberFormat="1" applyFont="1" applyFill="1" applyBorder="1" applyAlignment="1" applyProtection="1">
      <alignment horizontal="center"/>
      <protection locked="0"/>
    </xf>
    <xf numFmtId="164" fontId="45" fillId="5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5" fillId="4" borderId="17" xfId="0" applyFont="1" applyFill="1" applyBorder="1" applyAlignment="1" applyProtection="1">
      <alignment horizontal="center"/>
      <protection/>
    </xf>
    <xf numFmtId="0" fontId="78" fillId="10" borderId="17" xfId="0" applyFont="1" applyFill="1" applyBorder="1" applyAlignment="1" applyProtection="1">
      <alignment horizontal="center"/>
      <protection/>
    </xf>
    <xf numFmtId="168" fontId="65" fillId="6" borderId="31" xfId="0" applyNumberFormat="1" applyFont="1" applyFill="1" applyBorder="1" applyAlignment="1" applyProtection="1" quotePrefix="1">
      <alignment horizontal="center"/>
      <protection/>
    </xf>
    <xf numFmtId="168" fontId="65" fillId="6" borderId="32" xfId="0" applyNumberFormat="1" applyFont="1" applyFill="1" applyBorder="1" applyAlignment="1" applyProtection="1" quotePrefix="1">
      <alignment horizontal="center"/>
      <protection/>
    </xf>
    <xf numFmtId="168" fontId="44" fillId="3" borderId="17" xfId="0" applyNumberFormat="1" applyFont="1" applyFill="1" applyBorder="1" applyAlignment="1" applyProtection="1" quotePrefix="1">
      <alignment horizontal="center"/>
      <protection/>
    </xf>
    <xf numFmtId="7" fontId="81" fillId="0" borderId="2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36" fillId="2" borderId="20" xfId="0" applyFont="1" applyFill="1" applyBorder="1" applyAlignment="1" applyProtection="1">
      <alignment horizontal="center"/>
      <protection/>
    </xf>
    <xf numFmtId="0" fontId="45" fillId="4" borderId="2" xfId="0" applyFont="1" applyFill="1" applyBorder="1" applyAlignment="1" applyProtection="1">
      <alignment horizontal="center"/>
      <protection/>
    </xf>
    <xf numFmtId="0" fontId="78" fillId="10" borderId="2" xfId="0" applyFont="1" applyFill="1" applyBorder="1" applyAlignment="1" applyProtection="1">
      <alignment horizontal="center"/>
      <protection/>
    </xf>
    <xf numFmtId="168" fontId="65" fillId="6" borderId="45" xfId="0" applyNumberFormat="1" applyFont="1" applyFill="1" applyBorder="1" applyAlignment="1" applyProtection="1" quotePrefix="1">
      <alignment horizontal="center"/>
      <protection/>
    </xf>
    <xf numFmtId="168" fontId="44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5" fillId="4" borderId="3" xfId="0" applyNumberFormat="1" applyFont="1" applyFill="1" applyBorder="1" applyAlignment="1" applyProtection="1">
      <alignment horizontal="center"/>
      <protection locked="0"/>
    </xf>
    <xf numFmtId="2" fontId="78" fillId="10" borderId="3" xfId="0" applyNumberFormat="1" applyFont="1" applyFill="1" applyBorder="1" applyAlignment="1" applyProtection="1">
      <alignment horizontal="center"/>
      <protection locked="0"/>
    </xf>
    <xf numFmtId="168" fontId="65" fillId="6" borderId="24" xfId="0" applyNumberFormat="1" applyFont="1" applyFill="1" applyBorder="1" applyAlignment="1" applyProtection="1" quotePrefix="1">
      <alignment horizontal="center"/>
      <protection locked="0"/>
    </xf>
    <xf numFmtId="168" fontId="65" fillId="6" borderId="26" xfId="0" applyNumberFormat="1" applyFont="1" applyFill="1" applyBorder="1" applyAlignment="1" applyProtection="1" quotePrefix="1">
      <alignment horizontal="center"/>
      <protection locked="0"/>
    </xf>
    <xf numFmtId="7" fontId="28" fillId="0" borderId="27" xfId="0" applyNumberFormat="1" applyFont="1" applyFill="1" applyBorder="1" applyAlignment="1">
      <alignment horizontal="right"/>
    </xf>
    <xf numFmtId="4" fontId="78" fillId="10" borderId="14" xfId="0" applyNumberFormat="1" applyFont="1" applyFill="1" applyBorder="1" applyAlignment="1">
      <alignment horizontal="center"/>
    </xf>
    <xf numFmtId="4" fontId="65" fillId="6" borderId="42" xfId="0" applyNumberFormat="1" applyFont="1" applyFill="1" applyBorder="1" applyAlignment="1">
      <alignment horizontal="center"/>
    </xf>
    <xf numFmtId="4" fontId="65" fillId="6" borderId="43" xfId="0" applyNumberFormat="1" applyFont="1" applyFill="1" applyBorder="1" applyAlignment="1">
      <alignment horizontal="center"/>
    </xf>
    <xf numFmtId="4" fontId="44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8" fillId="8" borderId="14" xfId="0" applyFont="1" applyFill="1" applyBorder="1" applyAlignment="1">
      <alignment horizontal="center" vertical="center" wrapText="1"/>
    </xf>
    <xf numFmtId="0" fontId="46" fillId="12" borderId="8" xfId="0" applyFont="1" applyFill="1" applyBorder="1" applyAlignment="1" applyProtection="1">
      <alignment horizontal="centerContinuous" vertical="center" wrapText="1"/>
      <protection/>
    </xf>
    <xf numFmtId="0" fontId="46" fillId="12" borderId="9" xfId="0" applyFont="1" applyFill="1" applyBorder="1" applyAlignment="1">
      <alignment horizontal="centerContinuous" vertical="center"/>
    </xf>
    <xf numFmtId="0" fontId="49" fillId="6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2" fillId="8" borderId="29" xfId="0" applyFont="1" applyFill="1" applyBorder="1" applyAlignment="1">
      <alignment horizontal="center"/>
    </xf>
    <xf numFmtId="0" fontId="47" fillId="12" borderId="31" xfId="0" applyFont="1" applyFill="1" applyBorder="1" applyAlignment="1">
      <alignment horizontal="center"/>
    </xf>
    <xf numFmtId="0" fontId="47" fillId="12" borderId="32" xfId="0" applyFont="1" applyFill="1" applyBorder="1" applyAlignment="1">
      <alignment horizontal="center"/>
    </xf>
    <xf numFmtId="0" fontId="50" fillId="6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7" fontId="29" fillId="0" borderId="29" xfId="0" applyNumberFormat="1" applyFont="1" applyFill="1" applyBorder="1" applyAlignment="1">
      <alignment horizontal="center"/>
    </xf>
    <xf numFmtId="0" fontId="12" fillId="0" borderId="23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6" fillId="2" borderId="18" xfId="0" applyNumberFormat="1" applyFont="1" applyFill="1" applyBorder="1" applyAlignment="1" applyProtection="1">
      <alignment horizontal="center"/>
      <protection/>
    </xf>
    <xf numFmtId="22" fontId="7" fillId="0" borderId="36" xfId="0" applyNumberFormat="1" applyFont="1" applyBorder="1" applyAlignment="1">
      <alignment horizontal="center"/>
    </xf>
    <xf numFmtId="22" fontId="7" fillId="0" borderId="4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6" fillId="2" borderId="23" xfId="0" applyNumberFormat="1" applyFont="1" applyFill="1" applyBorder="1" applyAlignment="1" applyProtection="1">
      <alignment horizontal="center"/>
      <protection/>
    </xf>
    <xf numFmtId="2" fontId="82" fillId="8" borderId="18" xfId="0" applyNumberFormat="1" applyFont="1" applyFill="1" applyBorder="1" applyAlignment="1">
      <alignment horizontal="center"/>
    </xf>
    <xf numFmtId="168" fontId="47" fillId="12" borderId="36" xfId="0" applyNumberFormat="1" applyFont="1" applyFill="1" applyBorder="1" applyAlignment="1" applyProtection="1" quotePrefix="1">
      <alignment horizontal="center"/>
      <protection/>
    </xf>
    <xf numFmtId="168" fontId="47" fillId="12" borderId="37" xfId="0" applyNumberFormat="1" applyFont="1" applyFill="1" applyBorder="1" applyAlignment="1" applyProtection="1" quotePrefix="1">
      <alignment horizontal="center"/>
      <protection/>
    </xf>
    <xf numFmtId="168" fontId="50" fillId="6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9" xfId="0" applyNumberFormat="1" applyFont="1" applyFill="1" applyBorder="1" applyAlignment="1" applyProtection="1">
      <alignment horizontal="center"/>
      <protection locked="0"/>
    </xf>
    <xf numFmtId="2" fontId="7" fillId="0" borderId="50" xfId="0" applyNumberFormat="1" applyFont="1" applyFill="1" applyBorder="1" applyAlignment="1" applyProtection="1" quotePrefix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51" xfId="0" applyNumberFormat="1" applyFont="1" applyFill="1" applyBorder="1" applyAlignment="1" applyProtection="1">
      <alignment horizontal="center"/>
      <protection locked="0"/>
    </xf>
    <xf numFmtId="2" fontId="82" fillId="8" borderId="3" xfId="0" applyNumberFormat="1" applyFont="1" applyFill="1" applyBorder="1" applyAlignment="1" applyProtection="1">
      <alignment horizontal="center"/>
      <protection locked="0"/>
    </xf>
    <xf numFmtId="168" fontId="47" fillId="12" borderId="39" xfId="0" applyNumberFormat="1" applyFont="1" applyFill="1" applyBorder="1" applyAlignment="1" applyProtection="1" quotePrefix="1">
      <alignment horizontal="center"/>
      <protection locked="0"/>
    </xf>
    <xf numFmtId="168" fontId="47" fillId="12" borderId="40" xfId="0" applyNumberFormat="1" applyFont="1" applyFill="1" applyBorder="1" applyAlignment="1" applyProtection="1" quotePrefix="1">
      <alignment horizontal="center"/>
      <protection locked="0"/>
    </xf>
    <xf numFmtId="168" fontId="50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7" xfId="0" applyNumberFormat="1" applyFont="1" applyFill="1" applyBorder="1" applyAlignment="1">
      <alignment horizontal="center"/>
    </xf>
    <xf numFmtId="4" fontId="82" fillId="8" borderId="14" xfId="0" applyNumberFormat="1" applyFont="1" applyFill="1" applyBorder="1" applyAlignment="1">
      <alignment horizontal="center"/>
    </xf>
    <xf numFmtId="4" fontId="47" fillId="12" borderId="42" xfId="0" applyNumberFormat="1" applyFont="1" applyFill="1" applyBorder="1" applyAlignment="1">
      <alignment horizontal="center"/>
    </xf>
    <xf numFmtId="4" fontId="47" fillId="12" borderId="9" xfId="0" applyNumberFormat="1" applyFont="1" applyFill="1" applyBorder="1" applyAlignment="1">
      <alignment horizontal="center"/>
    </xf>
    <xf numFmtId="4" fontId="50" fillId="6" borderId="14" xfId="0" applyNumberFormat="1" applyFont="1" applyFill="1" applyBorder="1" applyAlignment="1">
      <alignment horizontal="center"/>
    </xf>
    <xf numFmtId="0" fontId="7" fillId="0" borderId="52" xfId="0" applyFont="1" applyBorder="1" applyAlignment="1">
      <alignment/>
    </xf>
    <xf numFmtId="168" fontId="7" fillId="0" borderId="48" xfId="0" applyNumberFormat="1" applyFont="1" applyBorder="1" applyAlignment="1" applyProtection="1">
      <alignment horizontal="center"/>
      <protection/>
    </xf>
    <xf numFmtId="0" fontId="83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3" xfId="0" applyNumberFormat="1" applyFont="1" applyBorder="1" applyAlignment="1">
      <alignment horizontal="center"/>
    </xf>
    <xf numFmtId="0" fontId="86" fillId="0" borderId="0" xfId="0" applyFont="1" applyFill="1" applyAlignment="1">
      <alignment/>
    </xf>
    <xf numFmtId="0" fontId="87" fillId="0" borderId="0" xfId="0" applyFont="1" applyAlignment="1">
      <alignment horizontal="centerContinuous"/>
    </xf>
    <xf numFmtId="0" fontId="86" fillId="0" borderId="0" xfId="0" applyFont="1" applyAlignment="1">
      <alignment horizontal="centerContinuous"/>
    </xf>
    <xf numFmtId="0" fontId="86" fillId="0" borderId="0" xfId="0" applyFont="1" applyAlignment="1">
      <alignment/>
    </xf>
    <xf numFmtId="0" fontId="23" fillId="0" borderId="0" xfId="0" applyFont="1" applyAlignment="1">
      <alignment/>
    </xf>
    <xf numFmtId="0" fontId="88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9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8" fillId="13" borderId="14" xfId="0" applyFont="1" applyFill="1" applyBorder="1" applyAlignment="1">
      <alignment horizontal="center" vertical="center" wrapText="1"/>
    </xf>
    <xf numFmtId="0" fontId="90" fillId="3" borderId="8" xfId="0" applyFont="1" applyFill="1" applyBorder="1" applyAlignment="1" applyProtection="1">
      <alignment horizontal="centerContinuous" vertical="center" wrapText="1"/>
      <protection/>
    </xf>
    <xf numFmtId="0" fontId="91" fillId="3" borderId="15" xfId="0" applyFont="1" applyFill="1" applyBorder="1" applyAlignment="1">
      <alignment horizontal="centerContinuous"/>
    </xf>
    <xf numFmtId="0" fontId="90" fillId="3" borderId="9" xfId="0" applyFont="1" applyFill="1" applyBorder="1" applyAlignment="1">
      <alignment horizontal="centerContinuous" vertical="center"/>
    </xf>
    <xf numFmtId="0" fontId="42" fillId="14" borderId="8" xfId="0" applyFont="1" applyFill="1" applyBorder="1" applyAlignment="1">
      <alignment horizontal="centerContinuous" vertical="center" wrapText="1"/>
    </xf>
    <xf numFmtId="0" fontId="43" fillId="14" borderId="15" xfId="0" applyFont="1" applyFill="1" applyBorder="1" applyAlignment="1">
      <alignment horizontal="centerContinuous"/>
    </xf>
    <xf numFmtId="0" fontId="42" fillId="14" borderId="9" xfId="0" applyFont="1" applyFill="1" applyBorder="1" applyAlignment="1">
      <alignment horizontal="centerContinuous" vertical="center"/>
    </xf>
    <xf numFmtId="0" fontId="42" fillId="8" borderId="14" xfId="0" applyFont="1" applyFill="1" applyBorder="1" applyAlignment="1">
      <alignment horizontal="centerContinuous" vertical="center" wrapText="1"/>
    </xf>
    <xf numFmtId="0" fontId="42" fillId="15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92" fillId="2" borderId="17" xfId="0" applyNumberFormat="1" applyFont="1" applyFill="1" applyBorder="1" applyAlignment="1" applyProtection="1">
      <alignment horizontal="center"/>
      <protection/>
    </xf>
    <xf numFmtId="0" fontId="93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44" fillId="5" borderId="17" xfId="0" applyFont="1" applyFill="1" applyBorder="1" applyAlignment="1">
      <alignment horizontal="center"/>
    </xf>
    <xf numFmtId="0" fontId="82" fillId="13" borderId="17" xfId="0" applyFont="1" applyFill="1" applyBorder="1" applyAlignment="1">
      <alignment horizontal="center"/>
    </xf>
    <xf numFmtId="168" fontId="94" fillId="3" borderId="31" xfId="0" applyNumberFormat="1" applyFont="1" applyFill="1" applyBorder="1" applyAlignment="1" applyProtection="1" quotePrefix="1">
      <alignment horizontal="center"/>
      <protection/>
    </xf>
    <xf numFmtId="168" fontId="94" fillId="3" borderId="54" xfId="0" applyNumberFormat="1" applyFont="1" applyFill="1" applyBorder="1" applyAlignment="1" applyProtection="1" quotePrefix="1">
      <alignment horizontal="center"/>
      <protection/>
    </xf>
    <xf numFmtId="4" fontId="94" fillId="3" borderId="55" xfId="0" applyNumberFormat="1" applyFont="1" applyFill="1" applyBorder="1" applyAlignment="1" applyProtection="1">
      <alignment horizontal="center"/>
      <protection/>
    </xf>
    <xf numFmtId="168" fontId="44" fillId="14" borderId="31" xfId="0" applyNumberFormat="1" applyFont="1" applyFill="1" applyBorder="1" applyAlignment="1" applyProtection="1" quotePrefix="1">
      <alignment horizontal="center"/>
      <protection/>
    </xf>
    <xf numFmtId="168" fontId="44" fillId="14" borderId="54" xfId="0" applyNumberFormat="1" applyFont="1" applyFill="1" applyBorder="1" applyAlignment="1" applyProtection="1" quotePrefix="1">
      <alignment horizontal="center"/>
      <protection/>
    </xf>
    <xf numFmtId="4" fontId="44" fillId="14" borderId="55" xfId="0" applyNumberFormat="1" applyFont="1" applyFill="1" applyBorder="1" applyAlignment="1" applyProtection="1">
      <alignment horizontal="center"/>
      <protection/>
    </xf>
    <xf numFmtId="4" fontId="44" fillId="8" borderId="17" xfId="0" applyNumberFormat="1" applyFont="1" applyFill="1" applyBorder="1" applyAlignment="1" applyProtection="1">
      <alignment horizontal="center"/>
      <protection/>
    </xf>
    <xf numFmtId="4" fontId="44" fillId="15" borderId="17" xfId="0" applyNumberFormat="1" applyFont="1" applyFill="1" applyBorder="1" applyAlignment="1" applyProtection="1">
      <alignment horizontal="center"/>
      <protection/>
    </xf>
    <xf numFmtId="0" fontId="7" fillId="0" borderId="55" xfId="0" applyFont="1" applyBorder="1" applyAlignment="1">
      <alignment horizontal="left"/>
    </xf>
    <xf numFmtId="0" fontId="10" fillId="0" borderId="55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92" fillId="2" borderId="2" xfId="0" applyFont="1" applyFill="1" applyBorder="1" applyAlignment="1" applyProtection="1">
      <alignment horizontal="center"/>
      <protection/>
    </xf>
    <xf numFmtId="168" fontId="93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4" fillId="5" borderId="2" xfId="0" applyNumberFormat="1" applyFont="1" applyFill="1" applyBorder="1" applyAlignment="1" applyProtection="1">
      <alignment horizontal="center"/>
      <protection/>
    </xf>
    <xf numFmtId="2" fontId="82" fillId="13" borderId="2" xfId="0" applyNumberFormat="1" applyFont="1" applyFill="1" applyBorder="1" applyAlignment="1" applyProtection="1">
      <alignment horizontal="center"/>
      <protection/>
    </xf>
    <xf numFmtId="168" fontId="94" fillId="3" borderId="21" xfId="0" applyNumberFormat="1" applyFont="1" applyFill="1" applyBorder="1" applyAlignment="1" applyProtection="1" quotePrefix="1">
      <alignment horizontal="center"/>
      <protection/>
    </xf>
    <xf numFmtId="168" fontId="94" fillId="3" borderId="22" xfId="0" applyNumberFormat="1" applyFont="1" applyFill="1" applyBorder="1" applyAlignment="1" applyProtection="1" quotePrefix="1">
      <alignment horizontal="center"/>
      <protection/>
    </xf>
    <xf numFmtId="4" fontId="94" fillId="3" borderId="4" xfId="0" applyNumberFormat="1" applyFont="1" applyFill="1" applyBorder="1" applyAlignment="1" applyProtection="1">
      <alignment horizontal="center"/>
      <protection/>
    </xf>
    <xf numFmtId="168" fontId="44" fillId="14" borderId="21" xfId="0" applyNumberFormat="1" applyFont="1" applyFill="1" applyBorder="1" applyAlignment="1" applyProtection="1" quotePrefix="1">
      <alignment horizontal="center"/>
      <protection/>
    </xf>
    <xf numFmtId="168" fontId="44" fillId="14" borderId="22" xfId="0" applyNumberFormat="1" applyFont="1" applyFill="1" applyBorder="1" applyAlignment="1" applyProtection="1" quotePrefix="1">
      <alignment horizontal="center"/>
      <protection/>
    </xf>
    <xf numFmtId="4" fontId="44" fillId="14" borderId="4" xfId="0" applyNumberFormat="1" applyFont="1" applyFill="1" applyBorder="1" applyAlignment="1" applyProtection="1">
      <alignment horizontal="center"/>
      <protection/>
    </xf>
    <xf numFmtId="4" fontId="44" fillId="8" borderId="2" xfId="0" applyNumberFormat="1" applyFont="1" applyFill="1" applyBorder="1" applyAlignment="1" applyProtection="1">
      <alignment horizontal="center"/>
      <protection/>
    </xf>
    <xf numFmtId="4" fontId="44" fillId="15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95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92" fillId="2" borderId="3" xfId="0" applyNumberFormat="1" applyFont="1" applyFill="1" applyBorder="1" applyAlignment="1" applyProtection="1">
      <alignment horizontal="center"/>
      <protection/>
    </xf>
    <xf numFmtId="168" fontId="93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4" fillId="5" borderId="3" xfId="0" applyNumberFormat="1" applyFont="1" applyFill="1" applyBorder="1" applyAlignment="1" applyProtection="1">
      <alignment horizontal="center"/>
      <protection/>
    </xf>
    <xf numFmtId="2" fontId="82" fillId="13" borderId="3" xfId="0" applyNumberFormat="1" applyFont="1" applyFill="1" applyBorder="1" applyAlignment="1" applyProtection="1">
      <alignment horizontal="center"/>
      <protection/>
    </xf>
    <xf numFmtId="168" fontId="94" fillId="3" borderId="24" xfId="0" applyNumberFormat="1" applyFont="1" applyFill="1" applyBorder="1" applyAlignment="1" applyProtection="1" quotePrefix="1">
      <alignment horizontal="center"/>
      <protection/>
    </xf>
    <xf numFmtId="168" fontId="94" fillId="3" borderId="56" xfId="0" applyNumberFormat="1" applyFont="1" applyFill="1" applyBorder="1" applyAlignment="1" applyProtection="1" quotePrefix="1">
      <alignment horizontal="center"/>
      <protection/>
    </xf>
    <xf numFmtId="4" fontId="94" fillId="3" borderId="19" xfId="0" applyNumberFormat="1" applyFont="1" applyFill="1" applyBorder="1" applyAlignment="1" applyProtection="1">
      <alignment horizontal="center"/>
      <protection/>
    </xf>
    <xf numFmtId="168" fontId="44" fillId="14" borderId="24" xfId="0" applyNumberFormat="1" applyFont="1" applyFill="1" applyBorder="1" applyAlignment="1" applyProtection="1" quotePrefix="1">
      <alignment horizontal="center"/>
      <protection/>
    </xf>
    <xf numFmtId="168" fontId="44" fillId="14" borderId="56" xfId="0" applyNumberFormat="1" applyFont="1" applyFill="1" applyBorder="1" applyAlignment="1" applyProtection="1" quotePrefix="1">
      <alignment horizontal="center"/>
      <protection/>
    </xf>
    <xf numFmtId="4" fontId="44" fillId="14" borderId="19" xfId="0" applyNumberFormat="1" applyFont="1" applyFill="1" applyBorder="1" applyAlignment="1" applyProtection="1">
      <alignment horizontal="center"/>
      <protection/>
    </xf>
    <xf numFmtId="4" fontId="44" fillId="8" borderId="3" xfId="0" applyNumberFormat="1" applyFont="1" applyFill="1" applyBorder="1" applyAlignment="1" applyProtection="1">
      <alignment horizontal="center"/>
      <protection/>
    </xf>
    <xf numFmtId="4" fontId="44" fillId="15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95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3" fillId="5" borderId="14" xfId="0" applyNumberFormat="1" applyFont="1" applyFill="1" applyBorder="1" applyAlignment="1" applyProtection="1">
      <alignment horizontal="center"/>
      <protection/>
    </xf>
    <xf numFmtId="2" fontId="80" fillId="13" borderId="14" xfId="0" applyNumberFormat="1" applyFont="1" applyFill="1" applyBorder="1" applyAlignment="1" applyProtection="1">
      <alignment horizontal="center"/>
      <protection/>
    </xf>
    <xf numFmtId="2" fontId="96" fillId="3" borderId="14" xfId="0" applyNumberFormat="1" applyFont="1" applyFill="1" applyBorder="1" applyAlignment="1" applyProtection="1">
      <alignment horizontal="center"/>
      <protection/>
    </xf>
    <xf numFmtId="2" fontId="93" fillId="14" borderId="14" xfId="0" applyNumberFormat="1" applyFont="1" applyFill="1" applyBorder="1" applyAlignment="1" applyProtection="1">
      <alignment horizontal="center"/>
      <protection/>
    </xf>
    <xf numFmtId="2" fontId="93" fillId="8" borderId="14" xfId="0" applyNumberFormat="1" applyFont="1" applyFill="1" applyBorder="1" applyAlignment="1" applyProtection="1">
      <alignment horizontal="center"/>
      <protection/>
    </xf>
    <xf numFmtId="2" fontId="93" fillId="15" borderId="14" xfId="0" applyNumberFormat="1" applyFont="1" applyFill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93" fillId="0" borderId="15" xfId="0" applyNumberFormat="1" applyFont="1" applyFill="1" applyBorder="1" applyAlignment="1" applyProtection="1">
      <alignment horizontal="center"/>
      <protection/>
    </xf>
    <xf numFmtId="2" fontId="80" fillId="0" borderId="15" xfId="0" applyNumberFormat="1" applyFont="1" applyFill="1" applyBorder="1" applyAlignment="1" applyProtection="1">
      <alignment horizontal="center"/>
      <protection/>
    </xf>
    <xf numFmtId="2" fontId="96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6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2" fillId="17" borderId="14" xfId="0" applyFont="1" applyFill="1" applyBorder="1" applyAlignment="1">
      <alignment horizontal="center" vertical="center" wrapText="1"/>
    </xf>
    <xf numFmtId="0" fontId="42" fillId="18" borderId="8" xfId="0" applyFont="1" applyFill="1" applyBorder="1" applyAlignment="1" applyProtection="1">
      <alignment horizontal="centerContinuous" vertical="center" wrapText="1"/>
      <protection/>
    </xf>
    <xf numFmtId="0" fontId="42" fillId="18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0" fontId="42" fillId="16" borderId="57" xfId="0" applyFont="1" applyFill="1" applyBorder="1" applyAlignment="1">
      <alignment vertical="center" wrapText="1"/>
    </xf>
    <xf numFmtId="0" fontId="42" fillId="16" borderId="16" xfId="0" applyFont="1" applyFill="1" applyBorder="1" applyAlignment="1">
      <alignment vertical="center" wrapText="1"/>
    </xf>
    <xf numFmtId="0" fontId="42" fillId="16" borderId="30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7" fillId="2" borderId="2" xfId="0" applyFont="1" applyFill="1" applyBorder="1" applyAlignment="1">
      <alignment horizontal="center"/>
    </xf>
    <xf numFmtId="0" fontId="97" fillId="16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5" fillId="17" borderId="17" xfId="0" applyFont="1" applyFill="1" applyBorder="1" applyAlignment="1">
      <alignment horizontal="center"/>
    </xf>
    <xf numFmtId="0" fontId="45" fillId="18" borderId="31" xfId="0" applyFont="1" applyFill="1" applyBorder="1" applyAlignment="1">
      <alignment horizontal="center"/>
    </xf>
    <xf numFmtId="0" fontId="45" fillId="18" borderId="32" xfId="0" applyFont="1" applyFill="1" applyBorder="1" applyAlignment="1">
      <alignment horizontal="left"/>
    </xf>
    <xf numFmtId="0" fontId="45" fillId="3" borderId="17" xfId="0" applyFont="1" applyFill="1" applyBorder="1" applyAlignment="1">
      <alignment horizontal="left"/>
    </xf>
    <xf numFmtId="0" fontId="45" fillId="16" borderId="47" xfId="0" applyFont="1" applyFill="1" applyBorder="1" applyAlignment="1">
      <alignment horizontal="left"/>
    </xf>
    <xf numFmtId="0" fontId="45" fillId="16" borderId="0" xfId="0" applyFont="1" applyFill="1" applyBorder="1" applyAlignment="1">
      <alignment horizontal="left"/>
    </xf>
    <xf numFmtId="0" fontId="45" fillId="16" borderId="4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 quotePrefix="1">
      <alignment horizontal="center"/>
      <protection/>
    </xf>
    <xf numFmtId="168" fontId="97" fillId="2" borderId="2" xfId="0" applyNumberFormat="1" applyFont="1" applyFill="1" applyBorder="1" applyAlignment="1" applyProtection="1">
      <alignment horizontal="center"/>
      <protection/>
    </xf>
    <xf numFmtId="168" fontId="97" fillId="16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4" fillId="17" borderId="2" xfId="0" applyNumberFormat="1" applyFont="1" applyFill="1" applyBorder="1" applyAlignment="1">
      <alignment horizontal="center"/>
    </xf>
    <xf numFmtId="168" fontId="44" fillId="18" borderId="36" xfId="0" applyNumberFormat="1" applyFont="1" applyFill="1" applyBorder="1" applyAlignment="1" applyProtection="1" quotePrefix="1">
      <alignment horizontal="center"/>
      <protection/>
    </xf>
    <xf numFmtId="168" fontId="44" fillId="18" borderId="37" xfId="0" applyNumberFormat="1" applyFont="1" applyFill="1" applyBorder="1" applyAlignment="1" applyProtection="1" quotePrefix="1">
      <alignment horizontal="center"/>
      <protection/>
    </xf>
    <xf numFmtId="168" fontId="44" fillId="16" borderId="47" xfId="0" applyNumberFormat="1" applyFont="1" applyFill="1" applyBorder="1" applyAlignment="1" applyProtection="1" quotePrefix="1">
      <alignment horizontal="center"/>
      <protection/>
    </xf>
    <xf numFmtId="168" fontId="44" fillId="16" borderId="0" xfId="0" applyNumberFormat="1" applyFont="1" applyFill="1" applyBorder="1" applyAlignment="1" applyProtection="1" quotePrefix="1">
      <alignment horizontal="center"/>
      <protection/>
    </xf>
    <xf numFmtId="168" fontId="44" fillId="16" borderId="46" xfId="0" applyNumberFormat="1" applyFont="1" applyFill="1" applyBorder="1" applyAlignment="1" applyProtection="1" quotePrefix="1">
      <alignment horizontal="center"/>
      <protection/>
    </xf>
    <xf numFmtId="2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164" fontId="7" fillId="0" borderId="38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 quotePrefix="1">
      <alignment horizontal="center"/>
      <protection/>
    </xf>
    <xf numFmtId="168" fontId="97" fillId="2" borderId="3" xfId="0" applyNumberFormat="1" applyFont="1" applyFill="1" applyBorder="1" applyAlignment="1" applyProtection="1">
      <alignment horizontal="center"/>
      <protection/>
    </xf>
    <xf numFmtId="168" fontId="97" fillId="16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59" xfId="0" applyNumberFormat="1" applyFont="1" applyBorder="1" applyAlignment="1" applyProtection="1">
      <alignment horizontal="centerContinuous"/>
      <protection/>
    </xf>
    <xf numFmtId="168" fontId="7" fillId="0" borderId="19" xfId="0" applyNumberFormat="1" applyFont="1" applyBorder="1" applyAlignment="1" applyProtection="1">
      <alignment horizontal="centerContinuous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5" fillId="17" borderId="3" xfId="0" applyNumberFormat="1" applyFont="1" applyFill="1" applyBorder="1" applyAlignment="1">
      <alignment horizontal="center"/>
    </xf>
    <xf numFmtId="168" fontId="45" fillId="18" borderId="39" xfId="0" applyNumberFormat="1" applyFont="1" applyFill="1" applyBorder="1" applyAlignment="1" applyProtection="1" quotePrefix="1">
      <alignment horizontal="center"/>
      <protection/>
    </xf>
    <xf numFmtId="168" fontId="45" fillId="18" borderId="40" xfId="0" applyNumberFormat="1" applyFont="1" applyFill="1" applyBorder="1" applyAlignment="1" applyProtection="1" quotePrefix="1">
      <alignment horizontal="center"/>
      <protection/>
    </xf>
    <xf numFmtId="168" fontId="45" fillId="3" borderId="3" xfId="0" applyNumberFormat="1" applyFont="1" applyFill="1" applyBorder="1" applyAlignment="1" applyProtection="1" quotePrefix="1">
      <alignment horizontal="center"/>
      <protection/>
    </xf>
    <xf numFmtId="168" fontId="45" fillId="16" borderId="59" xfId="0" applyNumberFormat="1" applyFont="1" applyFill="1" applyBorder="1" applyAlignment="1" applyProtection="1" quotePrefix="1">
      <alignment horizontal="center"/>
      <protection/>
    </xf>
    <xf numFmtId="168" fontId="45" fillId="16" borderId="51" xfId="0" applyNumberFormat="1" applyFont="1" applyFill="1" applyBorder="1" applyAlignment="1" applyProtection="1" quotePrefix="1">
      <alignment horizontal="center"/>
      <protection/>
    </xf>
    <xf numFmtId="168" fontId="45" fillId="16" borderId="19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3" fillId="0" borderId="0" xfId="0" applyNumberFormat="1" applyFont="1" applyBorder="1" applyAlignment="1" applyProtection="1">
      <alignment horizontal="left"/>
      <protection/>
    </xf>
    <xf numFmtId="168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65" fontId="53" fillId="0" borderId="0" xfId="0" applyNumberFormat="1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8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9" fillId="0" borderId="0" xfId="0" applyNumberFormat="1" applyFont="1" applyBorder="1" applyAlignment="1" applyProtection="1">
      <alignment horizontal="center"/>
      <protection/>
    </xf>
    <xf numFmtId="168" fontId="95" fillId="0" borderId="0" xfId="0" applyNumberFormat="1" applyFont="1" applyBorder="1" applyAlignment="1" applyProtection="1" quotePrefix="1">
      <alignment horizontal="center"/>
      <protection/>
    </xf>
    <xf numFmtId="4" fontId="95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3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3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3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0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1" fillId="0" borderId="0" xfId="0" applyNumberFormat="1" applyFont="1" applyBorder="1" applyAlignment="1" applyProtection="1">
      <alignment horizontal="center" vertical="center"/>
      <protection/>
    </xf>
    <xf numFmtId="168" fontId="102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3" fillId="0" borderId="0" xfId="0" applyNumberFormat="1" applyFont="1" applyBorder="1" applyAlignment="1" applyProtection="1">
      <alignment horizontal="center"/>
      <protection/>
    </xf>
    <xf numFmtId="7" fontId="53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4" fillId="0" borderId="0" xfId="0" applyFont="1" applyAlignment="1">
      <alignment horizontal="right" vertical="top"/>
    </xf>
    <xf numFmtId="1" fontId="0" fillId="0" borderId="60" xfId="0" applyNumberForma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174" fontId="10" fillId="0" borderId="66" xfId="0" applyNumberFormat="1" applyFont="1" applyBorder="1" applyAlignment="1">
      <alignment horizontal="center"/>
    </xf>
    <xf numFmtId="1" fontId="10" fillId="0" borderId="66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174" fontId="10" fillId="0" borderId="69" xfId="0" applyNumberFormat="1" applyFont="1" applyFill="1" applyBorder="1" applyAlignment="1">
      <alignment horizontal="center"/>
    </xf>
    <xf numFmtId="1" fontId="10" fillId="0" borderId="69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93" fillId="0" borderId="51" xfId="0" applyNumberFormat="1" applyFont="1" applyFill="1" applyBorder="1" applyAlignment="1" applyProtection="1">
      <alignment horizontal="center"/>
      <protection/>
    </xf>
    <xf numFmtId="2" fontId="80" fillId="0" borderId="51" xfId="0" applyNumberFormat="1" applyFont="1" applyFill="1" applyBorder="1" applyAlignment="1" applyProtection="1">
      <alignment horizontal="center"/>
      <protection/>
    </xf>
    <xf numFmtId="2" fontId="96" fillId="0" borderId="51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55" xfId="0" applyFont="1" applyBorder="1" applyAlignment="1" applyProtection="1">
      <alignment horizontal="center"/>
      <protection/>
    </xf>
    <xf numFmtId="22" fontId="7" fillId="0" borderId="21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5" fillId="4" borderId="2" xfId="0" applyNumberFormat="1" applyFont="1" applyFill="1" applyBorder="1" applyAlignment="1" applyProtection="1">
      <alignment horizontal="center"/>
      <protection/>
    </xf>
    <xf numFmtId="2" fontId="78" fillId="10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 quotePrefix="1">
      <alignment horizontal="center"/>
      <protection/>
    </xf>
    <xf numFmtId="168" fontId="36" fillId="2" borderId="38" xfId="0" applyNumberFormat="1" applyFont="1" applyFill="1" applyBorder="1" applyAlignment="1" applyProtection="1">
      <alignment horizontal="center"/>
      <protection/>
    </xf>
    <xf numFmtId="22" fontId="7" fillId="0" borderId="39" xfId="0" applyNumberFormat="1" applyFont="1" applyBorder="1" applyAlignment="1">
      <alignment horizontal="center"/>
    </xf>
    <xf numFmtId="22" fontId="7" fillId="0" borderId="38" xfId="0" applyNumberFormat="1" applyFont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164" fontId="7" fillId="0" borderId="38" xfId="0" applyNumberFormat="1" applyFont="1" applyFill="1" applyBorder="1" applyAlignment="1" applyProtection="1" quotePrefix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70" xfId="0" applyNumberFormat="1" applyFont="1" applyBorder="1" applyAlignment="1" applyProtection="1">
      <alignment horizontal="center"/>
      <protection/>
    </xf>
    <xf numFmtId="164" fontId="45" fillId="4" borderId="38" xfId="0" applyNumberFormat="1" applyFont="1" applyFill="1" applyBorder="1" applyAlignment="1" applyProtection="1">
      <alignment horizontal="center"/>
      <protection/>
    </xf>
    <xf numFmtId="2" fontId="78" fillId="10" borderId="38" xfId="0" applyNumberFormat="1" applyFont="1" applyFill="1" applyBorder="1" applyAlignment="1">
      <alignment horizontal="center"/>
    </xf>
    <xf numFmtId="168" fontId="65" fillId="6" borderId="39" xfId="0" applyNumberFormat="1" applyFont="1" applyFill="1" applyBorder="1" applyAlignment="1" applyProtection="1" quotePrefix="1">
      <alignment horizontal="center"/>
      <protection/>
    </xf>
    <xf numFmtId="168" fontId="65" fillId="6" borderId="40" xfId="0" applyNumberFormat="1" applyFont="1" applyFill="1" applyBorder="1" applyAlignment="1" applyProtection="1" quotePrefix="1">
      <alignment horizontal="center"/>
      <protection/>
    </xf>
    <xf numFmtId="168" fontId="44" fillId="3" borderId="38" xfId="0" applyNumberFormat="1" applyFont="1" applyFill="1" applyBorder="1" applyAlignment="1" applyProtection="1" quotePrefix="1">
      <alignment horizontal="center"/>
      <protection/>
    </xf>
    <xf numFmtId="168" fontId="7" fillId="0" borderId="38" xfId="0" applyNumberFormat="1" applyFont="1" applyBorder="1" applyAlignment="1">
      <alignment horizontal="center"/>
    </xf>
    <xf numFmtId="4" fontId="29" fillId="0" borderId="38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10" fillId="0" borderId="0" xfId="0" applyNumberFormat="1" applyFont="1" applyBorder="1" applyAlignment="1" applyProtection="1">
      <alignment horizontal="center"/>
      <protection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4" fillId="19" borderId="14" xfId="0" applyNumberFormat="1" applyFont="1" applyFill="1" applyBorder="1" applyAlignment="1" applyProtection="1">
      <alignment horizontal="center" vertical="center"/>
      <protection/>
    </xf>
    <xf numFmtId="0" fontId="59" fillId="4" borderId="14" xfId="0" applyFont="1" applyFill="1" applyBorder="1" applyAlignment="1" applyProtection="1">
      <alignment horizontal="center" vertical="center"/>
      <protection/>
    </xf>
    <xf numFmtId="0" fontId="63" fillId="6" borderId="14" xfId="0" applyFont="1" applyFill="1" applyBorder="1" applyAlignment="1">
      <alignment horizontal="center" vertical="center" wrapText="1"/>
    </xf>
    <xf numFmtId="0" fontId="49" fillId="20" borderId="8" xfId="0" applyFont="1" applyFill="1" applyBorder="1" applyAlignment="1">
      <alignment horizontal="centerContinuous" vertical="center" wrapText="1"/>
    </xf>
    <xf numFmtId="0" fontId="103" fillId="20" borderId="15" xfId="0" applyFont="1" applyFill="1" applyBorder="1" applyAlignment="1">
      <alignment horizontal="centerContinuous"/>
    </xf>
    <xf numFmtId="0" fontId="49" fillId="20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5" fillId="19" borderId="2" xfId="0" applyFont="1" applyFill="1" applyBorder="1" applyAlignment="1">
      <alignment/>
    </xf>
    <xf numFmtId="0" fontId="60" fillId="4" borderId="2" xfId="0" applyFont="1" applyFill="1" applyBorder="1" applyAlignment="1">
      <alignment/>
    </xf>
    <xf numFmtId="0" fontId="104" fillId="3" borderId="2" xfId="0" applyFont="1" applyFill="1" applyBorder="1" applyAlignment="1">
      <alignment/>
    </xf>
    <xf numFmtId="0" fontId="64" fillId="6" borderId="4" xfId="0" applyFont="1" applyFill="1" applyBorder="1" applyAlignment="1">
      <alignment/>
    </xf>
    <xf numFmtId="168" fontId="9" fillId="2" borderId="21" xfId="0" applyNumberFormat="1" applyFont="1" applyFill="1" applyBorder="1" applyAlignment="1" applyProtection="1" quotePrefix="1">
      <alignment horizontal="center"/>
      <protection/>
    </xf>
    <xf numFmtId="168" fontId="9" fillId="2" borderId="22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5" fillId="20" borderId="21" xfId="0" applyNumberFormat="1" applyFont="1" applyFill="1" applyBorder="1" applyAlignment="1" applyProtection="1" quotePrefix="1">
      <alignment horizontal="center"/>
      <protection/>
    </xf>
    <xf numFmtId="168" fontId="105" fillId="20" borderId="22" xfId="0" applyNumberFormat="1" applyFont="1" applyFill="1" applyBorder="1" applyAlignment="1" applyProtection="1" quotePrefix="1">
      <alignment horizontal="center"/>
      <protection/>
    </xf>
    <xf numFmtId="4" fontId="105" fillId="20" borderId="4" xfId="0" applyNumberFormat="1" applyFont="1" applyFill="1" applyBorder="1" applyAlignment="1" applyProtection="1">
      <alignment horizontal="center"/>
      <protection/>
    </xf>
    <xf numFmtId="0" fontId="85" fillId="19" borderId="2" xfId="0" applyFont="1" applyFill="1" applyBorder="1" applyAlignment="1" applyProtection="1">
      <alignment horizontal="center"/>
      <protection/>
    </xf>
    <xf numFmtId="174" fontId="60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3" xfId="0" applyNumberFormat="1" applyFont="1" applyFill="1" applyBorder="1" applyAlignment="1" applyProtection="1">
      <alignment horizontal="center"/>
      <protection locked="0"/>
    </xf>
    <xf numFmtId="2" fontId="47" fillId="3" borderId="2" xfId="0" applyNumberFormat="1" applyFont="1" applyFill="1" applyBorder="1" applyAlignment="1" applyProtection="1">
      <alignment horizontal="center"/>
      <protection locked="0"/>
    </xf>
    <xf numFmtId="2" fontId="65" fillId="6" borderId="4" xfId="0" applyNumberFormat="1" applyFont="1" applyFill="1" applyBorder="1" applyAlignment="1" applyProtection="1">
      <alignment horizontal="center"/>
      <protection locked="0"/>
    </xf>
    <xf numFmtId="168" fontId="50" fillId="20" borderId="21" xfId="0" applyNumberFormat="1" applyFont="1" applyFill="1" applyBorder="1" applyAlignment="1" applyProtection="1" quotePrefix="1">
      <alignment horizontal="center"/>
      <protection locked="0"/>
    </xf>
    <xf numFmtId="168" fontId="50" fillId="20" borderId="22" xfId="0" applyNumberFormat="1" applyFont="1" applyFill="1" applyBorder="1" applyAlignment="1" applyProtection="1" quotePrefix="1">
      <alignment horizontal="center"/>
      <protection locked="0"/>
    </xf>
    <xf numFmtId="4" fontId="50" fillId="20" borderId="4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6" applyFont="1" applyFill="1" applyBorder="1" applyAlignment="1" applyProtection="1">
      <alignment horizontal="center"/>
      <protection locked="0"/>
    </xf>
    <xf numFmtId="164" fontId="7" fillId="0" borderId="2" xfId="26" applyNumberFormat="1" applyFont="1" applyFill="1" applyBorder="1" applyAlignment="1" applyProtection="1">
      <alignment horizontal="center"/>
      <protection locked="0"/>
    </xf>
    <xf numFmtId="22" fontId="7" fillId="0" borderId="4" xfId="26" applyNumberFormat="1" applyFont="1" applyFill="1" applyBorder="1" applyAlignment="1" applyProtection="1">
      <alignment horizontal="center"/>
      <protection locked="0"/>
    </xf>
    <xf numFmtId="22" fontId="7" fillId="0" borderId="20" xfId="26" applyNumberFormat="1" applyFont="1" applyFill="1" applyBorder="1" applyAlignment="1" applyProtection="1">
      <alignment horizontal="center"/>
      <protection locked="0"/>
    </xf>
    <xf numFmtId="0" fontId="85" fillId="19" borderId="3" xfId="0" applyFont="1" applyFill="1" applyBorder="1" applyAlignment="1" applyProtection="1">
      <alignment horizontal="center"/>
      <protection/>
    </xf>
    <xf numFmtId="174" fontId="60" fillId="4" borderId="3" xfId="0" applyNumberFormat="1" applyFont="1" applyFill="1" applyBorder="1" applyAlignment="1" applyProtection="1">
      <alignment horizontal="center"/>
      <protection/>
    </xf>
    <xf numFmtId="2" fontId="104" fillId="3" borderId="3" xfId="0" applyNumberFormat="1" applyFont="1" applyFill="1" applyBorder="1" applyAlignment="1" applyProtection="1">
      <alignment horizontal="center"/>
      <protection locked="0"/>
    </xf>
    <xf numFmtId="2" fontId="65" fillId="6" borderId="3" xfId="0" applyNumberFormat="1" applyFont="1" applyFill="1" applyBorder="1" applyAlignment="1" applyProtection="1">
      <alignment horizontal="center"/>
      <protection locked="0"/>
    </xf>
    <xf numFmtId="168" fontId="50" fillId="20" borderId="24" xfId="0" applyNumberFormat="1" applyFont="1" applyFill="1" applyBorder="1" applyAlignment="1" applyProtection="1" quotePrefix="1">
      <alignment horizontal="center"/>
      <protection locked="0"/>
    </xf>
    <xf numFmtId="168" fontId="50" fillId="20" borderId="25" xfId="0" applyNumberFormat="1" applyFont="1" applyFill="1" applyBorder="1" applyAlignment="1" applyProtection="1" quotePrefix="1">
      <alignment horizontal="center"/>
      <protection locked="0"/>
    </xf>
    <xf numFmtId="4" fontId="50" fillId="20" borderId="26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7" fillId="3" borderId="14" xfId="0" applyNumberFormat="1" applyFont="1" applyFill="1" applyBorder="1" applyAlignment="1" applyProtection="1">
      <alignment horizontal="center"/>
      <protection/>
    </xf>
    <xf numFmtId="2" fontId="65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0" fillId="20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5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104" fillId="0" borderId="17" xfId="0" applyFont="1" applyFill="1" applyBorder="1" applyAlignment="1">
      <alignment/>
    </xf>
    <xf numFmtId="0" fontId="64" fillId="0" borderId="1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05" fillId="0" borderId="31" xfId="0" applyFont="1" applyFill="1" applyBorder="1" applyAlignment="1">
      <alignment/>
    </xf>
    <xf numFmtId="0" fontId="105" fillId="0" borderId="72" xfId="0" applyFont="1" applyFill="1" applyBorder="1" applyAlignment="1">
      <alignment/>
    </xf>
    <xf numFmtId="0" fontId="105" fillId="0" borderId="32" xfId="0" applyFont="1" applyFill="1" applyBorder="1" applyAlignment="1">
      <alignment/>
    </xf>
    <xf numFmtId="0" fontId="69" fillId="0" borderId="17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6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106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108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Border="1" applyAlignment="1" applyProtection="1">
      <alignment horizontal="left"/>
      <protection/>
    </xf>
    <xf numFmtId="221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42" fillId="21" borderId="14" xfId="0" applyFont="1" applyFill="1" applyBorder="1" applyAlignment="1">
      <alignment vertical="center" wrapText="1"/>
    </xf>
    <xf numFmtId="0" fontId="45" fillId="21" borderId="17" xfId="0" applyFont="1" applyFill="1" applyBorder="1" applyAlignment="1">
      <alignment horizontal="left"/>
    </xf>
    <xf numFmtId="168" fontId="45" fillId="21" borderId="38" xfId="0" applyNumberFormat="1" applyFont="1" applyFill="1" applyBorder="1" applyAlignment="1" applyProtection="1" quotePrefix="1">
      <alignment horizontal="center"/>
      <protection/>
    </xf>
    <xf numFmtId="2" fontId="44" fillId="21" borderId="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65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2" fontId="61" fillId="0" borderId="16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right"/>
    </xf>
    <xf numFmtId="2" fontId="61" fillId="0" borderId="51" xfId="0" applyNumberFormat="1" applyFont="1" applyFill="1" applyBorder="1" applyAlignment="1">
      <alignment horizontal="center"/>
    </xf>
    <xf numFmtId="168" fontId="9" fillId="0" borderId="51" xfId="0" applyNumberFormat="1" applyFont="1" applyFill="1" applyBorder="1" applyAlignment="1" applyProtection="1" quotePrefix="1">
      <alignment horizontal="center"/>
      <protection/>
    </xf>
    <xf numFmtId="168" fontId="7" fillId="0" borderId="51" xfId="0" applyNumberFormat="1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Border="1" applyAlignment="1" applyProtection="1" quotePrefix="1">
      <alignment horizontal="center"/>
      <protection/>
    </xf>
    <xf numFmtId="4" fontId="9" fillId="0" borderId="2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/>
    </xf>
    <xf numFmtId="2" fontId="47" fillId="3" borderId="2" xfId="0" applyNumberFormat="1" applyFont="1" applyFill="1" applyBorder="1" applyAlignment="1" applyProtection="1">
      <alignment horizontal="center"/>
      <protection/>
    </xf>
    <xf numFmtId="2" fontId="65" fillId="6" borderId="4" xfId="0" applyNumberFormat="1" applyFont="1" applyFill="1" applyBorder="1" applyAlignment="1" applyProtection="1">
      <alignment horizontal="center"/>
      <protection/>
    </xf>
    <xf numFmtId="168" fontId="50" fillId="20" borderId="21" xfId="0" applyNumberFormat="1" applyFont="1" applyFill="1" applyBorder="1" applyAlignment="1" applyProtection="1" quotePrefix="1">
      <alignment horizontal="center"/>
      <protection/>
    </xf>
    <xf numFmtId="168" fontId="50" fillId="20" borderId="22" xfId="0" applyNumberFormat="1" applyFont="1" applyFill="1" applyBorder="1" applyAlignment="1" applyProtection="1" quotePrefix="1">
      <alignment horizontal="center"/>
      <protection/>
    </xf>
    <xf numFmtId="4" fontId="50" fillId="20" borderId="4" xfId="0" applyNumberFormat="1" applyFont="1" applyFill="1" applyBorder="1" applyAlignment="1" applyProtection="1">
      <alignment horizontal="center"/>
      <protection/>
    </xf>
    <xf numFmtId="4" fontId="71" fillId="8" borderId="2" xfId="0" applyNumberFormat="1" applyFont="1" applyFill="1" applyBorder="1" applyAlignment="1" applyProtection="1">
      <alignment horizontal="center"/>
      <protection/>
    </xf>
    <xf numFmtId="4" fontId="72" fillId="9" borderId="2" xfId="0" applyNumberFormat="1" applyFont="1" applyFill="1" applyBorder="1" applyAlignment="1" applyProtection="1">
      <alignment horizontal="center"/>
      <protection/>
    </xf>
    <xf numFmtId="2" fontId="76" fillId="8" borderId="2" xfId="0" applyNumberFormat="1" applyFont="1" applyFill="1" applyBorder="1" applyAlignment="1" applyProtection="1">
      <alignment horizontal="center"/>
      <protection/>
    </xf>
    <xf numFmtId="2" fontId="77" fillId="6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8" fillId="10" borderId="2" xfId="0" applyNumberFormat="1" applyFont="1" applyFill="1" applyBorder="1" applyAlignment="1" applyProtection="1">
      <alignment horizontal="center"/>
      <protection/>
    </xf>
    <xf numFmtId="164" fontId="36" fillId="2" borderId="49" xfId="0" applyNumberFormat="1" applyFont="1" applyFill="1" applyBorder="1" applyAlignment="1" applyProtection="1">
      <alignment horizontal="center"/>
      <protection/>
    </xf>
    <xf numFmtId="2" fontId="82" fillId="8" borderId="2" xfId="0" applyNumberFormat="1" applyFont="1" applyFill="1" applyBorder="1" applyAlignment="1" applyProtection="1">
      <alignment horizontal="center"/>
      <protection/>
    </xf>
    <xf numFmtId="0" fontId="12" fillId="0" borderId="70" xfId="0" applyFont="1" applyBorder="1" applyAlignment="1" applyProtection="1">
      <alignment horizontal="center"/>
      <protection locked="0"/>
    </xf>
    <xf numFmtId="168" fontId="10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34" fillId="0" borderId="0" xfId="0" applyFont="1" applyBorder="1" applyAlignment="1" applyProtection="1">
      <alignment/>
      <protection/>
    </xf>
    <xf numFmtId="168" fontId="97" fillId="2" borderId="0" xfId="0" applyNumberFormat="1" applyFont="1" applyFill="1" applyBorder="1" applyAlignment="1" applyProtection="1">
      <alignment horizontal="center"/>
      <protection/>
    </xf>
    <xf numFmtId="168" fontId="97" fillId="16" borderId="0" xfId="0" applyNumberFormat="1" applyFont="1" applyFill="1" applyBorder="1" applyAlignment="1" applyProtection="1">
      <alignment horizontal="center"/>
      <protection/>
    </xf>
    <xf numFmtId="164" fontId="36" fillId="2" borderId="0" xfId="0" applyNumberFormat="1" applyFont="1" applyFill="1" applyBorder="1" applyAlignment="1" applyProtection="1">
      <alignment horizontal="center"/>
      <protection/>
    </xf>
    <xf numFmtId="2" fontId="45" fillId="17" borderId="0" xfId="0" applyNumberFormat="1" applyFont="1" applyFill="1" applyBorder="1" applyAlignment="1">
      <alignment horizontal="center"/>
    </xf>
    <xf numFmtId="168" fontId="45" fillId="18" borderId="0" xfId="0" applyNumberFormat="1" applyFont="1" applyFill="1" applyBorder="1" applyAlignment="1" applyProtection="1" quotePrefix="1">
      <alignment horizontal="center"/>
      <protection/>
    </xf>
    <xf numFmtId="168" fontId="45" fillId="3" borderId="0" xfId="0" applyNumberFormat="1" applyFont="1" applyFill="1" applyBorder="1" applyAlignment="1" applyProtection="1" quotePrefix="1">
      <alignment horizontal="center"/>
      <protection/>
    </xf>
    <xf numFmtId="168" fontId="45" fillId="16" borderId="0" xfId="0" applyNumberFormat="1" applyFont="1" applyFill="1" applyBorder="1" applyAlignment="1" applyProtection="1" quotePrefix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8" fontId="29" fillId="0" borderId="14" xfId="19" applyNumberFormat="1" applyFont="1" applyFill="1" applyBorder="1" applyAlignment="1">
      <alignment horizontal="right"/>
    </xf>
    <xf numFmtId="168" fontId="7" fillId="0" borderId="58" xfId="0" applyNumberFormat="1" applyFont="1" applyBorder="1" applyAlignment="1" applyProtection="1">
      <alignment horizontal="center"/>
      <protection/>
    </xf>
    <xf numFmtId="4" fontId="82" fillId="8" borderId="0" xfId="0" applyNumberFormat="1" applyFont="1" applyFill="1" applyBorder="1" applyAlignment="1">
      <alignment horizontal="center"/>
    </xf>
    <xf numFmtId="4" fontId="47" fillId="12" borderId="0" xfId="0" applyNumberFormat="1" applyFont="1" applyFill="1" applyBorder="1" applyAlignment="1">
      <alignment horizontal="center"/>
    </xf>
    <xf numFmtId="4" fontId="50" fillId="6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45" fillId="17" borderId="53" xfId="0" applyFont="1" applyFill="1" applyBorder="1" applyAlignment="1">
      <alignment horizontal="center"/>
    </xf>
    <xf numFmtId="2" fontId="44" fillId="17" borderId="20" xfId="0" applyNumberFormat="1" applyFont="1" applyFill="1" applyBorder="1" applyAlignment="1">
      <alignment horizontal="center"/>
    </xf>
    <xf numFmtId="2" fontId="45" fillId="17" borderId="59" xfId="0" applyNumberFormat="1" applyFont="1" applyFill="1" applyBorder="1" applyAlignment="1">
      <alignment horizontal="center"/>
    </xf>
    <xf numFmtId="0" fontId="40" fillId="10" borderId="8" xfId="0" applyFont="1" applyFill="1" applyBorder="1" applyAlignment="1">
      <alignment horizontal="center" vertical="center" wrapText="1"/>
    </xf>
    <xf numFmtId="0" fontId="78" fillId="10" borderId="20" xfId="0" applyFont="1" applyFill="1" applyBorder="1" applyAlignment="1" applyProtection="1">
      <alignment horizontal="center"/>
      <protection/>
    </xf>
    <xf numFmtId="2" fontId="78" fillId="10" borderId="70" xfId="0" applyNumberFormat="1" applyFont="1" applyFill="1" applyBorder="1" applyAlignment="1">
      <alignment horizontal="center"/>
    </xf>
    <xf numFmtId="0" fontId="45" fillId="3" borderId="4" xfId="0" applyFont="1" applyFill="1" applyBorder="1" applyAlignment="1">
      <alignment horizontal="left"/>
    </xf>
    <xf numFmtId="168" fontId="44" fillId="3" borderId="20" xfId="0" applyNumberFormat="1" applyFont="1" applyFill="1" applyBorder="1" applyAlignment="1" applyProtection="1" quotePrefix="1">
      <alignment horizontal="center"/>
      <protection/>
    </xf>
    <xf numFmtId="0" fontId="42" fillId="3" borderId="14" xfId="0" applyFont="1" applyFill="1" applyBorder="1" applyAlignment="1">
      <alignment horizontal="center" vertical="center" wrapText="1"/>
    </xf>
    <xf numFmtId="0" fontId="45" fillId="17" borderId="53" xfId="0" applyFont="1" applyFill="1" applyBorder="1" applyAlignment="1">
      <alignment horizontal="center" vertical="center" wrapText="1"/>
    </xf>
    <xf numFmtId="0" fontId="27" fillId="0" borderId="9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horizontal="center"/>
      <protection/>
    </xf>
    <xf numFmtId="168" fontId="79" fillId="8" borderId="18" xfId="0" applyNumberFormat="1" applyFont="1" applyFill="1" applyBorder="1" applyAlignment="1" applyProtection="1">
      <alignment horizontal="center"/>
      <protection/>
    </xf>
    <xf numFmtId="168" fontId="44" fillId="3" borderId="4" xfId="0" applyNumberFormat="1" applyFont="1" applyFill="1" applyBorder="1" applyAlignment="1" applyProtection="1">
      <alignment horizontal="center"/>
      <protection/>
    </xf>
    <xf numFmtId="0" fontId="45" fillId="18" borderId="55" xfId="0" applyFont="1" applyFill="1" applyBorder="1" applyAlignment="1">
      <alignment horizontal="left"/>
    </xf>
    <xf numFmtId="168" fontId="44" fillId="18" borderId="4" xfId="0" applyNumberFormat="1" applyFont="1" applyFill="1" applyBorder="1" applyAlignment="1" applyProtection="1" quotePrefix="1">
      <alignment horizontal="center"/>
      <protection/>
    </xf>
    <xf numFmtId="168" fontId="45" fillId="18" borderId="19" xfId="0" applyNumberFormat="1" applyFont="1" applyFill="1" applyBorder="1" applyAlignment="1" applyProtection="1" quotePrefix="1">
      <alignment horizontal="center"/>
      <protection/>
    </xf>
    <xf numFmtId="168" fontId="65" fillId="6" borderId="71" xfId="0" applyNumberFormat="1" applyFont="1" applyFill="1" applyBorder="1" applyAlignment="1" applyProtection="1" quotePrefix="1">
      <alignment horizontal="center"/>
      <protection/>
    </xf>
    <xf numFmtId="168" fontId="44" fillId="18" borderId="4" xfId="0" applyNumberFormat="1" applyFont="1" applyFill="1" applyBorder="1" applyAlignment="1" applyProtection="1">
      <alignment horizontal="center"/>
      <protection/>
    </xf>
    <xf numFmtId="22" fontId="7" fillId="0" borderId="15" xfId="0" applyNumberFormat="1" applyFont="1" applyFill="1" applyBorder="1" applyAlignment="1">
      <alignment horizontal="center"/>
    </xf>
    <xf numFmtId="22" fontId="7" fillId="0" borderId="15" xfId="0" applyNumberFormat="1" applyFont="1" applyFill="1" applyBorder="1" applyAlignment="1" applyProtection="1">
      <alignment horizontal="center"/>
      <protection/>
    </xf>
    <xf numFmtId="164" fontId="7" fillId="0" borderId="4" xfId="26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left"/>
    </xf>
    <xf numFmtId="0" fontId="7" fillId="0" borderId="49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0" xfId="0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 quotePrefix="1">
      <alignment horizontal="center"/>
      <protection/>
    </xf>
    <xf numFmtId="0" fontId="109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Continuous"/>
    </xf>
    <xf numFmtId="0" fontId="111" fillId="0" borderId="0" xfId="0" applyFont="1" applyAlignment="1">
      <alignment horizontal="centerContinuous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2" fillId="0" borderId="0" xfId="0" applyFont="1" applyAlignment="1">
      <alignment vertical="center"/>
    </xf>
    <xf numFmtId="0" fontId="112" fillId="0" borderId="7" xfId="0" applyFont="1" applyBorder="1" applyAlignment="1">
      <alignment vertical="center"/>
    </xf>
    <xf numFmtId="0" fontId="112" fillId="0" borderId="20" xfId="0" applyFont="1" applyBorder="1" applyAlignment="1">
      <alignment vertical="center"/>
    </xf>
    <xf numFmtId="0" fontId="112" fillId="0" borderId="2" xfId="0" applyFont="1" applyBorder="1" applyAlignment="1">
      <alignment vertical="center"/>
    </xf>
    <xf numFmtId="0" fontId="112" fillId="22" borderId="2" xfId="0" applyFont="1" applyFill="1" applyBorder="1" applyAlignment="1">
      <alignment vertical="center"/>
    </xf>
    <xf numFmtId="0" fontId="112" fillId="0" borderId="29" xfId="0" applyFont="1" applyBorder="1" applyAlignment="1">
      <alignment vertical="center"/>
    </xf>
    <xf numFmtId="0" fontId="112" fillId="0" borderId="1" xfId="0" applyFont="1" applyBorder="1" applyAlignment="1">
      <alignment vertical="center"/>
    </xf>
    <xf numFmtId="0" fontId="112" fillId="1" borderId="21" xfId="0" applyFont="1" applyFill="1" applyBorder="1" applyAlignment="1">
      <alignment horizontal="center" vertical="center"/>
    </xf>
    <xf numFmtId="0" fontId="112" fillId="1" borderId="2" xfId="0" applyFont="1" applyFill="1" applyBorder="1" applyAlignment="1">
      <alignment horizontal="center" vertical="center"/>
    </xf>
    <xf numFmtId="0" fontId="112" fillId="22" borderId="18" xfId="0" applyFont="1" applyFill="1" applyBorder="1" applyAlignment="1">
      <alignment horizontal="center" vertical="center"/>
    </xf>
    <xf numFmtId="0" fontId="112" fillId="0" borderId="44" xfId="0" applyFont="1" applyBorder="1" applyAlignment="1">
      <alignment vertical="center"/>
    </xf>
    <xf numFmtId="0" fontId="112" fillId="0" borderId="36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1" borderId="36" xfId="0" applyFont="1" applyFill="1" applyBorder="1" applyAlignment="1">
      <alignment horizontal="center" vertical="center"/>
    </xf>
    <xf numFmtId="0" fontId="112" fillId="1" borderId="18" xfId="0" applyFont="1" applyFill="1" applyBorder="1" applyAlignment="1">
      <alignment horizontal="center" vertical="center"/>
    </xf>
    <xf numFmtId="0" fontId="112" fillId="0" borderId="39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/>
    </xf>
    <xf numFmtId="0" fontId="112" fillId="22" borderId="38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horizontal="right" vertical="center"/>
    </xf>
    <xf numFmtId="170" fontId="113" fillId="0" borderId="14" xfId="0" applyNumberFormat="1" applyFont="1" applyFill="1" applyBorder="1" applyAlignment="1">
      <alignment horizontal="center" vertical="center"/>
    </xf>
    <xf numFmtId="0" fontId="112" fillId="0" borderId="8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0" xfId="0" applyFont="1" applyBorder="1" applyAlignment="1">
      <alignment vertical="center"/>
    </xf>
    <xf numFmtId="0" fontId="112" fillId="0" borderId="0" xfId="0" applyFont="1" applyBorder="1" applyAlignment="1">
      <alignment horizontal="right" vertical="center"/>
    </xf>
    <xf numFmtId="0" fontId="113" fillId="0" borderId="0" xfId="0" applyFont="1" applyBorder="1" applyAlignment="1">
      <alignment horizontal="right" vertical="center"/>
    </xf>
    <xf numFmtId="0" fontId="112" fillId="0" borderId="14" xfId="0" applyFont="1" applyBorder="1" applyAlignment="1">
      <alignment horizontal="center" vertical="center"/>
    </xf>
    <xf numFmtId="2" fontId="113" fillId="22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4" fillId="22" borderId="60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115" fillId="0" borderId="16" xfId="0" applyFont="1" applyBorder="1" applyAlignment="1">
      <alignment horizontal="center"/>
    </xf>
    <xf numFmtId="0" fontId="115" fillId="0" borderId="11" xfId="0" applyFont="1" applyFill="1" applyBorder="1" applyAlignment="1">
      <alignment/>
    </xf>
    <xf numFmtId="0" fontId="32" fillId="0" borderId="0" xfId="0" applyFont="1" applyBorder="1" applyAlignment="1">
      <alignment horizontal="center"/>
    </xf>
    <xf numFmtId="4" fontId="76" fillId="8" borderId="0" xfId="0" applyNumberFormat="1" applyFont="1" applyFill="1" applyBorder="1" applyAlignment="1">
      <alignment horizontal="center"/>
    </xf>
    <xf numFmtId="4" fontId="77" fillId="6" borderId="0" xfId="0" applyNumberFormat="1" applyFont="1" applyFill="1" applyBorder="1" applyAlignment="1">
      <alignment horizontal="center"/>
    </xf>
    <xf numFmtId="4" fontId="37" fillId="2" borderId="0" xfId="0" applyNumberFormat="1" applyFont="1" applyFill="1" applyBorder="1" applyAlignment="1">
      <alignment horizontal="center"/>
    </xf>
    <xf numFmtId="4" fontId="78" fillId="10" borderId="0" xfId="0" applyNumberFormat="1" applyFont="1" applyFill="1" applyBorder="1" applyAlignment="1">
      <alignment horizontal="center"/>
    </xf>
    <xf numFmtId="4" fontId="47" fillId="11" borderId="0" xfId="0" applyNumberFormat="1" applyFont="1" applyFill="1" applyBorder="1" applyAlignment="1">
      <alignment horizontal="center"/>
    </xf>
    <xf numFmtId="4" fontId="79" fillId="8" borderId="0" xfId="0" applyNumberFormat="1" applyFont="1" applyFill="1" applyBorder="1" applyAlignment="1">
      <alignment horizontal="center"/>
    </xf>
    <xf numFmtId="7" fontId="80" fillId="0" borderId="0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" fontId="5" fillId="0" borderId="37" xfId="0" applyNumberFormat="1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0" fontId="85" fillId="0" borderId="2" xfId="0" applyFont="1" applyFill="1" applyBorder="1" applyAlignment="1" applyProtection="1">
      <alignment horizontal="center"/>
      <protection/>
    </xf>
    <xf numFmtId="174" fontId="60" fillId="0" borderId="2" xfId="0" applyNumberFormat="1" applyFont="1" applyFill="1" applyBorder="1" applyAlignment="1" applyProtection="1">
      <alignment horizontal="center"/>
      <protection/>
    </xf>
    <xf numFmtId="22" fontId="7" fillId="0" borderId="20" xfId="0" applyNumberFormat="1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73" fontId="7" fillId="0" borderId="2" xfId="0" applyNumberFormat="1" applyFont="1" applyFill="1" applyBorder="1" applyAlignment="1" applyProtection="1" quotePrefix="1">
      <alignment horizontal="center"/>
      <protection/>
    </xf>
    <xf numFmtId="2" fontId="47" fillId="0" borderId="2" xfId="0" applyNumberFormat="1" applyFont="1" applyFill="1" applyBorder="1" applyAlignment="1" applyProtection="1">
      <alignment horizontal="center"/>
      <protection locked="0"/>
    </xf>
    <xf numFmtId="2" fontId="65" fillId="0" borderId="4" xfId="0" applyNumberFormat="1" applyFont="1" applyFill="1" applyBorder="1" applyAlignment="1" applyProtection="1">
      <alignment horizontal="center"/>
      <protection locked="0"/>
    </xf>
    <xf numFmtId="168" fontId="37" fillId="0" borderId="21" xfId="0" applyNumberFormat="1" applyFont="1" applyFill="1" applyBorder="1" applyAlignment="1" applyProtection="1" quotePrefix="1">
      <alignment horizontal="center"/>
      <protection locked="0"/>
    </xf>
    <xf numFmtId="168" fontId="37" fillId="0" borderId="22" xfId="0" applyNumberFormat="1" applyFont="1" applyFill="1" applyBorder="1" applyAlignment="1" applyProtection="1" quotePrefix="1">
      <alignment horizontal="center"/>
      <protection locked="0"/>
    </xf>
    <xf numFmtId="4" fontId="37" fillId="0" borderId="4" xfId="0" applyNumberFormat="1" applyFont="1" applyFill="1" applyBorder="1" applyAlignment="1" applyProtection="1">
      <alignment horizontal="center"/>
      <protection locked="0"/>
    </xf>
    <xf numFmtId="168" fontId="50" fillId="0" borderId="21" xfId="0" applyNumberFormat="1" applyFont="1" applyFill="1" applyBorder="1" applyAlignment="1" applyProtection="1" quotePrefix="1">
      <alignment horizontal="center"/>
      <protection locked="0"/>
    </xf>
    <xf numFmtId="168" fontId="50" fillId="0" borderId="22" xfId="0" applyNumberFormat="1" applyFont="1" applyFill="1" applyBorder="1" applyAlignment="1" applyProtection="1" quotePrefix="1">
      <alignment horizontal="center"/>
      <protection locked="0"/>
    </xf>
    <xf numFmtId="4" fontId="50" fillId="0" borderId="4" xfId="0" applyNumberFormat="1" applyFont="1" applyFill="1" applyBorder="1" applyAlignment="1" applyProtection="1">
      <alignment horizontal="center"/>
      <protection locked="0"/>
    </xf>
    <xf numFmtId="4" fontId="71" fillId="0" borderId="2" xfId="0" applyNumberFormat="1" applyFont="1" applyFill="1" applyBorder="1" applyAlignment="1" applyProtection="1">
      <alignment horizontal="center"/>
      <protection locked="0"/>
    </xf>
    <xf numFmtId="4" fontId="72" fillId="0" borderId="2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47" fillId="3" borderId="0" xfId="0" applyNumberFormat="1" applyFont="1" applyFill="1" applyBorder="1" applyAlignment="1" applyProtection="1">
      <alignment horizontal="center"/>
      <protection/>
    </xf>
    <xf numFmtId="2" fontId="65" fillId="6" borderId="0" xfId="0" applyNumberFormat="1" applyFont="1" applyFill="1" applyBorder="1" applyAlignment="1" applyProtection="1">
      <alignment horizontal="center"/>
      <protection/>
    </xf>
    <xf numFmtId="2" fontId="37" fillId="2" borderId="0" xfId="0" applyNumberFormat="1" applyFont="1" applyFill="1" applyBorder="1" applyAlignment="1" applyProtection="1">
      <alignment horizontal="center"/>
      <protection/>
    </xf>
    <xf numFmtId="2" fontId="50" fillId="20" borderId="0" xfId="0" applyNumberFormat="1" applyFont="1" applyFill="1" applyBorder="1" applyAlignment="1" applyProtection="1">
      <alignment horizontal="center"/>
      <protection/>
    </xf>
    <xf numFmtId="2" fontId="71" fillId="8" borderId="0" xfId="0" applyNumberFormat="1" applyFont="1" applyFill="1" applyBorder="1" applyAlignment="1" applyProtection="1">
      <alignment horizontal="center"/>
      <protection/>
    </xf>
    <xf numFmtId="2" fontId="72" fillId="9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Fill="1" applyBorder="1" applyAlignment="1" applyProtection="1">
      <alignment horizontal="right"/>
      <protection/>
    </xf>
    <xf numFmtId="0" fontId="7" fillId="19" borderId="2" xfId="0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6" borderId="4" xfId="0" applyNumberFormat="1" applyFont="1" applyFill="1" applyBorder="1" applyAlignment="1" applyProtection="1">
      <alignment horizontal="center"/>
      <protection locked="0"/>
    </xf>
    <xf numFmtId="168" fontId="5" fillId="2" borderId="21" xfId="0" applyNumberFormat="1" applyFont="1" applyFill="1" applyBorder="1" applyAlignment="1" applyProtection="1" quotePrefix="1">
      <alignment horizontal="center"/>
      <protection locked="0"/>
    </xf>
    <xf numFmtId="168" fontId="5" fillId="2" borderId="22" xfId="0" applyNumberFormat="1" applyFont="1" applyFill="1" applyBorder="1" applyAlignment="1" applyProtection="1" quotePrefix="1">
      <alignment horizontal="center"/>
      <protection locked="0"/>
    </xf>
    <xf numFmtId="4" fontId="5" fillId="2" borderId="4" xfId="0" applyNumberFormat="1" applyFont="1" applyFill="1" applyBorder="1" applyAlignment="1" applyProtection="1">
      <alignment horizontal="center"/>
      <protection locked="0"/>
    </xf>
    <xf numFmtId="168" fontId="5" fillId="20" borderId="21" xfId="0" applyNumberFormat="1" applyFont="1" applyFill="1" applyBorder="1" applyAlignment="1" applyProtection="1" quotePrefix="1">
      <alignment horizontal="center"/>
      <protection locked="0"/>
    </xf>
    <xf numFmtId="168" fontId="5" fillId="20" borderId="22" xfId="0" applyNumberFormat="1" applyFont="1" applyFill="1" applyBorder="1" applyAlignment="1" applyProtection="1" quotePrefix="1">
      <alignment horizontal="center"/>
      <protection locked="0"/>
    </xf>
    <xf numFmtId="4" fontId="5" fillId="20" borderId="4" xfId="0" applyNumberFormat="1" applyFont="1" applyFill="1" applyBorder="1" applyAlignment="1" applyProtection="1">
      <alignment horizontal="center"/>
      <protection locked="0"/>
    </xf>
    <xf numFmtId="4" fontId="5" fillId="8" borderId="2" xfId="0" applyNumberFormat="1" applyFont="1" applyFill="1" applyBorder="1" applyAlignment="1" applyProtection="1">
      <alignment horizontal="center"/>
      <protection locked="0"/>
    </xf>
    <xf numFmtId="4" fontId="5" fillId="9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0" fontId="22" fillId="0" borderId="0" xfId="0" applyFont="1" applyAlignment="1">
      <alignment horizontal="left"/>
    </xf>
    <xf numFmtId="173" fontId="7" fillId="0" borderId="4" xfId="0" applyNumberFormat="1" applyFont="1" applyFill="1" applyBorder="1" applyAlignment="1" applyProtection="1" quotePrefix="1">
      <alignment horizontal="center"/>
      <protection/>
    </xf>
    <xf numFmtId="168" fontId="7" fillId="0" borderId="2" xfId="0" applyNumberFormat="1" applyFont="1" applyFill="1" applyBorder="1" applyAlignment="1" applyProtection="1" quotePrefix="1">
      <alignment horizontal="center"/>
      <protection/>
    </xf>
    <xf numFmtId="164" fontId="45" fillId="0" borderId="2" xfId="0" applyNumberFormat="1" applyFont="1" applyFill="1" applyBorder="1" applyAlignment="1" applyProtection="1">
      <alignment horizontal="center"/>
      <protection/>
    </xf>
    <xf numFmtId="2" fontId="76" fillId="0" borderId="2" xfId="0" applyNumberFormat="1" applyFont="1" applyFill="1" applyBorder="1" applyAlignment="1">
      <alignment horizontal="center"/>
    </xf>
    <xf numFmtId="2" fontId="77" fillId="0" borderId="2" xfId="0" applyNumberFormat="1" applyFont="1" applyFill="1" applyBorder="1" applyAlignment="1">
      <alignment horizontal="center"/>
    </xf>
    <xf numFmtId="168" fontId="37" fillId="0" borderId="36" xfId="0" applyNumberFormat="1" applyFont="1" applyFill="1" applyBorder="1" applyAlignment="1" applyProtection="1" quotePrefix="1">
      <alignment horizontal="center"/>
      <protection/>
    </xf>
    <xf numFmtId="168" fontId="37" fillId="0" borderId="37" xfId="0" applyNumberFormat="1" applyFont="1" applyFill="1" applyBorder="1" applyAlignment="1" applyProtection="1" quotePrefix="1">
      <alignment horizontal="center"/>
      <protection/>
    </xf>
    <xf numFmtId="168" fontId="78" fillId="0" borderId="36" xfId="0" applyNumberFormat="1" applyFont="1" applyFill="1" applyBorder="1" applyAlignment="1" applyProtection="1" quotePrefix="1">
      <alignment horizontal="center"/>
      <protection/>
    </xf>
    <xf numFmtId="168" fontId="78" fillId="0" borderId="37" xfId="0" applyNumberFormat="1" applyFont="1" applyFill="1" applyBorder="1" applyAlignment="1" applyProtection="1" quotePrefix="1">
      <alignment horizontal="center"/>
      <protection/>
    </xf>
    <xf numFmtId="168" fontId="47" fillId="0" borderId="2" xfId="0" applyNumberFormat="1" applyFont="1" applyFill="1" applyBorder="1" applyAlignment="1" applyProtection="1" quotePrefix="1">
      <alignment horizontal="center"/>
      <protection/>
    </xf>
    <xf numFmtId="168" fontId="79" fillId="0" borderId="18" xfId="0" applyNumberFormat="1" applyFont="1" applyFill="1" applyBorder="1" applyAlignment="1" applyProtection="1" quotePrefix="1">
      <alignment horizontal="center"/>
      <protection/>
    </xf>
    <xf numFmtId="0" fontId="115" fillId="0" borderId="16" xfId="0" applyFont="1" applyBorder="1" applyAlignment="1">
      <alignment horizontal="left"/>
    </xf>
    <xf numFmtId="0" fontId="0" fillId="0" borderId="1" xfId="0" applyBorder="1" applyAlignment="1">
      <alignment/>
    </xf>
    <xf numFmtId="0" fontId="7" fillId="0" borderId="20" xfId="0" applyFont="1" applyFill="1" applyBorder="1" applyAlignment="1" applyProtection="1">
      <alignment horizontal="center"/>
      <protection locked="0"/>
    </xf>
    <xf numFmtId="164" fontId="7" fillId="0" borderId="2" xfId="0" applyNumberFormat="1" applyFont="1" applyFill="1" applyBorder="1" applyAlignment="1" applyProtection="1" quotePrefix="1">
      <alignment horizontal="center"/>
      <protection locked="0"/>
    </xf>
    <xf numFmtId="168" fontId="36" fillId="0" borderId="2" xfId="0" applyNumberFormat="1" applyFont="1" applyFill="1" applyBorder="1" applyAlignment="1" applyProtection="1">
      <alignment horizontal="center"/>
      <protection/>
    </xf>
    <xf numFmtId="22" fontId="7" fillId="0" borderId="21" xfId="0" applyNumberFormat="1" applyFont="1" applyFill="1" applyBorder="1" applyAlignment="1" applyProtection="1">
      <alignment horizontal="center"/>
      <protection locked="0"/>
    </xf>
    <xf numFmtId="2" fontId="78" fillId="0" borderId="2" xfId="0" applyNumberFormat="1" applyFont="1" applyFill="1" applyBorder="1" applyAlignment="1" applyProtection="1">
      <alignment horizontal="center"/>
      <protection/>
    </xf>
    <xf numFmtId="168" fontId="65" fillId="0" borderId="21" xfId="0" applyNumberFormat="1" applyFont="1" applyFill="1" applyBorder="1" applyAlignment="1" applyProtection="1" quotePrefix="1">
      <alignment horizontal="center"/>
      <protection/>
    </xf>
    <xf numFmtId="168" fontId="65" fillId="0" borderId="45" xfId="0" applyNumberFormat="1" applyFont="1" applyFill="1" applyBorder="1" applyAlignment="1" applyProtection="1" quotePrefix="1">
      <alignment horizontal="center"/>
      <protection/>
    </xf>
    <xf numFmtId="168" fontId="44" fillId="0" borderId="2" xfId="0" applyNumberFormat="1" applyFont="1" applyFill="1" applyBorder="1" applyAlignment="1" applyProtection="1" quotePrefix="1">
      <alignment horizontal="center"/>
      <protection/>
    </xf>
    <xf numFmtId="0" fontId="7" fillId="0" borderId="18" xfId="22" applyFont="1" applyFill="1" applyBorder="1" applyAlignment="1" applyProtection="1">
      <alignment horizontal="center"/>
      <protection locked="0"/>
    </xf>
    <xf numFmtId="0" fontId="7" fillId="0" borderId="23" xfId="22" applyFont="1" applyFill="1" applyBorder="1" applyAlignment="1" applyProtection="1">
      <alignment horizontal="center"/>
      <protection locked="0"/>
    </xf>
    <xf numFmtId="164" fontId="7" fillId="0" borderId="18" xfId="22" applyNumberFormat="1" applyFont="1" applyFill="1" applyBorder="1" applyAlignment="1" applyProtection="1">
      <alignment horizontal="center"/>
      <protection locked="0"/>
    </xf>
    <xf numFmtId="1" fontId="7" fillId="0" borderId="37" xfId="22" applyNumberFormat="1" applyFont="1" applyFill="1" applyBorder="1" applyAlignment="1" applyProtection="1" quotePrefix="1">
      <alignment horizontal="center"/>
      <protection locked="0"/>
    </xf>
    <xf numFmtId="174" fontId="36" fillId="0" borderId="2" xfId="22" applyNumberFormat="1" applyFont="1" applyFill="1" applyBorder="1" applyAlignment="1" applyProtection="1">
      <alignment horizontal="center"/>
      <protection/>
    </xf>
    <xf numFmtId="22" fontId="7" fillId="0" borderId="2" xfId="22" applyNumberFormat="1" applyFont="1" applyFill="1" applyBorder="1" applyAlignment="1" applyProtection="1">
      <alignment horizontal="center"/>
      <protection locked="0"/>
    </xf>
    <xf numFmtId="0" fontId="108" fillId="0" borderId="0" xfId="0" applyNumberFormat="1" applyFont="1" applyBorder="1" applyAlignment="1">
      <alignment horizontal="left"/>
    </xf>
    <xf numFmtId="0" fontId="62" fillId="0" borderId="0" xfId="25" applyNumberFormat="1" applyFont="1" applyBorder="1" applyAlignment="1">
      <alignment horizontal="left"/>
      <protection/>
    </xf>
    <xf numFmtId="168" fontId="53" fillId="0" borderId="0" xfId="0" applyNumberFormat="1" applyFont="1" applyBorder="1" applyAlignment="1" applyProtection="1">
      <alignment horizontal="left"/>
      <protection/>
    </xf>
    <xf numFmtId="174" fontId="10" fillId="0" borderId="73" xfId="0" applyNumberFormat="1" applyFont="1" applyFill="1" applyBorder="1" applyAlignment="1">
      <alignment horizontal="center"/>
    </xf>
    <xf numFmtId="174" fontId="10" fillId="0" borderId="74" xfId="0" applyNumberFormat="1" applyFont="1" applyFill="1" applyBorder="1" applyAlignment="1">
      <alignment horizontal="center"/>
    </xf>
    <xf numFmtId="0" fontId="63" fillId="6" borderId="8" xfId="0" applyFont="1" applyFill="1" applyBorder="1" applyAlignment="1" applyProtection="1">
      <alignment horizontal="center" vertical="center" wrapText="1"/>
      <protection/>
    </xf>
    <xf numFmtId="0" fontId="63" fillId="6" borderId="9" xfId="0" applyFont="1" applyFill="1" applyBorder="1" applyAlignment="1" applyProtection="1">
      <alignment horizontal="center" vertical="center" wrapText="1"/>
      <protection/>
    </xf>
    <xf numFmtId="183" fontId="2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75" xfId="0" applyBorder="1" applyAlignment="1">
      <alignment/>
    </xf>
    <xf numFmtId="174" fontId="10" fillId="0" borderId="76" xfId="0" applyNumberFormat="1" applyFont="1" applyBorder="1" applyAlignment="1">
      <alignment horizontal="center"/>
    </xf>
    <xf numFmtId="7" fontId="22" fillId="0" borderId="77" xfId="0" applyNumberFormat="1" applyFont="1" applyBorder="1" applyAlignment="1">
      <alignment horizontal="center"/>
    </xf>
    <xf numFmtId="4" fontId="25" fillId="0" borderId="57" xfId="0" applyNumberFormat="1" applyFont="1" applyBorder="1" applyAlignment="1" applyProtection="1">
      <alignment horizontal="center" vertical="center"/>
      <protection/>
    </xf>
    <xf numFmtId="7" fontId="100" fillId="0" borderId="30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7" fontId="22" fillId="0" borderId="5" xfId="0" applyNumberFormat="1" applyFont="1" applyBorder="1" applyAlignment="1" applyProtection="1">
      <alignment horizontal="left"/>
      <protection/>
    </xf>
    <xf numFmtId="0" fontId="83" fillId="0" borderId="5" xfId="0" applyFont="1" applyBorder="1" applyAlignment="1" quotePrefix="1">
      <alignment/>
    </xf>
    <xf numFmtId="0" fontId="22" fillId="0" borderId="5" xfId="0" applyFont="1" applyBorder="1" applyAlignment="1" applyProtection="1">
      <alignment horizontal="center"/>
      <protection/>
    </xf>
    <xf numFmtId="165" fontId="22" fillId="0" borderId="5" xfId="0" applyNumberFormat="1" applyFont="1" applyBorder="1" applyAlignment="1" applyProtection="1">
      <alignment horizontal="center"/>
      <protection/>
    </xf>
    <xf numFmtId="0" fontId="83" fillId="0" borderId="5" xfId="0" applyFont="1" applyBorder="1" applyAlignment="1">
      <alignment/>
    </xf>
    <xf numFmtId="168" fontId="22" fillId="0" borderId="5" xfId="0" applyNumberFormat="1" applyFont="1" applyBorder="1" applyAlignment="1" applyProtection="1">
      <alignment horizontal="center"/>
      <protection/>
    </xf>
    <xf numFmtId="173" fontId="22" fillId="0" borderId="5" xfId="0" applyNumberFormat="1" applyFont="1" applyBorder="1" applyAlignment="1" applyProtection="1" quotePrefix="1">
      <alignment horizontal="center"/>
      <protection/>
    </xf>
    <xf numFmtId="2" fontId="99" fillId="0" borderId="5" xfId="0" applyNumberFormat="1" applyFont="1" applyBorder="1" applyAlignment="1" applyProtection="1">
      <alignment horizontal="center"/>
      <protection/>
    </xf>
    <xf numFmtId="168" fontId="95" fillId="0" borderId="5" xfId="0" applyNumberFormat="1" applyFont="1" applyBorder="1" applyAlignment="1" applyProtection="1" quotePrefix="1">
      <alignment horizontal="center"/>
      <protection/>
    </xf>
    <xf numFmtId="4" fontId="22" fillId="0" borderId="5" xfId="0" applyNumberFormat="1" applyFont="1" applyFill="1" applyBorder="1" applyAlignment="1">
      <alignment horizontal="center"/>
    </xf>
    <xf numFmtId="0" fontId="7" fillId="0" borderId="48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7" fontId="10" fillId="0" borderId="49" xfId="0" applyNumberFormat="1" applyFont="1" applyFill="1" applyBorder="1" applyAlignment="1">
      <alignment horizontal="center"/>
    </xf>
    <xf numFmtId="7" fontId="10" fillId="0" borderId="0" xfId="0" applyNumberFormat="1" applyFont="1" applyFill="1" applyBorder="1" applyAlignment="1">
      <alignment horizontal="center"/>
    </xf>
    <xf numFmtId="0" fontId="12" fillId="0" borderId="70" xfId="0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42" fillId="18" borderId="8" xfId="0" applyFont="1" applyFill="1" applyBorder="1" applyAlignment="1" applyProtection="1">
      <alignment horizontal="center" vertical="center" wrapText="1"/>
      <protection/>
    </xf>
    <xf numFmtId="0" fontId="42" fillId="18" borderId="9" xfId="0" applyFont="1" applyFill="1" applyBorder="1" applyAlignment="1" applyProtection="1">
      <alignment horizontal="center" vertical="center" wrapText="1"/>
      <protection/>
    </xf>
    <xf numFmtId="0" fontId="63" fillId="6" borderId="8" xfId="0" applyFont="1" applyFill="1" applyBorder="1" applyAlignment="1">
      <alignment horizontal="center" vertical="center"/>
    </xf>
    <xf numFmtId="0" fontId="63" fillId="6" borderId="9" xfId="0" applyFont="1" applyFill="1" applyBorder="1" applyAlignment="1">
      <alignment horizontal="center" vertical="center"/>
    </xf>
    <xf numFmtId="174" fontId="10" fillId="0" borderId="78" xfId="0" applyNumberFormat="1" applyFont="1" applyBorder="1" applyAlignment="1">
      <alignment horizontal="center"/>
    </xf>
    <xf numFmtId="174" fontId="10" fillId="0" borderId="79" xfId="0" applyNumberFormat="1" applyFont="1" applyBorder="1" applyAlignment="1">
      <alignment horizontal="center"/>
    </xf>
    <xf numFmtId="174" fontId="10" fillId="0" borderId="80" xfId="0" applyNumberFormat="1" applyFont="1" applyBorder="1" applyAlignment="1">
      <alignment horizontal="center"/>
    </xf>
    <xf numFmtId="164" fontId="7" fillId="0" borderId="70" xfId="0" applyNumberFormat="1" applyFont="1" applyBorder="1" applyAlignment="1" applyProtection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35" xfId="0" applyNumberFormat="1" applyFont="1" applyBorder="1" applyAlignment="1" applyProtection="1">
      <alignment horizontal="center"/>
      <protection/>
    </xf>
    <xf numFmtId="168" fontId="7" fillId="0" borderId="70" xfId="0" applyNumberFormat="1" applyFont="1" applyBorder="1" applyAlignment="1" applyProtection="1">
      <alignment horizontal="center"/>
      <protection/>
    </xf>
    <xf numFmtId="168" fontId="7" fillId="0" borderId="58" xfId="0" applyNumberFormat="1" applyFont="1" applyBorder="1" applyAlignment="1" applyProtection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48" xfId="0" applyNumberFormat="1" applyFont="1" applyBorder="1" applyAlignment="1" applyProtection="1" quotePrefix="1">
      <alignment horizontal="center"/>
      <protection/>
    </xf>
    <xf numFmtId="168" fontId="7" fillId="0" borderId="23" xfId="0" applyNumberFormat="1" applyFont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 quotePrefix="1">
      <alignment horizontal="center"/>
      <protection/>
    </xf>
    <xf numFmtId="165" fontId="7" fillId="0" borderId="48" xfId="0" applyNumberFormat="1" applyFont="1" applyBorder="1" applyAlignment="1" applyProtection="1">
      <alignment horizontal="center"/>
      <protection/>
    </xf>
    <xf numFmtId="165" fontId="7" fillId="0" borderId="35" xfId="0" applyNumberFormat="1" applyFont="1" applyBorder="1" applyAlignment="1" applyProtection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A0706NER Anexo I" xfId="22"/>
    <cellStyle name="Normal_EDENOR9604" xfId="23"/>
    <cellStyle name="Normal_líneas" xfId="24"/>
    <cellStyle name="Normal_PAFTT Anexo 28" xfId="25"/>
    <cellStyle name="Normal_TRAN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3</xdr:col>
      <xdr:colOff>219075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19050</xdr:rowOff>
    </xdr:from>
    <xdr:to>
      <xdr:col>0</xdr:col>
      <xdr:colOff>1304925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19050</xdr:rowOff>
    </xdr:from>
    <xdr:to>
      <xdr:col>0</xdr:col>
      <xdr:colOff>1076325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13</xdr:row>
      <xdr:rowOff>0</xdr:rowOff>
    </xdr:from>
    <xdr:to>
      <xdr:col>10</xdr:col>
      <xdr:colOff>57150</xdr:colOff>
      <xdr:row>15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305752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0</xdr:col>
      <xdr:colOff>1152525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2009\A0809NER%20Anexo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GI26">
            <v>1</v>
          </cell>
          <cell r="GQ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  <cell r="GL30">
            <v>1</v>
          </cell>
          <cell r="GO30">
            <v>1</v>
          </cell>
          <cell r="GQ30">
            <v>1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P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N43">
            <v>1</v>
          </cell>
          <cell r="GQ43">
            <v>2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GG46" t="str">
            <v>XXXX</v>
          </cell>
          <cell r="GH46" t="str">
            <v>XXXX</v>
          </cell>
          <cell r="GI46" t="str">
            <v>XXXX</v>
          </cell>
          <cell r="GJ46" t="str">
            <v>XXXX</v>
          </cell>
          <cell r="GK46" t="str">
            <v>XXXX</v>
          </cell>
          <cell r="GL46" t="str">
            <v>XXXX</v>
          </cell>
          <cell r="GM46" t="str">
            <v>XXXX</v>
          </cell>
          <cell r="GN46" t="str">
            <v>XXXX</v>
          </cell>
          <cell r="GO46" t="str">
            <v>XXXX</v>
          </cell>
          <cell r="GP46" t="str">
            <v>XXXX</v>
          </cell>
          <cell r="GQ46" t="str">
            <v>XXXX</v>
          </cell>
          <cell r="GR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GQ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GH48">
            <v>2</v>
          </cell>
          <cell r="GM48">
            <v>1</v>
          </cell>
          <cell r="GO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N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GG54" t="str">
            <v> </v>
          </cell>
          <cell r="GH54" t="str">
            <v>XXXX</v>
          </cell>
          <cell r="GI54" t="str">
            <v>XXXX</v>
          </cell>
          <cell r="GJ54" t="str">
            <v>XXXX</v>
          </cell>
          <cell r="GK54" t="str">
            <v>XXXX</v>
          </cell>
          <cell r="GL54" t="str">
            <v>XXXX</v>
          </cell>
          <cell r="GM54" t="str">
            <v>XXXX</v>
          </cell>
          <cell r="GN54" t="str">
            <v>XXXX</v>
          </cell>
          <cell r="GO54" t="str">
            <v>XXXX</v>
          </cell>
          <cell r="GP54" t="str">
            <v>XXXX</v>
          </cell>
          <cell r="GQ54" t="str">
            <v>XXXX</v>
          </cell>
          <cell r="GR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GG57" t="str">
            <v>XXXX</v>
          </cell>
          <cell r="GH57" t="str">
            <v>XXXX</v>
          </cell>
          <cell r="GI57" t="str">
            <v>XXXX</v>
          </cell>
          <cell r="GJ57" t="str">
            <v>XXXX</v>
          </cell>
          <cell r="GK57" t="str">
            <v>XXXX</v>
          </cell>
          <cell r="GL57" t="str">
            <v>XXXX</v>
          </cell>
          <cell r="GM57" t="str">
            <v>XXXX</v>
          </cell>
          <cell r="GN57" t="str">
            <v>XXXX</v>
          </cell>
          <cell r="GO57" t="str">
            <v>XXXX</v>
          </cell>
          <cell r="GP57" t="str">
            <v>XXXX</v>
          </cell>
          <cell r="GQ57" t="str">
            <v>XXXX</v>
          </cell>
          <cell r="GR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Q60">
            <v>2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M61">
            <v>1</v>
          </cell>
          <cell r="GP61">
            <v>1</v>
          </cell>
          <cell r="GQ61">
            <v>1</v>
          </cell>
          <cell r="GR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G62" t="str">
            <v>B</v>
          </cell>
          <cell r="GG62" t="str">
            <v>XXXX</v>
          </cell>
          <cell r="GH62" t="str">
            <v>XXXX</v>
          </cell>
          <cell r="GI62" t="str">
            <v>XXXX</v>
          </cell>
          <cell r="GJ62" t="str">
            <v>XXXX</v>
          </cell>
          <cell r="GK62" t="str">
            <v>XXXX</v>
          </cell>
          <cell r="GL62" t="str">
            <v>XXXX</v>
          </cell>
          <cell r="GM62" t="str">
            <v>XXXX</v>
          </cell>
          <cell r="GN62" t="str">
            <v>XXXX</v>
          </cell>
          <cell r="GO62" t="str">
            <v>XXXX</v>
          </cell>
          <cell r="GP62" t="str">
            <v>XXXX</v>
          </cell>
          <cell r="GQ62" t="str">
            <v>XXXX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  <cell r="G63" t="str">
            <v>C</v>
          </cell>
          <cell r="GG63" t="str">
            <v>XXXX</v>
          </cell>
          <cell r="GH63" t="str">
            <v>XXXX</v>
          </cell>
          <cell r="GI63" t="str">
            <v>XXXX</v>
          </cell>
          <cell r="GJ63" t="str">
            <v>XXXX</v>
          </cell>
          <cell r="GK63" t="str">
            <v>XXXX</v>
          </cell>
          <cell r="GL63" t="str">
            <v>XXXX</v>
          </cell>
          <cell r="GM63" t="str">
            <v>XXXX</v>
          </cell>
          <cell r="GN63" t="str">
            <v>XXXX</v>
          </cell>
          <cell r="GO63" t="str">
            <v>XXXX</v>
          </cell>
          <cell r="GP63" t="str">
            <v>XXXX</v>
          </cell>
          <cell r="GQ63" t="str">
            <v>XXXX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G64" t="str">
            <v>C</v>
          </cell>
          <cell r="GL64">
            <v>1</v>
          </cell>
          <cell r="GM64">
            <v>1</v>
          </cell>
          <cell r="GN64">
            <v>3</v>
          </cell>
          <cell r="GP64">
            <v>1</v>
          </cell>
          <cell r="GQ64">
            <v>2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  <cell r="G65" t="str">
            <v>A</v>
          </cell>
          <cell r="GQ65">
            <v>1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  <cell r="G67" t="str">
            <v>C</v>
          </cell>
          <cell r="GM67">
            <v>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  <cell r="G68" t="str">
            <v>C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  <cell r="G69" t="str">
            <v>C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  <cell r="G70" t="str">
            <v>C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G71" t="str">
            <v>C</v>
          </cell>
          <cell r="GH71">
            <v>1</v>
          </cell>
          <cell r="GJ71">
            <v>1</v>
          </cell>
          <cell r="GL71">
            <v>1</v>
          </cell>
          <cell r="GQ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G72" t="str">
            <v>C</v>
          </cell>
          <cell r="GM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G73" t="str">
            <v>C</v>
          </cell>
          <cell r="GH73">
            <v>1</v>
          </cell>
          <cell r="GM73">
            <v>1</v>
          </cell>
          <cell r="GP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  <cell r="G74" t="str">
            <v>C</v>
          </cell>
          <cell r="GG74">
            <v>1</v>
          </cell>
          <cell r="GH74">
            <v>1</v>
          </cell>
          <cell r="GJ74">
            <v>1</v>
          </cell>
          <cell r="GL74">
            <v>1</v>
          </cell>
          <cell r="GM74">
            <v>2</v>
          </cell>
          <cell r="GP74">
            <v>2</v>
          </cell>
          <cell r="GQ74">
            <v>1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  <cell r="G75" t="str">
            <v>C</v>
          </cell>
          <cell r="GI75">
            <v>1</v>
          </cell>
          <cell r="GJ75">
            <v>1</v>
          </cell>
          <cell r="GM75">
            <v>1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G76" t="str">
            <v>C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  <cell r="G78" t="str">
            <v>C</v>
          </cell>
          <cell r="GL78">
            <v>1</v>
          </cell>
          <cell r="GP78">
            <v>1</v>
          </cell>
          <cell r="GQ78">
            <v>1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G79" t="str">
            <v>C</v>
          </cell>
          <cell r="GJ79">
            <v>1</v>
          </cell>
          <cell r="GK79">
            <v>2</v>
          </cell>
          <cell r="GL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  <cell r="G80" t="str">
            <v>A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  <cell r="G81" t="str">
            <v>A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  <cell r="G85" t="str">
            <v>B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  <cell r="G86" t="str">
            <v>B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G87" t="str">
            <v>A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  <cell r="G88" t="str">
            <v>C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G89" t="str">
            <v>B</v>
          </cell>
          <cell r="GG89" t="str">
            <v>XXXX</v>
          </cell>
          <cell r="GH89" t="str">
            <v>XXXX</v>
          </cell>
          <cell r="GI89" t="str">
            <v>XXXX</v>
          </cell>
          <cell r="GJ89" t="str">
            <v>XXXX</v>
          </cell>
          <cell r="GK89" t="str">
            <v>XXXX</v>
          </cell>
          <cell r="GL89" t="str">
            <v>XXXX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  <cell r="GQ89" t="str">
            <v>XXXX</v>
          </cell>
          <cell r="GR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  <cell r="G91" t="str">
            <v>A</v>
          </cell>
        </row>
        <row r="104">
          <cell r="GG104">
            <v>0.47</v>
          </cell>
          <cell r="GH104">
            <v>0.49</v>
          </cell>
          <cell r="GI104">
            <v>0.53</v>
          </cell>
          <cell r="GJ104">
            <v>0.54</v>
          </cell>
          <cell r="GK104">
            <v>0.49</v>
          </cell>
          <cell r="GL104">
            <v>0.49</v>
          </cell>
          <cell r="GM104">
            <v>0.56</v>
          </cell>
          <cell r="GN104">
            <v>0.6</v>
          </cell>
          <cell r="GO104">
            <v>0.6</v>
          </cell>
          <cell r="GP104">
            <v>0.56</v>
          </cell>
          <cell r="GQ104">
            <v>0.57</v>
          </cell>
          <cell r="GR104">
            <v>0.61</v>
          </cell>
          <cell r="GS104">
            <v>0.59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809"/>
      <sheetName val="LI-08 (1)"/>
      <sheetName val="LI-08 (2)"/>
      <sheetName val="Incendio"/>
      <sheetName val="LI-LITSA-08 (1)"/>
      <sheetName val="LI-INTESAR-08 (1)"/>
      <sheetName val="TR-08 (1)"/>
      <sheetName val="T4CH - Nota SE N° 2492"/>
      <sheetName val="TR-ENECOR-08 (1)"/>
      <sheetName val="SA-08 (1)"/>
      <sheetName val="SA-08 (2)"/>
      <sheetName val="SA-08 (3)"/>
      <sheetName val="SA-TIBA-08 (1)"/>
      <sheetName val="SA-ENECOR-08 (1)"/>
      <sheetName val="RE-08 (1)"/>
      <sheetName val="SUP-LITSA"/>
      <sheetName val="SUP-INTESAR"/>
      <sheetName val="SUP-ENECOR"/>
      <sheetName val="SUP-TIBA"/>
      <sheetName val="TASA FALLA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1"/>
  <sheetViews>
    <sheetView tabSelected="1" zoomScale="70" zoomScaleNormal="70" workbookViewId="0" topLeftCell="A1">
      <selection activeCell="G5" sqref="G5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25.57421875" style="5" customWidth="1"/>
    <col min="8" max="8" width="16.57421875" style="5" customWidth="1"/>
    <col min="9" max="9" width="18.851562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815"/>
      <c r="B1" s="19"/>
      <c r="E1" s="54"/>
      <c r="K1" s="144"/>
    </row>
    <row r="2" spans="2:10" s="18" customFormat="1" ht="26.25">
      <c r="B2" s="19" t="s">
        <v>324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51</v>
      </c>
      <c r="C7" s="166"/>
      <c r="D7" s="167"/>
      <c r="E7" s="167"/>
      <c r="F7" s="168"/>
      <c r="G7" s="168"/>
      <c r="H7" s="168"/>
      <c r="I7" s="168"/>
      <c r="J7" s="168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50</v>
      </c>
      <c r="C9" s="166"/>
      <c r="D9" s="167"/>
      <c r="E9" s="167"/>
      <c r="F9" s="167"/>
      <c r="G9" s="167"/>
      <c r="H9" s="167"/>
      <c r="I9" s="168"/>
      <c r="J9" s="168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304</v>
      </c>
      <c r="C11" s="169"/>
      <c r="D11" s="170"/>
      <c r="E11" s="170"/>
      <c r="F11" s="167"/>
      <c r="G11" s="167"/>
      <c r="H11" s="167"/>
      <c r="I11" s="168"/>
      <c r="J11" s="168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794"/>
      <c r="C13" s="34"/>
      <c r="D13" s="34"/>
      <c r="E13" s="795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183</v>
      </c>
      <c r="C14" s="38"/>
      <c r="D14" s="39"/>
      <c r="E14" s="796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0"/>
      <c r="E15" s="164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0" t="s">
        <v>0</v>
      </c>
      <c r="E16" s="164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0">
        <v>11</v>
      </c>
      <c r="E17" s="161" t="s">
        <v>5</v>
      </c>
      <c r="F17" s="46"/>
      <c r="G17" s="46"/>
      <c r="H17" s="46"/>
      <c r="I17" s="49">
        <f>'LI-01 (2)'!AE43</f>
        <v>123721.69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0">
        <v>12</v>
      </c>
      <c r="E18" s="161" t="s">
        <v>162</v>
      </c>
      <c r="F18" s="46"/>
      <c r="G18" s="46"/>
      <c r="H18" s="46"/>
      <c r="I18" s="49">
        <f>'LI-INTESAR-01 (1)'!AE41</f>
        <v>11430.37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ht="12.75" customHeight="1">
      <c r="B19" s="50"/>
      <c r="C19" s="51"/>
      <c r="D19" s="160"/>
      <c r="E19" s="797"/>
      <c r="F19" s="52"/>
      <c r="G19" s="52"/>
      <c r="H19" s="52"/>
      <c r="I19" s="53"/>
      <c r="J19" s="6"/>
      <c r="K19" s="43"/>
      <c r="L19" s="4"/>
      <c r="M19" s="4"/>
      <c r="N19" s="4"/>
      <c r="O19" s="4"/>
      <c r="P19" s="4"/>
      <c r="Q19" s="4"/>
      <c r="R19" s="4"/>
      <c r="S19" s="4"/>
    </row>
    <row r="20" spans="2:19" s="36" customFormat="1" ht="19.5">
      <c r="B20" s="44"/>
      <c r="C20" s="48" t="s">
        <v>6</v>
      </c>
      <c r="D20" s="163" t="s">
        <v>7</v>
      </c>
      <c r="E20" s="164"/>
      <c r="F20" s="46"/>
      <c r="G20" s="46"/>
      <c r="H20" s="46"/>
      <c r="I20" s="49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2:19" s="36" customFormat="1" ht="19.5">
      <c r="B21" s="44"/>
      <c r="C21" s="48"/>
      <c r="D21" s="160">
        <v>21</v>
      </c>
      <c r="E21" s="161" t="s">
        <v>8</v>
      </c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0"/>
      <c r="E22" s="162">
        <v>211</v>
      </c>
      <c r="F22" s="54" t="s">
        <v>5</v>
      </c>
      <c r="G22" s="46"/>
      <c r="H22" s="46"/>
      <c r="I22" s="49">
        <f>'TR-01 (1)'!AC38</f>
        <v>75595.3</v>
      </c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0"/>
      <c r="E23" s="162">
        <v>212</v>
      </c>
      <c r="F23" s="54" t="s">
        <v>57</v>
      </c>
      <c r="G23" s="46"/>
      <c r="H23" s="46"/>
      <c r="I23" s="49">
        <f>'TR-TIBA-01 (1)'!AC41</f>
        <v>927.48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0"/>
      <c r="E24" s="162">
        <v>213</v>
      </c>
      <c r="F24" s="54" t="s">
        <v>53</v>
      </c>
      <c r="G24" s="46"/>
      <c r="H24" s="46"/>
      <c r="I24" s="49">
        <f>'TR-ENECOR-01 (1)'!AC41</f>
        <v>0</v>
      </c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0"/>
      <c r="E25" s="162">
        <v>214</v>
      </c>
      <c r="F25" s="54" t="s">
        <v>310</v>
      </c>
      <c r="G25" s="46"/>
      <c r="H25" s="46"/>
      <c r="I25" s="49">
        <f>'T4CH - Nota SE N° 2492'!AC43</f>
        <v>93297.6</v>
      </c>
      <c r="J25" s="6" t="s">
        <v>298</v>
      </c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0">
        <v>22</v>
      </c>
      <c r="E26" s="161" t="s">
        <v>9</v>
      </c>
      <c r="F26" s="46"/>
      <c r="G26" s="46"/>
      <c r="H26" s="46"/>
      <c r="I26" s="49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0"/>
      <c r="E27" s="162">
        <v>221</v>
      </c>
      <c r="F27" s="54" t="s">
        <v>5</v>
      </c>
      <c r="G27" s="46"/>
      <c r="H27" s="46"/>
      <c r="I27" s="49">
        <f>'SA-01 (2)'!V45</f>
        <v>38982.42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60"/>
      <c r="E28" s="162">
        <v>222</v>
      </c>
      <c r="F28" s="54" t="s">
        <v>57</v>
      </c>
      <c r="G28" s="46"/>
      <c r="H28" s="46"/>
      <c r="I28" s="49">
        <f>'SA-TIBA-01 (1)'!V43</f>
        <v>4724.07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60"/>
      <c r="E29" s="162">
        <v>223</v>
      </c>
      <c r="F29" s="54" t="s">
        <v>180</v>
      </c>
      <c r="G29" s="46"/>
      <c r="H29" s="46"/>
      <c r="I29" s="49">
        <f>'SA-LIMSA-01 (1)'!V45</f>
        <v>350.96</v>
      </c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ht="12.75" customHeight="1">
      <c r="B30" s="50"/>
      <c r="C30" s="51"/>
      <c r="D30" s="160"/>
      <c r="E30" s="797"/>
      <c r="F30" s="52"/>
      <c r="G30" s="52"/>
      <c r="H30" s="52"/>
      <c r="I30" s="53"/>
      <c r="J30" s="6"/>
      <c r="K30" s="43"/>
      <c r="L30" s="4"/>
      <c r="M30" s="4"/>
      <c r="N30" s="4"/>
      <c r="O30" s="4"/>
      <c r="P30" s="4"/>
      <c r="Q30" s="4"/>
      <c r="R30" s="4"/>
      <c r="S30" s="4"/>
    </row>
    <row r="31" spans="2:19" s="36" customFormat="1" ht="19.5">
      <c r="B31" s="44"/>
      <c r="C31" s="48" t="s">
        <v>10</v>
      </c>
      <c r="D31" s="163" t="s">
        <v>54</v>
      </c>
      <c r="E31" s="164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0">
        <v>31</v>
      </c>
      <c r="E32" s="161" t="s">
        <v>5</v>
      </c>
      <c r="F32" s="46"/>
      <c r="G32" s="46"/>
      <c r="H32" s="46"/>
      <c r="I32" s="49">
        <f>'RE-01 (1)'!Z43</f>
        <v>10060.47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0"/>
      <c r="E33" s="162">
        <v>311</v>
      </c>
      <c r="F33" s="54" t="s">
        <v>156</v>
      </c>
      <c r="G33" s="46"/>
      <c r="H33" s="46"/>
      <c r="I33" s="49">
        <f>'RE-Res.01_03'!Y41</f>
        <v>3.74</v>
      </c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/>
      <c r="D34" s="160">
        <v>32</v>
      </c>
      <c r="E34" s="161" t="s">
        <v>52</v>
      </c>
      <c r="F34" s="46"/>
      <c r="G34" s="46"/>
      <c r="H34" s="46"/>
      <c r="I34" s="49">
        <f>'RE-YACY (1)'!Z43</f>
        <v>980.99</v>
      </c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2.75" customHeight="1">
      <c r="B35" s="44"/>
      <c r="C35" s="48"/>
      <c r="D35" s="160"/>
      <c r="E35" s="161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 t="s">
        <v>55</v>
      </c>
      <c r="D36" s="163" t="s">
        <v>56</v>
      </c>
      <c r="E36" s="164"/>
      <c r="F36" s="46"/>
      <c r="G36" s="46"/>
      <c r="H36" s="46"/>
      <c r="I36" s="49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60">
        <v>41</v>
      </c>
      <c r="E37" s="161" t="s">
        <v>162</v>
      </c>
      <c r="F37" s="46"/>
      <c r="G37" s="46"/>
      <c r="H37" s="46"/>
      <c r="I37" s="49">
        <f>'SUP-INTESAR'!K59</f>
        <v>5708.721851417024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60">
        <v>42</v>
      </c>
      <c r="E38" s="161" t="s">
        <v>57</v>
      </c>
      <c r="F38" s="46"/>
      <c r="G38" s="46"/>
      <c r="H38" s="46"/>
      <c r="I38" s="49">
        <f>'SUP-TIBA'!J70</f>
        <v>1218.217066108023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9.5">
      <c r="B39" s="44"/>
      <c r="C39" s="48"/>
      <c r="D39" s="160">
        <v>43</v>
      </c>
      <c r="E39" s="161" t="s">
        <v>53</v>
      </c>
      <c r="F39" s="46"/>
      <c r="G39" s="46"/>
      <c r="H39" s="54"/>
      <c r="I39" s="49">
        <f>'SUP-ENECOR'!J56</f>
        <v>11045.72175</v>
      </c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19.5">
      <c r="B40" s="44"/>
      <c r="C40" s="48"/>
      <c r="D40" s="160">
        <v>44</v>
      </c>
      <c r="E40" s="161" t="s">
        <v>177</v>
      </c>
      <c r="F40" s="46"/>
      <c r="G40" s="46"/>
      <c r="H40" s="827"/>
      <c r="I40" s="49">
        <f>'SUP-LIMSA'!K66</f>
        <v>140.3414301285971</v>
      </c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19.5">
      <c r="B41" s="44"/>
      <c r="C41" s="48"/>
      <c r="D41" s="160">
        <v>45</v>
      </c>
      <c r="E41" s="161" t="s">
        <v>52</v>
      </c>
      <c r="F41" s="46"/>
      <c r="G41" s="46"/>
      <c r="H41" s="54"/>
      <c r="I41" s="49">
        <f>'SUP-YACYLEC'!K73</f>
        <v>289.85712457157416</v>
      </c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1.25" customHeight="1">
      <c r="B42" s="44"/>
      <c r="C42" s="48"/>
      <c r="D42" s="160"/>
      <c r="E42" s="161"/>
      <c r="F42" s="46"/>
      <c r="G42" s="46"/>
      <c r="H42" s="827"/>
      <c r="I42" s="49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20.25" thickBot="1">
      <c r="B43" s="44"/>
      <c r="C43" s="45"/>
      <c r="D43" s="160"/>
      <c r="E43" s="164"/>
      <c r="F43" s="46"/>
      <c r="G43" s="46"/>
      <c r="H43" s="46"/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20.25" thickBot="1" thickTop="1">
      <c r="B44" s="44"/>
      <c r="C44" s="48"/>
      <c r="D44" s="48"/>
      <c r="F44" s="55" t="s">
        <v>11</v>
      </c>
      <c r="G44" s="56">
        <f>SUM(I17:I41)</f>
        <v>378477.94922222523</v>
      </c>
      <c r="H44" s="125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9.5" thickTop="1">
      <c r="B45" s="44"/>
      <c r="C45" s="48"/>
      <c r="D45" s="48"/>
      <c r="F45" s="159"/>
      <c r="G45" s="125"/>
      <c r="H45" s="125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6" customFormat="1" ht="9.75" customHeight="1">
      <c r="B46" s="44"/>
      <c r="C46" s="48"/>
      <c r="D46" s="48"/>
      <c r="F46" s="159"/>
      <c r="G46" s="125"/>
      <c r="H46" s="125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2:19" s="36" customFormat="1" ht="18.75">
      <c r="B47" s="44"/>
      <c r="C47" s="165" t="s">
        <v>282</v>
      </c>
      <c r="D47" s="48"/>
      <c r="F47" s="159"/>
      <c r="G47" s="125"/>
      <c r="H47" s="125"/>
      <c r="I47" s="828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2:19" s="36" customFormat="1" ht="18.75">
      <c r="B48" s="44"/>
      <c r="C48" s="1107" t="s">
        <v>314</v>
      </c>
      <c r="D48" s="48"/>
      <c r="F48" s="159"/>
      <c r="G48" s="125"/>
      <c r="H48" s="125"/>
      <c r="I48" s="828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2:19" s="36" customFormat="1" ht="18.75">
      <c r="B49" s="44"/>
      <c r="C49" s="1108" t="s">
        <v>315</v>
      </c>
      <c r="D49" s="48"/>
      <c r="F49" s="159"/>
      <c r="G49" s="125"/>
      <c r="H49" s="125"/>
      <c r="I49" s="828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2:19" s="32" customFormat="1" ht="10.5" customHeight="1" thickBot="1">
      <c r="B50" s="57"/>
      <c r="C50" s="58"/>
      <c r="D50" s="58"/>
      <c r="E50" s="59"/>
      <c r="F50" s="59"/>
      <c r="G50" s="59"/>
      <c r="H50" s="59"/>
      <c r="I50" s="59"/>
      <c r="J50" s="60"/>
      <c r="K50" s="33"/>
      <c r="L50" s="33"/>
      <c r="M50" s="61"/>
      <c r="N50" s="62"/>
      <c r="O50" s="62"/>
      <c r="P50" s="63"/>
      <c r="Q50" s="64"/>
      <c r="R50" s="33"/>
      <c r="S50" s="33"/>
    </row>
    <row r="51" spans="4:19" ht="13.5" thickTop="1">
      <c r="D51" s="4"/>
      <c r="F51" s="4"/>
      <c r="G51" s="4"/>
      <c r="H51" s="4"/>
      <c r="I51" s="4"/>
      <c r="J51" s="4"/>
      <c r="K51" s="4"/>
      <c r="L51" s="4"/>
      <c r="M51" s="15"/>
      <c r="N51" s="65"/>
      <c r="O51" s="65"/>
      <c r="P51" s="4"/>
      <c r="Q51" s="66"/>
      <c r="R51" s="4"/>
      <c r="S51" s="4"/>
    </row>
    <row r="52" spans="4:19" ht="12.75">
      <c r="D52" s="4"/>
      <c r="F52" s="4"/>
      <c r="G52" s="4"/>
      <c r="H52" s="4"/>
      <c r="I52" s="4"/>
      <c r="J52" s="4"/>
      <c r="K52" s="4"/>
      <c r="L52" s="4"/>
      <c r="M52" s="4"/>
      <c r="N52" s="67"/>
      <c r="O52" s="67"/>
      <c r="P52" s="68"/>
      <c r="Q52" s="66"/>
      <c r="R52" s="4"/>
      <c r="S52" s="4"/>
    </row>
    <row r="53" spans="4:19" ht="12.75">
      <c r="D53" s="4"/>
      <c r="E53" s="4"/>
      <c r="F53" s="4"/>
      <c r="G53" s="4"/>
      <c r="H53" s="4"/>
      <c r="I53" s="4"/>
      <c r="J53" s="4"/>
      <c r="K53" s="4"/>
      <c r="L53" s="4"/>
      <c r="M53" s="4"/>
      <c r="N53" s="67"/>
      <c r="O53" s="67"/>
      <c r="P53" s="68"/>
      <c r="Q53" s="66"/>
      <c r="R53" s="4"/>
      <c r="S53" s="4"/>
    </row>
    <row r="54" spans="4:19" ht="12.75">
      <c r="D54" s="4"/>
      <c r="E54" s="4"/>
      <c r="L54" s="4"/>
      <c r="M54" s="4"/>
      <c r="N54" s="4"/>
      <c r="O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4:19" ht="12.75">
      <c r="D56" s="4"/>
      <c r="E56" s="4"/>
      <c r="P56" s="4"/>
      <c r="Q56" s="4"/>
      <c r="R56" s="4"/>
      <c r="S56" s="4"/>
    </row>
    <row r="57" spans="4:19" ht="12.75">
      <c r="D57" s="4"/>
      <c r="E57" s="4"/>
      <c r="P57" s="4"/>
      <c r="Q57" s="4"/>
      <c r="R57" s="4"/>
      <c r="S57" s="4"/>
    </row>
    <row r="58" spans="4:19" ht="12.75">
      <c r="D58" s="4"/>
      <c r="E58" s="4"/>
      <c r="P58" s="4"/>
      <c r="Q58" s="4"/>
      <c r="R58" s="4"/>
      <c r="S58" s="4"/>
    </row>
    <row r="59" spans="4:19" ht="12.75">
      <c r="D59" s="4"/>
      <c r="E59" s="4"/>
      <c r="P59" s="4"/>
      <c r="Q59" s="4"/>
      <c r="R59" s="4"/>
      <c r="S59" s="4"/>
    </row>
    <row r="60" spans="16:19" ht="12.75">
      <c r="P60" s="4"/>
      <c r="Q60" s="4"/>
      <c r="R60" s="4"/>
      <c r="S60" s="4"/>
    </row>
    <row r="61" spans="16:19" ht="12.75">
      <c r="P61" s="4"/>
      <c r="Q61" s="4"/>
      <c r="R61" s="4"/>
      <c r="S61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6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workbookViewId="0" topLeftCell="A13">
      <selection activeCell="G17" sqref="G17:G1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58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150</v>
      </c>
      <c r="G10" s="344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5"/>
      <c r="G11" s="345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68</v>
      </c>
      <c r="G12" s="344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5"/>
      <c r="G13" s="345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'TOT-0110'!B14</f>
        <v>Desde el 01 al 31 de enero de 2010</v>
      </c>
      <c r="C14" s="40"/>
      <c r="D14" s="40"/>
      <c r="E14" s="40"/>
      <c r="F14" s="40"/>
      <c r="G14" s="40"/>
      <c r="H14" s="40"/>
      <c r="I14" s="346"/>
      <c r="J14" s="346"/>
      <c r="K14" s="346"/>
      <c r="L14" s="346"/>
      <c r="M14" s="346"/>
      <c r="N14" s="346"/>
      <c r="O14" s="346"/>
      <c r="P14" s="346"/>
      <c r="Q14" s="40"/>
      <c r="R14" s="40"/>
      <c r="S14" s="40"/>
      <c r="T14" s="40"/>
      <c r="U14" s="40"/>
      <c r="V14" s="40"/>
      <c r="W14" s="347"/>
    </row>
    <row r="15" spans="2:23" s="5" customFormat="1" ht="14.25" thickBot="1">
      <c r="B15" s="348"/>
      <c r="C15" s="349"/>
      <c r="D15" s="349"/>
      <c r="E15" s="349"/>
      <c r="F15" s="349"/>
      <c r="G15" s="349"/>
      <c r="H15" s="349"/>
      <c r="I15" s="350"/>
      <c r="J15" s="350"/>
      <c r="K15" s="350"/>
      <c r="L15" s="350"/>
      <c r="M15" s="350"/>
      <c r="N15" s="350"/>
      <c r="O15" s="350"/>
      <c r="P15" s="350"/>
      <c r="Q15" s="349"/>
      <c r="R15" s="349"/>
      <c r="S15" s="349"/>
      <c r="T15" s="349"/>
      <c r="U15" s="349"/>
      <c r="V15" s="349"/>
      <c r="W15" s="351"/>
    </row>
    <row r="16" spans="2:23" s="5" customFormat="1" ht="15" thickBot="1" thickTop="1">
      <c r="B16" s="50"/>
      <c r="C16" s="4"/>
      <c r="D16" s="4"/>
      <c r="E16" s="4"/>
      <c r="F16" s="352"/>
      <c r="G16" s="352"/>
      <c r="H16" s="117" t="s">
        <v>69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3" t="s">
        <v>70</v>
      </c>
      <c r="G17" s="354">
        <v>83.706</v>
      </c>
      <c r="H17" s="355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6" t="s">
        <v>71</v>
      </c>
      <c r="G18" s="357">
        <v>75.332</v>
      </c>
      <c r="H18" s="355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8" t="s">
        <v>72</v>
      </c>
      <c r="G19" s="357">
        <v>66.969</v>
      </c>
      <c r="H19" s="355">
        <v>40</v>
      </c>
      <c r="K19" s="201"/>
      <c r="L19" s="202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19">
        <v>3</v>
      </c>
      <c r="D20" s="919">
        <v>4</v>
      </c>
      <c r="E20" s="919">
        <v>5</v>
      </c>
      <c r="F20" s="919">
        <v>6</v>
      </c>
      <c r="G20" s="919">
        <v>7</v>
      </c>
      <c r="H20" s="919">
        <v>8</v>
      </c>
      <c r="I20" s="919">
        <v>9</v>
      </c>
      <c r="J20" s="919">
        <v>10</v>
      </c>
      <c r="K20" s="919">
        <v>11</v>
      </c>
      <c r="L20" s="919">
        <v>12</v>
      </c>
      <c r="M20" s="919">
        <v>13</v>
      </c>
      <c r="N20" s="919">
        <v>14</v>
      </c>
      <c r="O20" s="919">
        <v>15</v>
      </c>
      <c r="P20" s="919">
        <v>16</v>
      </c>
      <c r="Q20" s="919">
        <v>17</v>
      </c>
      <c r="R20" s="919">
        <v>18</v>
      </c>
      <c r="S20" s="919">
        <v>19</v>
      </c>
      <c r="T20" s="919">
        <v>20</v>
      </c>
      <c r="U20" s="919">
        <v>21</v>
      </c>
      <c r="V20" s="919">
        <v>22</v>
      </c>
      <c r="W20" s="6"/>
    </row>
    <row r="21" spans="2:23" s="5" customFormat="1" ht="33.75" customHeight="1" thickBot="1" thickTop="1">
      <c r="B21" s="50"/>
      <c r="C21" s="123" t="s">
        <v>13</v>
      </c>
      <c r="D21" s="84" t="s">
        <v>171</v>
      </c>
      <c r="E21" s="84" t="s">
        <v>172</v>
      </c>
      <c r="F21" s="86" t="s">
        <v>27</v>
      </c>
      <c r="G21" s="359" t="s">
        <v>28</v>
      </c>
      <c r="H21" s="360" t="s">
        <v>14</v>
      </c>
      <c r="I21" s="129" t="s">
        <v>16</v>
      </c>
      <c r="J21" s="85" t="s">
        <v>17</v>
      </c>
      <c r="K21" s="359" t="s">
        <v>18</v>
      </c>
      <c r="L21" s="361" t="s">
        <v>36</v>
      </c>
      <c r="M21" s="361" t="s">
        <v>31</v>
      </c>
      <c r="N21" s="88" t="s">
        <v>19</v>
      </c>
      <c r="O21" s="176" t="s">
        <v>32</v>
      </c>
      <c r="P21" s="135" t="s">
        <v>37</v>
      </c>
      <c r="Q21" s="362" t="s">
        <v>59</v>
      </c>
      <c r="R21" s="177" t="s">
        <v>35</v>
      </c>
      <c r="S21" s="363"/>
      <c r="T21" s="134" t="s">
        <v>22</v>
      </c>
      <c r="U21" s="132" t="s">
        <v>63</v>
      </c>
      <c r="V21" s="121" t="s">
        <v>24</v>
      </c>
      <c r="W21" s="6"/>
    </row>
    <row r="22" spans="2:23" s="5" customFormat="1" ht="16.5" customHeight="1" thickTop="1">
      <c r="B22" s="50"/>
      <c r="C22" s="262"/>
      <c r="D22" s="262"/>
      <c r="E22" s="262"/>
      <c r="F22" s="364"/>
      <c r="G22" s="364"/>
      <c r="H22" s="364"/>
      <c r="I22" s="220"/>
      <c r="J22" s="364"/>
      <c r="K22" s="364"/>
      <c r="L22" s="364"/>
      <c r="M22" s="364"/>
      <c r="N22" s="364"/>
      <c r="O22" s="364"/>
      <c r="P22" s="365"/>
      <c r="Q22" s="366"/>
      <c r="R22" s="367"/>
      <c r="S22" s="368"/>
      <c r="T22" s="369"/>
      <c r="U22" s="364"/>
      <c r="V22" s="370">
        <f>'SA-01 (1)'!V45</f>
        <v>35111.61</v>
      </c>
      <c r="W22" s="6"/>
    </row>
    <row r="23" spans="2:23" s="5" customFormat="1" ht="16.5" customHeight="1">
      <c r="B23" s="50"/>
      <c r="C23" s="276"/>
      <c r="D23" s="276"/>
      <c r="E23" s="276"/>
      <c r="F23" s="371"/>
      <c r="G23" s="371"/>
      <c r="H23" s="371"/>
      <c r="I23" s="372"/>
      <c r="J23" s="371"/>
      <c r="K23" s="371"/>
      <c r="L23" s="371"/>
      <c r="M23" s="371"/>
      <c r="N23" s="371"/>
      <c r="O23" s="371"/>
      <c r="P23" s="373"/>
      <c r="Q23" s="374"/>
      <c r="R23" s="188"/>
      <c r="S23" s="375"/>
      <c r="T23" s="376"/>
      <c r="U23" s="371"/>
      <c r="V23" s="377"/>
      <c r="W23" s="6"/>
    </row>
    <row r="24" spans="2:23" s="90" customFormat="1" ht="16.5" customHeight="1">
      <c r="B24" s="95"/>
      <c r="C24" s="276">
        <v>64</v>
      </c>
      <c r="D24" s="276">
        <v>217773</v>
      </c>
      <c r="E24" s="152">
        <v>1603</v>
      </c>
      <c r="F24" s="1093" t="s">
        <v>215</v>
      </c>
      <c r="G24" s="1093" t="s">
        <v>236</v>
      </c>
      <c r="H24" s="1094">
        <v>132</v>
      </c>
      <c r="I24" s="1095">
        <f aca="true" t="shared" si="0" ref="I24:I43">IF(H24=500,$G$17,IF(H24=220,$G$18,$G$19))</f>
        <v>66.969</v>
      </c>
      <c r="J24" s="1096">
        <v>40206.25069444445</v>
      </c>
      <c r="K24" s="153">
        <v>40206.39027777778</v>
      </c>
      <c r="L24" s="381">
        <f aca="true" t="shared" si="1" ref="L24:L43">IF(F24="","",(K24-J24)*24)</f>
        <v>3.3499999999185093</v>
      </c>
      <c r="M24" s="382">
        <f aca="true" t="shared" si="2" ref="M24:M43">IF(F24="","",ROUND((K24-J24)*24*60,0))</f>
        <v>201</v>
      </c>
      <c r="N24" s="1043" t="s">
        <v>191</v>
      </c>
      <c r="O24" s="13" t="str">
        <f aca="true" t="shared" si="3" ref="O24:O43">IF(F24="","",IF(N24="P","--","NO"))</f>
        <v>--</v>
      </c>
      <c r="P24" s="1082">
        <f aca="true" t="shared" si="4" ref="P24:P43">IF(H24=500,$H$17,IF(H24=220,$H$18,$H$19))</f>
        <v>40</v>
      </c>
      <c r="Q24" s="1097">
        <f aca="true" t="shared" si="5" ref="Q24:Q43">IF(N24="P",I24*P24*ROUND(M24/60,2)*0.1,"--")</f>
        <v>897.3846</v>
      </c>
      <c r="R24" s="1098" t="str">
        <f aca="true" t="shared" si="6" ref="R24:R43">IF(AND(N24="F",O24="NO"),I24*P24,"--")</f>
        <v>--</v>
      </c>
      <c r="S24" s="1099" t="str">
        <f aca="true" t="shared" si="7" ref="S24:S43">IF(N24="F",I24*P24*ROUND(M24/60,2),"--")</f>
        <v>--</v>
      </c>
      <c r="T24" s="1100" t="str">
        <f aca="true" t="shared" si="8" ref="T24:T43">IF(N24="RF",I24*P24*ROUND(M24/60,2),"--")</f>
        <v>--</v>
      </c>
      <c r="U24" s="13" t="s">
        <v>148</v>
      </c>
      <c r="V24" s="383">
        <v>0</v>
      </c>
      <c r="W24" s="17"/>
    </row>
    <row r="25" spans="2:23" s="5" customFormat="1" ht="16.5" customHeight="1">
      <c r="B25" s="50"/>
      <c r="C25" s="276">
        <v>65</v>
      </c>
      <c r="D25" s="276">
        <v>217775</v>
      </c>
      <c r="E25" s="276">
        <v>3677</v>
      </c>
      <c r="F25" s="953" t="s">
        <v>222</v>
      </c>
      <c r="G25" s="953" t="s">
        <v>237</v>
      </c>
      <c r="H25" s="954">
        <v>132</v>
      </c>
      <c r="I25" s="130">
        <f t="shared" si="0"/>
        <v>66.969</v>
      </c>
      <c r="J25" s="380">
        <v>40206.46944444445</v>
      </c>
      <c r="K25" s="150">
        <v>40206.47361111111</v>
      </c>
      <c r="L25" s="381">
        <f t="shared" si="1"/>
        <v>0.09999999997671694</v>
      </c>
      <c r="M25" s="382">
        <f t="shared" si="2"/>
        <v>6</v>
      </c>
      <c r="N25" s="222" t="s">
        <v>186</v>
      </c>
      <c r="O25" s="223" t="str">
        <f t="shared" si="3"/>
        <v>NO</v>
      </c>
      <c r="P25" s="727">
        <f t="shared" si="4"/>
        <v>40</v>
      </c>
      <c r="Q25" s="904" t="str">
        <f t="shared" si="5"/>
        <v>--</v>
      </c>
      <c r="R25" s="188">
        <f t="shared" si="6"/>
        <v>2678.7599999999998</v>
      </c>
      <c r="S25" s="375">
        <f t="shared" si="7"/>
        <v>267.876</v>
      </c>
      <c r="T25" s="376" t="str">
        <f t="shared" si="8"/>
        <v>--</v>
      </c>
      <c r="U25" s="223" t="s">
        <v>148</v>
      </c>
      <c r="V25" s="383">
        <f aca="true" t="shared" si="9" ref="V25:V43">IF(F25="","",SUM(Q25:T25)*IF(U25="SI",1,2))</f>
        <v>2946.6359999999995</v>
      </c>
      <c r="W25" s="6"/>
    </row>
    <row r="26" spans="2:23" s="5" customFormat="1" ht="16.5" customHeight="1">
      <c r="B26" s="50"/>
      <c r="C26" s="276">
        <v>66</v>
      </c>
      <c r="D26" s="276">
        <v>217781</v>
      </c>
      <c r="E26" s="152">
        <v>3677</v>
      </c>
      <c r="F26" s="953" t="s">
        <v>222</v>
      </c>
      <c r="G26" s="953" t="s">
        <v>237</v>
      </c>
      <c r="H26" s="954">
        <v>132</v>
      </c>
      <c r="I26" s="130">
        <f t="shared" si="0"/>
        <v>66.969</v>
      </c>
      <c r="J26" s="380">
        <v>40208.197222222225</v>
      </c>
      <c r="K26" s="150">
        <v>40208.34097222222</v>
      </c>
      <c r="L26" s="381">
        <f t="shared" si="1"/>
        <v>3.449999999895226</v>
      </c>
      <c r="M26" s="382">
        <f t="shared" si="2"/>
        <v>207</v>
      </c>
      <c r="N26" s="222" t="s">
        <v>191</v>
      </c>
      <c r="O26" s="223" t="str">
        <f t="shared" si="3"/>
        <v>--</v>
      </c>
      <c r="P26" s="727">
        <f t="shared" si="4"/>
        <v>40</v>
      </c>
      <c r="Q26" s="904">
        <f t="shared" si="5"/>
        <v>924.1722</v>
      </c>
      <c r="R26" s="188" t="str">
        <f t="shared" si="6"/>
        <v>--</v>
      </c>
      <c r="S26" s="375" t="str">
        <f t="shared" si="7"/>
        <v>--</v>
      </c>
      <c r="T26" s="376" t="str">
        <f t="shared" si="8"/>
        <v>--</v>
      </c>
      <c r="U26" s="223" t="s">
        <v>148</v>
      </c>
      <c r="V26" s="383">
        <f t="shared" si="9"/>
        <v>924.1722</v>
      </c>
      <c r="W26" s="6"/>
    </row>
    <row r="27" spans="2:23" s="5" customFormat="1" ht="16.5" customHeight="1">
      <c r="B27" s="50"/>
      <c r="C27" s="276"/>
      <c r="D27" s="276"/>
      <c r="E27" s="276"/>
      <c r="F27" s="378"/>
      <c r="G27" s="378"/>
      <c r="H27" s="379"/>
      <c r="I27" s="130">
        <f t="shared" si="0"/>
        <v>66.969</v>
      </c>
      <c r="J27" s="380"/>
      <c r="K27" s="150"/>
      <c r="L27" s="381">
        <f t="shared" si="1"/>
      </c>
      <c r="M27" s="382">
        <f t="shared" si="2"/>
      </c>
      <c r="N27" s="222"/>
      <c r="O27" s="223">
        <f t="shared" si="3"/>
      </c>
      <c r="P27" s="727">
        <f t="shared" si="4"/>
        <v>40</v>
      </c>
      <c r="Q27" s="904" t="str">
        <f t="shared" si="5"/>
        <v>--</v>
      </c>
      <c r="R27" s="188" t="str">
        <f t="shared" si="6"/>
        <v>--</v>
      </c>
      <c r="S27" s="375" t="str">
        <f t="shared" si="7"/>
        <v>--</v>
      </c>
      <c r="T27" s="376" t="str">
        <f t="shared" si="8"/>
        <v>--</v>
      </c>
      <c r="U27" s="223">
        <f aca="true" t="shared" si="10" ref="U27:U43">IF(F27="","","SI")</f>
      </c>
      <c r="V27" s="383">
        <f t="shared" si="9"/>
      </c>
      <c r="W27" s="6"/>
    </row>
    <row r="28" spans="2:23" s="5" customFormat="1" ht="16.5" customHeight="1">
      <c r="B28" s="50"/>
      <c r="C28" s="276"/>
      <c r="D28" s="276"/>
      <c r="E28" s="152"/>
      <c r="F28" s="378"/>
      <c r="G28" s="378"/>
      <c r="H28" s="379"/>
      <c r="I28" s="130">
        <f t="shared" si="0"/>
        <v>66.969</v>
      </c>
      <c r="J28" s="380"/>
      <c r="K28" s="150"/>
      <c r="L28" s="381">
        <f t="shared" si="1"/>
      </c>
      <c r="M28" s="382">
        <f t="shared" si="2"/>
      </c>
      <c r="N28" s="222"/>
      <c r="O28" s="223">
        <f t="shared" si="3"/>
      </c>
      <c r="P28" s="727">
        <f t="shared" si="4"/>
        <v>40</v>
      </c>
      <c r="Q28" s="904" t="str">
        <f t="shared" si="5"/>
        <v>--</v>
      </c>
      <c r="R28" s="188" t="str">
        <f t="shared" si="6"/>
        <v>--</v>
      </c>
      <c r="S28" s="375" t="str">
        <f t="shared" si="7"/>
        <v>--</v>
      </c>
      <c r="T28" s="376" t="str">
        <f t="shared" si="8"/>
        <v>--</v>
      </c>
      <c r="U28" s="223">
        <f t="shared" si="10"/>
      </c>
      <c r="V28" s="383">
        <f t="shared" si="9"/>
      </c>
      <c r="W28" s="6"/>
    </row>
    <row r="29" spans="2:23" s="5" customFormat="1" ht="16.5" customHeight="1">
      <c r="B29" s="50"/>
      <c r="C29" s="276"/>
      <c r="D29" s="276"/>
      <c r="E29" s="276"/>
      <c r="F29" s="378"/>
      <c r="G29" s="378"/>
      <c r="H29" s="379"/>
      <c r="I29" s="130">
        <f t="shared" si="0"/>
        <v>66.969</v>
      </c>
      <c r="J29" s="380"/>
      <c r="K29" s="150"/>
      <c r="L29" s="381">
        <f t="shared" si="1"/>
      </c>
      <c r="M29" s="382">
        <f t="shared" si="2"/>
      </c>
      <c r="N29" s="222"/>
      <c r="O29" s="223">
        <f t="shared" si="3"/>
      </c>
      <c r="P29" s="727">
        <f t="shared" si="4"/>
        <v>40</v>
      </c>
      <c r="Q29" s="904" t="str">
        <f t="shared" si="5"/>
        <v>--</v>
      </c>
      <c r="R29" s="188" t="str">
        <f t="shared" si="6"/>
        <v>--</v>
      </c>
      <c r="S29" s="375" t="str">
        <f t="shared" si="7"/>
        <v>--</v>
      </c>
      <c r="T29" s="376" t="str">
        <f t="shared" si="8"/>
        <v>--</v>
      </c>
      <c r="U29" s="223">
        <f t="shared" si="10"/>
      </c>
      <c r="V29" s="383">
        <f t="shared" si="9"/>
      </c>
      <c r="W29" s="6"/>
    </row>
    <row r="30" spans="2:23" s="5" customFormat="1" ht="16.5" customHeight="1">
      <c r="B30" s="50"/>
      <c r="C30" s="276"/>
      <c r="D30" s="276"/>
      <c r="E30" s="152"/>
      <c r="F30" s="378"/>
      <c r="G30" s="378"/>
      <c r="H30" s="379"/>
      <c r="I30" s="130">
        <f t="shared" si="0"/>
        <v>66.969</v>
      </c>
      <c r="J30" s="380"/>
      <c r="K30" s="150"/>
      <c r="L30" s="381">
        <f t="shared" si="1"/>
      </c>
      <c r="M30" s="382">
        <f t="shared" si="2"/>
      </c>
      <c r="N30" s="222"/>
      <c r="O30" s="223">
        <f t="shared" si="3"/>
      </c>
      <c r="P30" s="727">
        <f t="shared" si="4"/>
        <v>40</v>
      </c>
      <c r="Q30" s="904" t="str">
        <f t="shared" si="5"/>
        <v>--</v>
      </c>
      <c r="R30" s="188" t="str">
        <f t="shared" si="6"/>
        <v>--</v>
      </c>
      <c r="S30" s="375" t="str">
        <f t="shared" si="7"/>
        <v>--</v>
      </c>
      <c r="T30" s="376" t="str">
        <f t="shared" si="8"/>
        <v>--</v>
      </c>
      <c r="U30" s="223">
        <f t="shared" si="10"/>
      </c>
      <c r="V30" s="383">
        <f t="shared" si="9"/>
      </c>
      <c r="W30" s="6"/>
    </row>
    <row r="31" spans="2:23" s="5" customFormat="1" ht="16.5" customHeight="1">
      <c r="B31" s="50"/>
      <c r="C31" s="276"/>
      <c r="D31" s="276"/>
      <c r="E31" s="276"/>
      <c r="F31" s="378"/>
      <c r="G31" s="378"/>
      <c r="H31" s="379"/>
      <c r="I31" s="130">
        <f t="shared" si="0"/>
        <v>66.969</v>
      </c>
      <c r="J31" s="380"/>
      <c r="K31" s="150"/>
      <c r="L31" s="381">
        <f t="shared" si="1"/>
      </c>
      <c r="M31" s="382">
        <f t="shared" si="2"/>
      </c>
      <c r="N31" s="222"/>
      <c r="O31" s="223">
        <f t="shared" si="3"/>
      </c>
      <c r="P31" s="727">
        <f t="shared" si="4"/>
        <v>40</v>
      </c>
      <c r="Q31" s="904" t="str">
        <f t="shared" si="5"/>
        <v>--</v>
      </c>
      <c r="R31" s="188" t="str">
        <f t="shared" si="6"/>
        <v>--</v>
      </c>
      <c r="S31" s="375" t="str">
        <f t="shared" si="7"/>
        <v>--</v>
      </c>
      <c r="T31" s="376" t="str">
        <f t="shared" si="8"/>
        <v>--</v>
      </c>
      <c r="U31" s="223">
        <f t="shared" si="10"/>
      </c>
      <c r="V31" s="383">
        <f t="shared" si="9"/>
      </c>
      <c r="W31" s="6"/>
    </row>
    <row r="32" spans="2:23" s="5" customFormat="1" ht="16.5" customHeight="1">
      <c r="B32" s="50"/>
      <c r="C32" s="276"/>
      <c r="D32" s="276"/>
      <c r="E32" s="152"/>
      <c r="F32" s="378"/>
      <c r="G32" s="378"/>
      <c r="H32" s="379"/>
      <c r="I32" s="130">
        <f t="shared" si="0"/>
        <v>66.969</v>
      </c>
      <c r="J32" s="380"/>
      <c r="K32" s="150"/>
      <c r="L32" s="381">
        <f t="shared" si="1"/>
      </c>
      <c r="M32" s="382">
        <f t="shared" si="2"/>
      </c>
      <c r="N32" s="222"/>
      <c r="O32" s="223">
        <f t="shared" si="3"/>
      </c>
      <c r="P32" s="727">
        <f t="shared" si="4"/>
        <v>40</v>
      </c>
      <c r="Q32" s="904" t="str">
        <f t="shared" si="5"/>
        <v>--</v>
      </c>
      <c r="R32" s="188" t="str">
        <f t="shared" si="6"/>
        <v>--</v>
      </c>
      <c r="S32" s="375" t="str">
        <f t="shared" si="7"/>
        <v>--</v>
      </c>
      <c r="T32" s="376" t="str">
        <f t="shared" si="8"/>
        <v>--</v>
      </c>
      <c r="U32" s="223">
        <f t="shared" si="10"/>
      </c>
      <c r="V32" s="383">
        <f t="shared" si="9"/>
      </c>
      <c r="W32" s="6"/>
    </row>
    <row r="33" spans="2:23" s="5" customFormat="1" ht="16.5" customHeight="1">
      <c r="B33" s="50"/>
      <c r="C33" s="276"/>
      <c r="D33" s="276"/>
      <c r="E33" s="276"/>
      <c r="F33" s="378"/>
      <c r="G33" s="378"/>
      <c r="H33" s="379"/>
      <c r="I33" s="130">
        <f t="shared" si="0"/>
        <v>66.969</v>
      </c>
      <c r="J33" s="380"/>
      <c r="K33" s="150"/>
      <c r="L33" s="381">
        <f t="shared" si="1"/>
      </c>
      <c r="M33" s="382">
        <f t="shared" si="2"/>
      </c>
      <c r="N33" s="222"/>
      <c r="O33" s="223">
        <f t="shared" si="3"/>
      </c>
      <c r="P33" s="727">
        <f t="shared" si="4"/>
        <v>40</v>
      </c>
      <c r="Q33" s="904" t="str">
        <f t="shared" si="5"/>
        <v>--</v>
      </c>
      <c r="R33" s="188" t="str">
        <f t="shared" si="6"/>
        <v>--</v>
      </c>
      <c r="S33" s="375" t="str">
        <f t="shared" si="7"/>
        <v>--</v>
      </c>
      <c r="T33" s="376" t="str">
        <f t="shared" si="8"/>
        <v>--</v>
      </c>
      <c r="U33" s="223">
        <f t="shared" si="10"/>
      </c>
      <c r="V33" s="383">
        <f t="shared" si="9"/>
      </c>
      <c r="W33" s="6"/>
    </row>
    <row r="34" spans="2:23" s="5" customFormat="1" ht="16.5" customHeight="1">
      <c r="B34" s="50"/>
      <c r="C34" s="276"/>
      <c r="D34" s="276"/>
      <c r="E34" s="152"/>
      <c r="F34" s="378"/>
      <c r="G34" s="378"/>
      <c r="H34" s="379"/>
      <c r="I34" s="130">
        <f t="shared" si="0"/>
        <v>66.969</v>
      </c>
      <c r="J34" s="380"/>
      <c r="K34" s="150"/>
      <c r="L34" s="381">
        <f t="shared" si="1"/>
      </c>
      <c r="M34" s="382">
        <f t="shared" si="2"/>
      </c>
      <c r="N34" s="222"/>
      <c r="O34" s="223">
        <f t="shared" si="3"/>
      </c>
      <c r="P34" s="727">
        <f t="shared" si="4"/>
        <v>40</v>
      </c>
      <c r="Q34" s="904" t="str">
        <f t="shared" si="5"/>
        <v>--</v>
      </c>
      <c r="R34" s="188" t="str">
        <f t="shared" si="6"/>
        <v>--</v>
      </c>
      <c r="S34" s="375" t="str">
        <f t="shared" si="7"/>
        <v>--</v>
      </c>
      <c r="T34" s="376" t="str">
        <f t="shared" si="8"/>
        <v>--</v>
      </c>
      <c r="U34" s="223">
        <f t="shared" si="10"/>
      </c>
      <c r="V34" s="383">
        <f t="shared" si="9"/>
      </c>
      <c r="W34" s="6"/>
    </row>
    <row r="35" spans="2:23" s="5" customFormat="1" ht="16.5" customHeight="1">
      <c r="B35" s="50"/>
      <c r="C35" s="276"/>
      <c r="D35" s="276"/>
      <c r="E35" s="276"/>
      <c r="F35" s="378"/>
      <c r="G35" s="378"/>
      <c r="H35" s="379"/>
      <c r="I35" s="130">
        <f t="shared" si="0"/>
        <v>66.969</v>
      </c>
      <c r="J35" s="380"/>
      <c r="K35" s="150"/>
      <c r="L35" s="381">
        <f t="shared" si="1"/>
      </c>
      <c r="M35" s="382">
        <f t="shared" si="2"/>
      </c>
      <c r="N35" s="222"/>
      <c r="O35" s="223">
        <f t="shared" si="3"/>
      </c>
      <c r="P35" s="727">
        <f t="shared" si="4"/>
        <v>40</v>
      </c>
      <c r="Q35" s="904" t="str">
        <f t="shared" si="5"/>
        <v>--</v>
      </c>
      <c r="R35" s="188" t="str">
        <f t="shared" si="6"/>
        <v>--</v>
      </c>
      <c r="S35" s="375" t="str">
        <f t="shared" si="7"/>
        <v>--</v>
      </c>
      <c r="T35" s="376" t="str">
        <f t="shared" si="8"/>
        <v>--</v>
      </c>
      <c r="U35" s="223">
        <f t="shared" si="10"/>
      </c>
      <c r="V35" s="383">
        <f t="shared" si="9"/>
      </c>
      <c r="W35" s="6"/>
    </row>
    <row r="36" spans="2:23" s="5" customFormat="1" ht="16.5" customHeight="1">
      <c r="B36" s="50"/>
      <c r="C36" s="276"/>
      <c r="D36" s="276"/>
      <c r="E36" s="152"/>
      <c r="F36" s="378"/>
      <c r="G36" s="378"/>
      <c r="H36" s="379"/>
      <c r="I36" s="130">
        <f t="shared" si="0"/>
        <v>66.969</v>
      </c>
      <c r="J36" s="380"/>
      <c r="K36" s="150"/>
      <c r="L36" s="381">
        <f t="shared" si="1"/>
      </c>
      <c r="M36" s="382">
        <f t="shared" si="2"/>
      </c>
      <c r="N36" s="222"/>
      <c r="O36" s="223">
        <f t="shared" si="3"/>
      </c>
      <c r="P36" s="727">
        <f t="shared" si="4"/>
        <v>40</v>
      </c>
      <c r="Q36" s="904" t="str">
        <f t="shared" si="5"/>
        <v>--</v>
      </c>
      <c r="R36" s="188" t="str">
        <f t="shared" si="6"/>
        <v>--</v>
      </c>
      <c r="S36" s="375" t="str">
        <f t="shared" si="7"/>
        <v>--</v>
      </c>
      <c r="T36" s="376" t="str">
        <f t="shared" si="8"/>
        <v>--</v>
      </c>
      <c r="U36" s="223">
        <f t="shared" si="10"/>
      </c>
      <c r="V36" s="383">
        <f t="shared" si="9"/>
      </c>
      <c r="W36" s="6"/>
    </row>
    <row r="37" spans="2:23" s="5" customFormat="1" ht="16.5" customHeight="1">
      <c r="B37" s="50"/>
      <c r="C37" s="276"/>
      <c r="D37" s="276"/>
      <c r="E37" s="276"/>
      <c r="F37" s="378"/>
      <c r="G37" s="378"/>
      <c r="H37" s="379"/>
      <c r="I37" s="130">
        <f t="shared" si="0"/>
        <v>66.969</v>
      </c>
      <c r="J37" s="380"/>
      <c r="K37" s="150"/>
      <c r="L37" s="381">
        <f t="shared" si="1"/>
      </c>
      <c r="M37" s="382">
        <f t="shared" si="2"/>
      </c>
      <c r="N37" s="222"/>
      <c r="O37" s="223">
        <f t="shared" si="3"/>
      </c>
      <c r="P37" s="727">
        <f t="shared" si="4"/>
        <v>40</v>
      </c>
      <c r="Q37" s="904" t="str">
        <f t="shared" si="5"/>
        <v>--</v>
      </c>
      <c r="R37" s="188" t="str">
        <f t="shared" si="6"/>
        <v>--</v>
      </c>
      <c r="S37" s="375" t="str">
        <f t="shared" si="7"/>
        <v>--</v>
      </c>
      <c r="T37" s="376" t="str">
        <f t="shared" si="8"/>
        <v>--</v>
      </c>
      <c r="U37" s="223">
        <f t="shared" si="10"/>
      </c>
      <c r="V37" s="383">
        <f t="shared" si="9"/>
      </c>
      <c r="W37" s="6"/>
    </row>
    <row r="38" spans="2:23" s="5" customFormat="1" ht="16.5" customHeight="1">
      <c r="B38" s="50"/>
      <c r="C38" s="276"/>
      <c r="D38" s="276"/>
      <c r="E38" s="152"/>
      <c r="F38" s="378"/>
      <c r="G38" s="378"/>
      <c r="H38" s="379"/>
      <c r="I38" s="130">
        <f t="shared" si="0"/>
        <v>66.969</v>
      </c>
      <c r="J38" s="380"/>
      <c r="K38" s="150"/>
      <c r="L38" s="381">
        <f t="shared" si="1"/>
      </c>
      <c r="M38" s="382">
        <f t="shared" si="2"/>
      </c>
      <c r="N38" s="222"/>
      <c r="O38" s="223">
        <f t="shared" si="3"/>
      </c>
      <c r="P38" s="727">
        <f t="shared" si="4"/>
        <v>40</v>
      </c>
      <c r="Q38" s="904" t="str">
        <f t="shared" si="5"/>
        <v>--</v>
      </c>
      <c r="R38" s="188" t="str">
        <f t="shared" si="6"/>
        <v>--</v>
      </c>
      <c r="S38" s="375" t="str">
        <f t="shared" si="7"/>
        <v>--</v>
      </c>
      <c r="T38" s="376" t="str">
        <f t="shared" si="8"/>
        <v>--</v>
      </c>
      <c r="U38" s="223">
        <f t="shared" si="10"/>
      </c>
      <c r="V38" s="383">
        <f t="shared" si="9"/>
      </c>
      <c r="W38" s="6"/>
    </row>
    <row r="39" spans="2:23" s="5" customFormat="1" ht="16.5" customHeight="1">
      <c r="B39" s="50"/>
      <c r="C39" s="276"/>
      <c r="D39" s="276"/>
      <c r="E39" s="276"/>
      <c r="F39" s="378"/>
      <c r="G39" s="378"/>
      <c r="H39" s="379"/>
      <c r="I39" s="130">
        <f t="shared" si="0"/>
        <v>66.969</v>
      </c>
      <c r="J39" s="380"/>
      <c r="K39" s="150"/>
      <c r="L39" s="381">
        <f t="shared" si="1"/>
      </c>
      <c r="M39" s="382">
        <f t="shared" si="2"/>
      </c>
      <c r="N39" s="222"/>
      <c r="O39" s="223">
        <f t="shared" si="3"/>
      </c>
      <c r="P39" s="727">
        <f t="shared" si="4"/>
        <v>40</v>
      </c>
      <c r="Q39" s="904" t="str">
        <f t="shared" si="5"/>
        <v>--</v>
      </c>
      <c r="R39" s="188" t="str">
        <f t="shared" si="6"/>
        <v>--</v>
      </c>
      <c r="S39" s="375" t="str">
        <f t="shared" si="7"/>
        <v>--</v>
      </c>
      <c r="T39" s="376" t="str">
        <f t="shared" si="8"/>
        <v>--</v>
      </c>
      <c r="U39" s="223">
        <f t="shared" si="10"/>
      </c>
      <c r="V39" s="383">
        <f t="shared" si="9"/>
      </c>
      <c r="W39" s="6"/>
    </row>
    <row r="40" spans="2:23" s="5" customFormat="1" ht="16.5" customHeight="1">
      <c r="B40" s="50"/>
      <c r="C40" s="276"/>
      <c r="D40" s="276"/>
      <c r="E40" s="152"/>
      <c r="F40" s="378"/>
      <c r="G40" s="378"/>
      <c r="H40" s="379"/>
      <c r="I40" s="130">
        <f t="shared" si="0"/>
        <v>66.969</v>
      </c>
      <c r="J40" s="380"/>
      <c r="K40" s="150"/>
      <c r="L40" s="381">
        <f t="shared" si="1"/>
      </c>
      <c r="M40" s="382">
        <f t="shared" si="2"/>
      </c>
      <c r="N40" s="222"/>
      <c r="O40" s="223">
        <f t="shared" si="3"/>
      </c>
      <c r="P40" s="727">
        <f t="shared" si="4"/>
        <v>40</v>
      </c>
      <c r="Q40" s="904" t="str">
        <f t="shared" si="5"/>
        <v>--</v>
      </c>
      <c r="R40" s="188" t="str">
        <f t="shared" si="6"/>
        <v>--</v>
      </c>
      <c r="S40" s="375" t="str">
        <f t="shared" si="7"/>
        <v>--</v>
      </c>
      <c r="T40" s="376" t="str">
        <f t="shared" si="8"/>
        <v>--</v>
      </c>
      <c r="U40" s="223">
        <f t="shared" si="10"/>
      </c>
      <c r="V40" s="383">
        <f t="shared" si="9"/>
      </c>
      <c r="W40" s="6"/>
    </row>
    <row r="41" spans="2:23" s="5" customFormat="1" ht="16.5" customHeight="1">
      <c r="B41" s="50"/>
      <c r="C41" s="276"/>
      <c r="D41" s="276"/>
      <c r="E41" s="276"/>
      <c r="F41" s="378"/>
      <c r="G41" s="378"/>
      <c r="H41" s="379"/>
      <c r="I41" s="130">
        <f t="shared" si="0"/>
        <v>66.969</v>
      </c>
      <c r="J41" s="380"/>
      <c r="K41" s="150"/>
      <c r="L41" s="381">
        <f t="shared" si="1"/>
      </c>
      <c r="M41" s="382">
        <f t="shared" si="2"/>
      </c>
      <c r="N41" s="222"/>
      <c r="O41" s="223">
        <f t="shared" si="3"/>
      </c>
      <c r="P41" s="727">
        <f t="shared" si="4"/>
        <v>40</v>
      </c>
      <c r="Q41" s="904" t="str">
        <f t="shared" si="5"/>
        <v>--</v>
      </c>
      <c r="R41" s="188" t="str">
        <f t="shared" si="6"/>
        <v>--</v>
      </c>
      <c r="S41" s="375" t="str">
        <f t="shared" si="7"/>
        <v>--</v>
      </c>
      <c r="T41" s="376" t="str">
        <f t="shared" si="8"/>
        <v>--</v>
      </c>
      <c r="U41" s="223">
        <f t="shared" si="10"/>
      </c>
      <c r="V41" s="383">
        <f t="shared" si="9"/>
      </c>
      <c r="W41" s="6"/>
    </row>
    <row r="42" spans="2:23" s="5" customFormat="1" ht="16.5" customHeight="1">
      <c r="B42" s="50"/>
      <c r="C42" s="276"/>
      <c r="D42" s="276"/>
      <c r="E42" s="152"/>
      <c r="F42" s="378"/>
      <c r="G42" s="378"/>
      <c r="H42" s="379"/>
      <c r="I42" s="130">
        <f t="shared" si="0"/>
        <v>66.969</v>
      </c>
      <c r="J42" s="380"/>
      <c r="K42" s="150"/>
      <c r="L42" s="381">
        <f t="shared" si="1"/>
      </c>
      <c r="M42" s="382">
        <f t="shared" si="2"/>
      </c>
      <c r="N42" s="222"/>
      <c r="O42" s="223">
        <f t="shared" si="3"/>
      </c>
      <c r="P42" s="727">
        <f t="shared" si="4"/>
        <v>40</v>
      </c>
      <c r="Q42" s="904" t="str">
        <f t="shared" si="5"/>
        <v>--</v>
      </c>
      <c r="R42" s="188" t="str">
        <f t="shared" si="6"/>
        <v>--</v>
      </c>
      <c r="S42" s="375" t="str">
        <f t="shared" si="7"/>
        <v>--</v>
      </c>
      <c r="T42" s="376" t="str">
        <f t="shared" si="8"/>
        <v>--</v>
      </c>
      <c r="U42" s="223">
        <f t="shared" si="10"/>
      </c>
      <c r="V42" s="383">
        <f t="shared" si="9"/>
      </c>
      <c r="W42" s="6"/>
    </row>
    <row r="43" spans="2:23" s="5" customFormat="1" ht="16.5" customHeight="1">
      <c r="B43" s="50"/>
      <c r="C43" s="276"/>
      <c r="D43" s="276"/>
      <c r="E43" s="276"/>
      <c r="F43" s="378"/>
      <c r="G43" s="378"/>
      <c r="H43" s="379"/>
      <c r="I43" s="130">
        <f t="shared" si="0"/>
        <v>66.969</v>
      </c>
      <c r="J43" s="380"/>
      <c r="K43" s="150"/>
      <c r="L43" s="381">
        <f t="shared" si="1"/>
      </c>
      <c r="M43" s="382">
        <f t="shared" si="2"/>
      </c>
      <c r="N43" s="222"/>
      <c r="O43" s="223">
        <f t="shared" si="3"/>
      </c>
      <c r="P43" s="727">
        <f t="shared" si="4"/>
        <v>40</v>
      </c>
      <c r="Q43" s="904" t="str">
        <f t="shared" si="5"/>
        <v>--</v>
      </c>
      <c r="R43" s="188" t="str">
        <f t="shared" si="6"/>
        <v>--</v>
      </c>
      <c r="S43" s="375" t="str">
        <f t="shared" si="7"/>
        <v>--</v>
      </c>
      <c r="T43" s="376" t="str">
        <f t="shared" si="8"/>
        <v>--</v>
      </c>
      <c r="U43" s="223">
        <f t="shared" si="10"/>
      </c>
      <c r="V43" s="383">
        <f t="shared" si="9"/>
      </c>
      <c r="W43" s="6"/>
    </row>
    <row r="44" spans="2:23" s="5" customFormat="1" ht="16.5" customHeight="1" thickBot="1">
      <c r="B44" s="50"/>
      <c r="C44" s="230"/>
      <c r="D44" s="230"/>
      <c r="E44" s="230"/>
      <c r="F44" s="230"/>
      <c r="G44" s="230"/>
      <c r="H44" s="230"/>
      <c r="I44" s="131"/>
      <c r="J44" s="384"/>
      <c r="K44" s="384"/>
      <c r="L44" s="385"/>
      <c r="M44" s="385"/>
      <c r="N44" s="384"/>
      <c r="O44" s="151"/>
      <c r="P44" s="386"/>
      <c r="Q44" s="387"/>
      <c r="R44" s="388"/>
      <c r="S44" s="389"/>
      <c r="T44" s="157"/>
      <c r="U44" s="151"/>
      <c r="V44" s="390"/>
      <c r="W44" s="6"/>
    </row>
    <row r="45" spans="2:23" s="5" customFormat="1" ht="16.5" customHeight="1" thickBot="1" thickTop="1">
      <c r="B45" s="50"/>
      <c r="C45" s="127" t="s">
        <v>25</v>
      </c>
      <c r="D45" s="73" t="s">
        <v>256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91">
        <f>SUM(Q22:Q44)</f>
        <v>1821.5567999999998</v>
      </c>
      <c r="R45" s="392">
        <f>SUM(R22:R44)</f>
        <v>2678.7599999999998</v>
      </c>
      <c r="S45" s="393">
        <f>SUM(S22:S44)</f>
        <v>267.876</v>
      </c>
      <c r="T45" s="394">
        <f>SUM(T22:T44)</f>
        <v>0</v>
      </c>
      <c r="U45" s="395"/>
      <c r="V45" s="100">
        <f>ROUND(SUM(V22:V44),2)</f>
        <v>38982.42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Y157"/>
  <sheetViews>
    <sheetView zoomScale="70" zoomScaleNormal="70" workbookViewId="0" topLeftCell="A10">
      <selection activeCell="M22" sqref="M22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58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831" customFormat="1" ht="33" customHeight="1">
      <c r="B10" s="832"/>
      <c r="C10" s="830"/>
      <c r="D10" s="830"/>
      <c r="E10" s="830"/>
      <c r="F10" s="853" t="s">
        <v>150</v>
      </c>
      <c r="G10" s="854"/>
      <c r="H10" s="855"/>
      <c r="I10" s="856"/>
      <c r="K10" s="856"/>
      <c r="L10" s="856"/>
      <c r="M10" s="856"/>
      <c r="N10" s="856"/>
      <c r="O10" s="856"/>
      <c r="P10" s="856"/>
      <c r="Q10" s="830"/>
      <c r="R10" s="830"/>
      <c r="S10" s="830"/>
      <c r="T10" s="830"/>
      <c r="U10" s="830"/>
      <c r="V10" s="830"/>
      <c r="W10" s="857"/>
    </row>
    <row r="11" spans="2:23" s="834" customFormat="1" ht="33" customHeight="1">
      <c r="B11" s="835"/>
      <c r="C11" s="836"/>
      <c r="D11" s="836"/>
      <c r="E11" s="836"/>
      <c r="F11" s="853" t="s">
        <v>164</v>
      </c>
      <c r="G11" s="858"/>
      <c r="H11" s="859"/>
      <c r="I11" s="860"/>
      <c r="J11" s="861"/>
      <c r="K11" s="860"/>
      <c r="L11" s="860"/>
      <c r="M11" s="860"/>
      <c r="N11" s="860"/>
      <c r="O11" s="860"/>
      <c r="P11" s="860"/>
      <c r="Q11" s="836"/>
      <c r="R11" s="836"/>
      <c r="S11" s="836"/>
      <c r="T11" s="836"/>
      <c r="U11" s="836"/>
      <c r="V11" s="836"/>
      <c r="W11" s="862"/>
    </row>
    <row r="12" spans="2:23" s="5" customFormat="1" ht="19.5">
      <c r="B12" s="37" t="str">
        <f>'TOT-0110'!B14</f>
        <v>Desde el 01 al 31 de enero de 2010</v>
      </c>
      <c r="C12" s="40"/>
      <c r="D12" s="40"/>
      <c r="E12" s="40"/>
      <c r="F12" s="40"/>
      <c r="G12" s="40"/>
      <c r="H12" s="40"/>
      <c r="I12" s="346"/>
      <c r="J12" s="346"/>
      <c r="K12" s="346"/>
      <c r="L12" s="346"/>
      <c r="M12" s="346"/>
      <c r="N12" s="346"/>
      <c r="O12" s="346"/>
      <c r="P12" s="346"/>
      <c r="Q12" s="40"/>
      <c r="R12" s="40"/>
      <c r="S12" s="40"/>
      <c r="T12" s="40"/>
      <c r="U12" s="40"/>
      <c r="V12" s="40"/>
      <c r="W12" s="347"/>
    </row>
    <row r="13" spans="2:23" s="5" customFormat="1" ht="14.25" thickBot="1">
      <c r="B13" s="348"/>
      <c r="C13" s="349"/>
      <c r="D13" s="349"/>
      <c r="E13" s="349"/>
      <c r="F13" s="349"/>
      <c r="G13" s="349"/>
      <c r="H13" s="349"/>
      <c r="I13" s="350"/>
      <c r="J13" s="350"/>
      <c r="K13" s="350"/>
      <c r="L13" s="350"/>
      <c r="M13" s="350"/>
      <c r="N13" s="350"/>
      <c r="O13" s="350"/>
      <c r="P13" s="350"/>
      <c r="Q13" s="349"/>
      <c r="R13" s="349"/>
      <c r="S13" s="349"/>
      <c r="T13" s="349"/>
      <c r="U13" s="349"/>
      <c r="V13" s="349"/>
      <c r="W13" s="351"/>
    </row>
    <row r="14" spans="2:23" s="5" customFormat="1" ht="15" thickBot="1" thickTop="1">
      <c r="B14" s="50"/>
      <c r="C14" s="4"/>
      <c r="D14" s="4"/>
      <c r="E14" s="4"/>
      <c r="F14" s="352"/>
      <c r="G14" s="352"/>
      <c r="H14" s="117" t="s">
        <v>69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53" t="s">
        <v>70</v>
      </c>
      <c r="G15" s="354">
        <v>23.525</v>
      </c>
      <c r="H15" s="355">
        <v>200</v>
      </c>
      <c r="V15" s="115"/>
      <c r="W15" s="6"/>
    </row>
    <row r="16" spans="2:23" s="5" customFormat="1" ht="16.5" customHeight="1" thickBot="1" thickTop="1">
      <c r="B16" s="50"/>
      <c r="C16" s="4"/>
      <c r="D16" s="4"/>
      <c r="E16" s="4"/>
      <c r="F16" s="356" t="s">
        <v>71</v>
      </c>
      <c r="G16" s="357" t="s">
        <v>179</v>
      </c>
      <c r="H16" s="355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8" t="s">
        <v>72</v>
      </c>
      <c r="G17" s="396">
        <v>18.821</v>
      </c>
      <c r="H17" s="355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6"/>
    </row>
    <row r="19" spans="2:23" s="5" customFormat="1" ht="33.75" customHeight="1" thickBot="1" thickTop="1">
      <c r="B19" s="50"/>
      <c r="C19" s="123" t="s">
        <v>13</v>
      </c>
      <c r="D19" s="84" t="s">
        <v>171</v>
      </c>
      <c r="E19" s="84" t="s">
        <v>172</v>
      </c>
      <c r="F19" s="86" t="s">
        <v>27</v>
      </c>
      <c r="G19" s="359" t="s">
        <v>28</v>
      </c>
      <c r="H19" s="360" t="s">
        <v>14</v>
      </c>
      <c r="I19" s="129" t="s">
        <v>16</v>
      </c>
      <c r="J19" s="85" t="s">
        <v>17</v>
      </c>
      <c r="K19" s="359" t="s">
        <v>18</v>
      </c>
      <c r="L19" s="361" t="s">
        <v>36</v>
      </c>
      <c r="M19" s="361" t="s">
        <v>31</v>
      </c>
      <c r="N19" s="88" t="s">
        <v>19</v>
      </c>
      <c r="O19" s="176" t="s">
        <v>32</v>
      </c>
      <c r="P19" s="135" t="s">
        <v>37</v>
      </c>
      <c r="Q19" s="362" t="s">
        <v>59</v>
      </c>
      <c r="R19" s="177" t="s">
        <v>35</v>
      </c>
      <c r="S19" s="363"/>
      <c r="T19" s="134" t="s">
        <v>22</v>
      </c>
      <c r="U19" s="132" t="s">
        <v>63</v>
      </c>
      <c r="V19" s="121" t="s">
        <v>24</v>
      </c>
      <c r="W19" s="6"/>
    </row>
    <row r="20" spans="2:23" s="5" customFormat="1" ht="16.5" customHeight="1" thickTop="1">
      <c r="B20" s="50"/>
      <c r="C20" s="262"/>
      <c r="D20" s="262"/>
      <c r="E20" s="262"/>
      <c r="F20" s="364"/>
      <c r="G20" s="364"/>
      <c r="H20" s="364"/>
      <c r="I20" s="220"/>
      <c r="J20" s="364"/>
      <c r="K20" s="364"/>
      <c r="L20" s="364"/>
      <c r="M20" s="364"/>
      <c r="N20" s="364"/>
      <c r="O20" s="364"/>
      <c r="P20" s="365"/>
      <c r="Q20" s="366"/>
      <c r="R20" s="367"/>
      <c r="S20" s="368"/>
      <c r="T20" s="369"/>
      <c r="U20" s="364"/>
      <c r="V20" s="370"/>
      <c r="W20" s="6"/>
    </row>
    <row r="21" spans="2:23" s="5" customFormat="1" ht="16.5" customHeight="1">
      <c r="B21" s="50"/>
      <c r="C21" s="276"/>
      <c r="D21" s="276"/>
      <c r="E21" s="276"/>
      <c r="F21" s="371"/>
      <c r="G21" s="371"/>
      <c r="H21" s="371"/>
      <c r="I21" s="372"/>
      <c r="J21" s="371"/>
      <c r="K21" s="371"/>
      <c r="L21" s="371"/>
      <c r="M21" s="371"/>
      <c r="N21" s="371"/>
      <c r="O21" s="371"/>
      <c r="P21" s="373"/>
      <c r="Q21" s="374"/>
      <c r="R21" s="188"/>
      <c r="S21" s="375"/>
      <c r="T21" s="376"/>
      <c r="U21" s="371"/>
      <c r="V21" s="377"/>
      <c r="W21" s="6"/>
    </row>
    <row r="22" spans="2:23" s="5" customFormat="1" ht="16.5" customHeight="1">
      <c r="B22" s="50"/>
      <c r="C22" s="276">
        <v>67</v>
      </c>
      <c r="D22" s="276">
        <v>216809</v>
      </c>
      <c r="E22" s="152">
        <v>2710</v>
      </c>
      <c r="F22" s="953" t="s">
        <v>238</v>
      </c>
      <c r="G22" s="953" t="s">
        <v>239</v>
      </c>
      <c r="H22" s="954">
        <v>132</v>
      </c>
      <c r="I22" s="130">
        <f aca="true" t="shared" si="0" ref="I22:I41">IF(H22=500,$G$15,IF(H22=220,$G$16,$G$17))</f>
        <v>18.821</v>
      </c>
      <c r="J22" s="380">
        <v>40182.381944444445</v>
      </c>
      <c r="K22" s="150">
        <v>40182.79861111111</v>
      </c>
      <c r="L22" s="381">
        <f aca="true" t="shared" si="1" ref="L22:L41">IF(F22="","",(K22-J22)*24)</f>
        <v>9.999999999941792</v>
      </c>
      <c r="M22" s="382">
        <f aca="true" t="shared" si="2" ref="M22:M41">IF(F22="","",ROUND((K22-J22)*24*60,0))</f>
        <v>600</v>
      </c>
      <c r="N22" s="222" t="s">
        <v>191</v>
      </c>
      <c r="O22" s="223" t="str">
        <f aca="true" t="shared" si="3" ref="O22:O41">IF(F22="","",IF(N22="P","--","NO"))</f>
        <v>--</v>
      </c>
      <c r="P22" s="727">
        <f aca="true" t="shared" si="4" ref="P22:P41">IF(H22=500,$H$15,IF(H22=220,$H$16,$H$17))</f>
        <v>40</v>
      </c>
      <c r="Q22" s="904">
        <f aca="true" t="shared" si="5" ref="Q22:Q41">IF(N22="P",I22*P22*ROUND(M22/60,2)*0.1,"--")</f>
        <v>752.8400000000001</v>
      </c>
      <c r="R22" s="188" t="str">
        <f aca="true" t="shared" si="6" ref="R22:R41">IF(AND(N22="F",O22="NO"),I22*P22,"--")</f>
        <v>--</v>
      </c>
      <c r="S22" s="375" t="str">
        <f aca="true" t="shared" si="7" ref="S22:S41">IF(N22="F",I22*P22*ROUND(M22/60,2),"--")</f>
        <v>--</v>
      </c>
      <c r="T22" s="376" t="str">
        <f aca="true" t="shared" si="8" ref="T22:T41">IF(N22="RF",I22*P22*ROUND(M22/60,2),"--")</f>
        <v>--</v>
      </c>
      <c r="U22" s="223" t="s">
        <v>148</v>
      </c>
      <c r="V22" s="383">
        <f aca="true" t="shared" si="9" ref="V22:V41">IF(F22="","",SUM(Q22:T22)*IF(U22="SI",1,2))</f>
        <v>752.8400000000001</v>
      </c>
      <c r="W22" s="6"/>
    </row>
    <row r="23" spans="2:23" s="5" customFormat="1" ht="16.5" customHeight="1">
      <c r="B23" s="50"/>
      <c r="C23" s="276">
        <v>68</v>
      </c>
      <c r="D23" s="276">
        <v>216810</v>
      </c>
      <c r="E23" s="276">
        <v>2588</v>
      </c>
      <c r="F23" s="953" t="s">
        <v>240</v>
      </c>
      <c r="G23" s="953" t="s">
        <v>241</v>
      </c>
      <c r="H23" s="954">
        <v>132</v>
      </c>
      <c r="I23" s="130">
        <f t="shared" si="0"/>
        <v>18.821</v>
      </c>
      <c r="J23" s="380">
        <v>40182.42013888889</v>
      </c>
      <c r="K23" s="150">
        <v>40182.6125</v>
      </c>
      <c r="L23" s="381">
        <f t="shared" si="1"/>
        <v>4.616666666697711</v>
      </c>
      <c r="M23" s="382">
        <f t="shared" si="2"/>
        <v>277</v>
      </c>
      <c r="N23" s="222" t="s">
        <v>191</v>
      </c>
      <c r="O23" s="223" t="str">
        <f t="shared" si="3"/>
        <v>--</v>
      </c>
      <c r="P23" s="727">
        <f t="shared" si="4"/>
        <v>40</v>
      </c>
      <c r="Q23" s="904">
        <f t="shared" si="5"/>
        <v>347.81208000000004</v>
      </c>
      <c r="R23" s="188" t="str">
        <f t="shared" si="6"/>
        <v>--</v>
      </c>
      <c r="S23" s="375" t="str">
        <f t="shared" si="7"/>
        <v>--</v>
      </c>
      <c r="T23" s="376" t="str">
        <f t="shared" si="8"/>
        <v>--</v>
      </c>
      <c r="U23" s="223" t="s">
        <v>148</v>
      </c>
      <c r="V23" s="383">
        <f t="shared" si="9"/>
        <v>347.81208000000004</v>
      </c>
      <c r="W23" s="6"/>
    </row>
    <row r="24" spans="2:23" s="5" customFormat="1" ht="16.5" customHeight="1">
      <c r="B24" s="50"/>
      <c r="C24" s="276">
        <v>69</v>
      </c>
      <c r="D24" s="276">
        <v>216811</v>
      </c>
      <c r="E24" s="152">
        <v>2589</v>
      </c>
      <c r="F24" s="953" t="s">
        <v>240</v>
      </c>
      <c r="G24" s="953" t="s">
        <v>242</v>
      </c>
      <c r="H24" s="954">
        <v>132</v>
      </c>
      <c r="I24" s="130">
        <f t="shared" si="0"/>
        <v>18.821</v>
      </c>
      <c r="J24" s="380">
        <v>40182.46944444445</v>
      </c>
      <c r="K24" s="150">
        <v>40182.62777777778</v>
      </c>
      <c r="L24" s="381">
        <f t="shared" si="1"/>
        <v>3.7999999999883585</v>
      </c>
      <c r="M24" s="382">
        <f t="shared" si="2"/>
        <v>228</v>
      </c>
      <c r="N24" s="222" t="s">
        <v>191</v>
      </c>
      <c r="O24" s="223" t="str">
        <f t="shared" si="3"/>
        <v>--</v>
      </c>
      <c r="P24" s="727">
        <f t="shared" si="4"/>
        <v>40</v>
      </c>
      <c r="Q24" s="904">
        <f t="shared" si="5"/>
        <v>286.0792</v>
      </c>
      <c r="R24" s="188" t="str">
        <f t="shared" si="6"/>
        <v>--</v>
      </c>
      <c r="S24" s="375" t="str">
        <f t="shared" si="7"/>
        <v>--</v>
      </c>
      <c r="T24" s="376" t="str">
        <f t="shared" si="8"/>
        <v>--</v>
      </c>
      <c r="U24" s="223" t="s">
        <v>148</v>
      </c>
      <c r="V24" s="383">
        <f t="shared" si="9"/>
        <v>286.0792</v>
      </c>
      <c r="W24" s="6"/>
    </row>
    <row r="25" spans="2:23" s="5" customFormat="1" ht="16.5" customHeight="1">
      <c r="B25" s="50"/>
      <c r="C25" s="276">
        <v>70</v>
      </c>
      <c r="D25" s="276">
        <v>216814</v>
      </c>
      <c r="E25" s="276">
        <v>2588</v>
      </c>
      <c r="F25" s="953" t="s">
        <v>240</v>
      </c>
      <c r="G25" s="953" t="s">
        <v>241</v>
      </c>
      <c r="H25" s="954">
        <v>132</v>
      </c>
      <c r="I25" s="130">
        <f t="shared" si="0"/>
        <v>18.821</v>
      </c>
      <c r="J25" s="380">
        <v>40183.39375</v>
      </c>
      <c r="K25" s="150">
        <v>40183.64236111111</v>
      </c>
      <c r="L25" s="381">
        <f t="shared" si="1"/>
        <v>5.966666666558012</v>
      </c>
      <c r="M25" s="382">
        <f t="shared" si="2"/>
        <v>358</v>
      </c>
      <c r="N25" s="222" t="s">
        <v>191</v>
      </c>
      <c r="O25" s="223" t="str">
        <f t="shared" si="3"/>
        <v>--</v>
      </c>
      <c r="P25" s="727">
        <f t="shared" si="4"/>
        <v>40</v>
      </c>
      <c r="Q25" s="904">
        <f t="shared" si="5"/>
        <v>449.4454800000001</v>
      </c>
      <c r="R25" s="188" t="str">
        <f t="shared" si="6"/>
        <v>--</v>
      </c>
      <c r="S25" s="375" t="str">
        <f t="shared" si="7"/>
        <v>--</v>
      </c>
      <c r="T25" s="376" t="str">
        <f t="shared" si="8"/>
        <v>--</v>
      </c>
      <c r="U25" s="223" t="s">
        <v>148</v>
      </c>
      <c r="V25" s="383">
        <f t="shared" si="9"/>
        <v>449.4454800000001</v>
      </c>
      <c r="W25" s="6"/>
    </row>
    <row r="26" spans="2:23" s="5" customFormat="1" ht="16.5" customHeight="1">
      <c r="B26" s="50"/>
      <c r="C26" s="276">
        <v>71</v>
      </c>
      <c r="D26" s="276">
        <v>216833</v>
      </c>
      <c r="E26" s="152">
        <v>2588</v>
      </c>
      <c r="F26" s="953" t="s">
        <v>240</v>
      </c>
      <c r="G26" s="953" t="s">
        <v>241</v>
      </c>
      <c r="H26" s="954">
        <v>132</v>
      </c>
      <c r="I26" s="130">
        <f t="shared" si="0"/>
        <v>18.821</v>
      </c>
      <c r="J26" s="380">
        <v>40184.39513888889</v>
      </c>
      <c r="K26" s="150">
        <v>40184.64236111111</v>
      </c>
      <c r="L26" s="381">
        <f t="shared" si="1"/>
        <v>5.933333333290648</v>
      </c>
      <c r="M26" s="382">
        <f t="shared" si="2"/>
        <v>356</v>
      </c>
      <c r="N26" s="222" t="s">
        <v>191</v>
      </c>
      <c r="O26" s="223" t="str">
        <f t="shared" si="3"/>
        <v>--</v>
      </c>
      <c r="P26" s="727">
        <f t="shared" si="4"/>
        <v>40</v>
      </c>
      <c r="Q26" s="904">
        <f t="shared" si="5"/>
        <v>446.43412</v>
      </c>
      <c r="R26" s="188" t="str">
        <f t="shared" si="6"/>
        <v>--</v>
      </c>
      <c r="S26" s="375" t="str">
        <f t="shared" si="7"/>
        <v>--</v>
      </c>
      <c r="T26" s="376" t="str">
        <f t="shared" si="8"/>
        <v>--</v>
      </c>
      <c r="U26" s="223" t="s">
        <v>148</v>
      </c>
      <c r="V26" s="383">
        <f t="shared" si="9"/>
        <v>446.43412</v>
      </c>
      <c r="W26" s="6"/>
    </row>
    <row r="27" spans="2:23" s="5" customFormat="1" ht="16.5" customHeight="1">
      <c r="B27" s="50"/>
      <c r="C27" s="276">
        <v>72</v>
      </c>
      <c r="D27" s="276">
        <v>216838</v>
      </c>
      <c r="E27" s="276">
        <v>2588</v>
      </c>
      <c r="F27" s="953" t="s">
        <v>240</v>
      </c>
      <c r="G27" s="953" t="s">
        <v>241</v>
      </c>
      <c r="H27" s="954">
        <v>132</v>
      </c>
      <c r="I27" s="130">
        <f t="shared" si="0"/>
        <v>18.821</v>
      </c>
      <c r="J27" s="380">
        <v>40185.40694444445</v>
      </c>
      <c r="K27" s="150">
        <v>40185.61944444444</v>
      </c>
      <c r="L27" s="381">
        <f t="shared" si="1"/>
        <v>5.099999999860302</v>
      </c>
      <c r="M27" s="382">
        <f t="shared" si="2"/>
        <v>306</v>
      </c>
      <c r="N27" s="222" t="s">
        <v>191</v>
      </c>
      <c r="O27" s="223" t="str">
        <f t="shared" si="3"/>
        <v>--</v>
      </c>
      <c r="P27" s="727">
        <f t="shared" si="4"/>
        <v>40</v>
      </c>
      <c r="Q27" s="904">
        <f t="shared" si="5"/>
        <v>383.9484</v>
      </c>
      <c r="R27" s="188" t="str">
        <f t="shared" si="6"/>
        <v>--</v>
      </c>
      <c r="S27" s="375" t="str">
        <f t="shared" si="7"/>
        <v>--</v>
      </c>
      <c r="T27" s="376" t="str">
        <f t="shared" si="8"/>
        <v>--</v>
      </c>
      <c r="U27" s="223" t="s">
        <v>148</v>
      </c>
      <c r="V27" s="383">
        <f t="shared" si="9"/>
        <v>383.9484</v>
      </c>
      <c r="W27" s="6"/>
    </row>
    <row r="28" spans="2:23" s="5" customFormat="1" ht="16.5" customHeight="1">
      <c r="B28" s="50"/>
      <c r="C28" s="276">
        <v>73</v>
      </c>
      <c r="D28" s="276">
        <v>216842</v>
      </c>
      <c r="E28" s="152">
        <v>2588</v>
      </c>
      <c r="F28" s="953" t="s">
        <v>240</v>
      </c>
      <c r="G28" s="953" t="s">
        <v>241</v>
      </c>
      <c r="H28" s="954">
        <v>132</v>
      </c>
      <c r="I28" s="130">
        <f t="shared" si="0"/>
        <v>18.821</v>
      </c>
      <c r="J28" s="380">
        <v>40186.40555555555</v>
      </c>
      <c r="K28" s="150">
        <v>40186.56736111111</v>
      </c>
      <c r="L28" s="381">
        <f t="shared" si="1"/>
        <v>3.8833333334187046</v>
      </c>
      <c r="M28" s="382">
        <f t="shared" si="2"/>
        <v>233</v>
      </c>
      <c r="N28" s="222" t="s">
        <v>191</v>
      </c>
      <c r="O28" s="223" t="str">
        <f t="shared" si="3"/>
        <v>--</v>
      </c>
      <c r="P28" s="727">
        <f t="shared" si="4"/>
        <v>40</v>
      </c>
      <c r="Q28" s="904">
        <f t="shared" si="5"/>
        <v>292.10192</v>
      </c>
      <c r="R28" s="188" t="str">
        <f t="shared" si="6"/>
        <v>--</v>
      </c>
      <c r="S28" s="375" t="str">
        <f t="shared" si="7"/>
        <v>--</v>
      </c>
      <c r="T28" s="376" t="str">
        <f t="shared" si="8"/>
        <v>--</v>
      </c>
      <c r="U28" s="223" t="s">
        <v>148</v>
      </c>
      <c r="V28" s="383">
        <f t="shared" si="9"/>
        <v>292.10192</v>
      </c>
      <c r="W28" s="6"/>
    </row>
    <row r="29" spans="2:23" s="5" customFormat="1" ht="16.5" customHeight="1">
      <c r="B29" s="50"/>
      <c r="C29" s="276">
        <v>74</v>
      </c>
      <c r="D29" s="276">
        <v>217175</v>
      </c>
      <c r="E29" s="276">
        <v>2605</v>
      </c>
      <c r="F29" s="953" t="s">
        <v>238</v>
      </c>
      <c r="G29" s="953" t="s">
        <v>243</v>
      </c>
      <c r="H29" s="954">
        <v>132</v>
      </c>
      <c r="I29" s="130">
        <f t="shared" si="0"/>
        <v>18.821</v>
      </c>
      <c r="J29" s="380">
        <v>40189.43194444444</v>
      </c>
      <c r="K29" s="150">
        <v>40189.69513888889</v>
      </c>
      <c r="L29" s="381">
        <f t="shared" si="1"/>
        <v>6.316666666825768</v>
      </c>
      <c r="M29" s="382">
        <f t="shared" si="2"/>
        <v>379</v>
      </c>
      <c r="N29" s="222" t="s">
        <v>191</v>
      </c>
      <c r="O29" s="223" t="str">
        <f t="shared" si="3"/>
        <v>--</v>
      </c>
      <c r="P29" s="727">
        <f t="shared" si="4"/>
        <v>40</v>
      </c>
      <c r="Q29" s="904">
        <f t="shared" si="5"/>
        <v>475.79488000000003</v>
      </c>
      <c r="R29" s="188" t="str">
        <f t="shared" si="6"/>
        <v>--</v>
      </c>
      <c r="S29" s="375" t="str">
        <f t="shared" si="7"/>
        <v>--</v>
      </c>
      <c r="T29" s="376" t="str">
        <f t="shared" si="8"/>
        <v>--</v>
      </c>
      <c r="U29" s="223" t="s">
        <v>148</v>
      </c>
      <c r="V29" s="383">
        <f t="shared" si="9"/>
        <v>475.79488000000003</v>
      </c>
      <c r="W29" s="6"/>
    </row>
    <row r="30" spans="2:23" s="5" customFormat="1" ht="16.5" customHeight="1">
      <c r="B30" s="50"/>
      <c r="C30" s="276">
        <v>75</v>
      </c>
      <c r="D30" s="276">
        <v>217181</v>
      </c>
      <c r="E30" s="152">
        <v>2605</v>
      </c>
      <c r="F30" s="953" t="s">
        <v>238</v>
      </c>
      <c r="G30" s="953" t="s">
        <v>243</v>
      </c>
      <c r="H30" s="954">
        <v>132</v>
      </c>
      <c r="I30" s="130">
        <f t="shared" si="0"/>
        <v>18.821</v>
      </c>
      <c r="J30" s="380">
        <v>40190.36597222222</v>
      </c>
      <c r="K30" s="150">
        <v>40190.74444444444</v>
      </c>
      <c r="L30" s="381">
        <f t="shared" si="1"/>
        <v>9.083333333255723</v>
      </c>
      <c r="M30" s="382">
        <f t="shared" si="2"/>
        <v>545</v>
      </c>
      <c r="N30" s="222" t="s">
        <v>191</v>
      </c>
      <c r="O30" s="223" t="str">
        <f t="shared" si="3"/>
        <v>--</v>
      </c>
      <c r="P30" s="727">
        <f t="shared" si="4"/>
        <v>40</v>
      </c>
      <c r="Q30" s="904">
        <f t="shared" si="5"/>
        <v>683.5787200000001</v>
      </c>
      <c r="R30" s="188" t="str">
        <f t="shared" si="6"/>
        <v>--</v>
      </c>
      <c r="S30" s="375" t="str">
        <f t="shared" si="7"/>
        <v>--</v>
      </c>
      <c r="T30" s="376" t="str">
        <f t="shared" si="8"/>
        <v>--</v>
      </c>
      <c r="U30" s="223" t="s">
        <v>148</v>
      </c>
      <c r="V30" s="383">
        <f t="shared" si="9"/>
        <v>683.5787200000001</v>
      </c>
      <c r="W30" s="6"/>
    </row>
    <row r="31" spans="2:23" s="5" customFormat="1" ht="16.5" customHeight="1">
      <c r="B31" s="50"/>
      <c r="C31" s="276">
        <v>76</v>
      </c>
      <c r="D31" s="276">
        <v>217182</v>
      </c>
      <c r="E31" s="276">
        <v>2595</v>
      </c>
      <c r="F31" s="953" t="s">
        <v>244</v>
      </c>
      <c r="G31" s="953" t="s">
        <v>245</v>
      </c>
      <c r="H31" s="954">
        <v>132</v>
      </c>
      <c r="I31" s="130">
        <f t="shared" si="0"/>
        <v>18.821</v>
      </c>
      <c r="J31" s="380">
        <v>40190.37986111111</v>
      </c>
      <c r="K31" s="150">
        <v>40190.53472222222</v>
      </c>
      <c r="L31" s="381">
        <f t="shared" si="1"/>
        <v>3.7166666665580124</v>
      </c>
      <c r="M31" s="382">
        <f t="shared" si="2"/>
        <v>223</v>
      </c>
      <c r="N31" s="222" t="s">
        <v>191</v>
      </c>
      <c r="O31" s="223" t="str">
        <f t="shared" si="3"/>
        <v>--</v>
      </c>
      <c r="P31" s="727">
        <f t="shared" si="4"/>
        <v>40</v>
      </c>
      <c r="Q31" s="904">
        <f t="shared" si="5"/>
        <v>280.05648</v>
      </c>
      <c r="R31" s="188" t="str">
        <f t="shared" si="6"/>
        <v>--</v>
      </c>
      <c r="S31" s="375" t="str">
        <f t="shared" si="7"/>
        <v>--</v>
      </c>
      <c r="T31" s="376" t="str">
        <f t="shared" si="8"/>
        <v>--</v>
      </c>
      <c r="U31" s="223" t="s">
        <v>148</v>
      </c>
      <c r="V31" s="383">
        <f t="shared" si="9"/>
        <v>280.05648</v>
      </c>
      <c r="W31" s="6"/>
    </row>
    <row r="32" spans="2:23" s="5" customFormat="1" ht="16.5" customHeight="1">
      <c r="B32" s="50"/>
      <c r="C32" s="276">
        <v>77</v>
      </c>
      <c r="D32" s="276">
        <v>217184</v>
      </c>
      <c r="E32" s="152">
        <v>2586</v>
      </c>
      <c r="F32" s="953" t="s">
        <v>240</v>
      </c>
      <c r="G32" s="953" t="s">
        <v>246</v>
      </c>
      <c r="H32" s="954">
        <v>132</v>
      </c>
      <c r="I32" s="130">
        <f t="shared" si="0"/>
        <v>18.821</v>
      </c>
      <c r="J32" s="380">
        <v>40190.40694444445</v>
      </c>
      <c r="K32" s="150">
        <v>40190.5875</v>
      </c>
      <c r="L32" s="381">
        <f t="shared" si="1"/>
        <v>4.333333333313931</v>
      </c>
      <c r="M32" s="382">
        <f t="shared" si="2"/>
        <v>260</v>
      </c>
      <c r="N32" s="222" t="s">
        <v>191</v>
      </c>
      <c r="O32" s="223" t="str">
        <f t="shared" si="3"/>
        <v>--</v>
      </c>
      <c r="P32" s="727">
        <f t="shared" si="4"/>
        <v>40</v>
      </c>
      <c r="Q32" s="904">
        <f t="shared" si="5"/>
        <v>325.97972000000004</v>
      </c>
      <c r="R32" s="188" t="str">
        <f t="shared" si="6"/>
        <v>--</v>
      </c>
      <c r="S32" s="375" t="str">
        <f t="shared" si="7"/>
        <v>--</v>
      </c>
      <c r="T32" s="376" t="str">
        <f t="shared" si="8"/>
        <v>--</v>
      </c>
      <c r="U32" s="223" t="s">
        <v>148</v>
      </c>
      <c r="V32" s="383">
        <f t="shared" si="9"/>
        <v>325.97972000000004</v>
      </c>
      <c r="W32" s="6"/>
    </row>
    <row r="33" spans="2:23" s="5" customFormat="1" ht="16.5" customHeight="1">
      <c r="B33" s="50"/>
      <c r="C33" s="276"/>
      <c r="D33" s="276"/>
      <c r="E33" s="276"/>
      <c r="F33" s="378"/>
      <c r="G33" s="378"/>
      <c r="H33" s="379"/>
      <c r="I33" s="130">
        <f t="shared" si="0"/>
        <v>18.821</v>
      </c>
      <c r="J33" s="380"/>
      <c r="K33" s="150"/>
      <c r="L33" s="381">
        <f t="shared" si="1"/>
      </c>
      <c r="M33" s="382">
        <f t="shared" si="2"/>
      </c>
      <c r="N33" s="222"/>
      <c r="O33" s="223">
        <f t="shared" si="3"/>
      </c>
      <c r="P33" s="727">
        <f t="shared" si="4"/>
        <v>40</v>
      </c>
      <c r="Q33" s="904" t="str">
        <f t="shared" si="5"/>
        <v>--</v>
      </c>
      <c r="R33" s="188" t="str">
        <f t="shared" si="6"/>
        <v>--</v>
      </c>
      <c r="S33" s="375" t="str">
        <f t="shared" si="7"/>
        <v>--</v>
      </c>
      <c r="T33" s="376" t="str">
        <f t="shared" si="8"/>
        <v>--</v>
      </c>
      <c r="U33" s="223">
        <f aca="true" t="shared" si="10" ref="U33:U41">IF(F33="","","SI")</f>
      </c>
      <c r="V33" s="383">
        <f t="shared" si="9"/>
      </c>
      <c r="W33" s="6"/>
    </row>
    <row r="34" spans="2:23" s="5" customFormat="1" ht="16.5" customHeight="1">
      <c r="B34" s="50"/>
      <c r="C34" s="276"/>
      <c r="D34" s="276"/>
      <c r="E34" s="152"/>
      <c r="F34" s="378"/>
      <c r="G34" s="378"/>
      <c r="H34" s="379"/>
      <c r="I34" s="130">
        <f t="shared" si="0"/>
        <v>18.821</v>
      </c>
      <c r="J34" s="380"/>
      <c r="K34" s="150"/>
      <c r="L34" s="381">
        <f t="shared" si="1"/>
      </c>
      <c r="M34" s="382">
        <f t="shared" si="2"/>
      </c>
      <c r="N34" s="222"/>
      <c r="O34" s="223">
        <f t="shared" si="3"/>
      </c>
      <c r="P34" s="727">
        <f t="shared" si="4"/>
        <v>40</v>
      </c>
      <c r="Q34" s="904" t="str">
        <f t="shared" si="5"/>
        <v>--</v>
      </c>
      <c r="R34" s="188" t="str">
        <f t="shared" si="6"/>
        <v>--</v>
      </c>
      <c r="S34" s="375" t="str">
        <f t="shared" si="7"/>
        <v>--</v>
      </c>
      <c r="T34" s="376" t="str">
        <f t="shared" si="8"/>
        <v>--</v>
      </c>
      <c r="U34" s="223">
        <f t="shared" si="10"/>
      </c>
      <c r="V34" s="383">
        <f t="shared" si="9"/>
      </c>
      <c r="W34" s="6"/>
    </row>
    <row r="35" spans="2:23" s="5" customFormat="1" ht="16.5" customHeight="1">
      <c r="B35" s="50"/>
      <c r="C35" s="276"/>
      <c r="D35" s="276"/>
      <c r="E35" s="276"/>
      <c r="F35" s="378"/>
      <c r="G35" s="378"/>
      <c r="H35" s="379"/>
      <c r="I35" s="130">
        <f t="shared" si="0"/>
        <v>18.821</v>
      </c>
      <c r="J35" s="380"/>
      <c r="K35" s="150"/>
      <c r="L35" s="381">
        <f t="shared" si="1"/>
      </c>
      <c r="M35" s="382">
        <f t="shared" si="2"/>
      </c>
      <c r="N35" s="222"/>
      <c r="O35" s="223">
        <f t="shared" si="3"/>
      </c>
      <c r="P35" s="727">
        <f t="shared" si="4"/>
        <v>40</v>
      </c>
      <c r="Q35" s="904" t="str">
        <f t="shared" si="5"/>
        <v>--</v>
      </c>
      <c r="R35" s="188" t="str">
        <f t="shared" si="6"/>
        <v>--</v>
      </c>
      <c r="S35" s="375" t="str">
        <f t="shared" si="7"/>
        <v>--</v>
      </c>
      <c r="T35" s="376" t="str">
        <f t="shared" si="8"/>
        <v>--</v>
      </c>
      <c r="U35" s="223">
        <f t="shared" si="10"/>
      </c>
      <c r="V35" s="383">
        <f t="shared" si="9"/>
      </c>
      <c r="W35" s="6"/>
    </row>
    <row r="36" spans="2:23" s="5" customFormat="1" ht="16.5" customHeight="1">
      <c r="B36" s="50"/>
      <c r="C36" s="276"/>
      <c r="D36" s="276"/>
      <c r="E36" s="152"/>
      <c r="F36" s="378"/>
      <c r="G36" s="378"/>
      <c r="H36" s="379"/>
      <c r="I36" s="130">
        <f t="shared" si="0"/>
        <v>18.821</v>
      </c>
      <c r="J36" s="380"/>
      <c r="K36" s="150"/>
      <c r="L36" s="381">
        <f t="shared" si="1"/>
      </c>
      <c r="M36" s="382">
        <f t="shared" si="2"/>
      </c>
      <c r="N36" s="222"/>
      <c r="O36" s="223">
        <f t="shared" si="3"/>
      </c>
      <c r="P36" s="727">
        <f t="shared" si="4"/>
        <v>40</v>
      </c>
      <c r="Q36" s="904" t="str">
        <f t="shared" si="5"/>
        <v>--</v>
      </c>
      <c r="R36" s="188" t="str">
        <f t="shared" si="6"/>
        <v>--</v>
      </c>
      <c r="S36" s="375" t="str">
        <f t="shared" si="7"/>
        <v>--</v>
      </c>
      <c r="T36" s="376" t="str">
        <f t="shared" si="8"/>
        <v>--</v>
      </c>
      <c r="U36" s="223">
        <f t="shared" si="10"/>
      </c>
      <c r="V36" s="383">
        <f t="shared" si="9"/>
      </c>
      <c r="W36" s="6"/>
    </row>
    <row r="37" spans="2:23" s="5" customFormat="1" ht="16.5" customHeight="1">
      <c r="B37" s="50"/>
      <c r="C37" s="276"/>
      <c r="D37" s="276"/>
      <c r="E37" s="276"/>
      <c r="F37" s="378"/>
      <c r="G37" s="378"/>
      <c r="H37" s="379"/>
      <c r="I37" s="130">
        <f t="shared" si="0"/>
        <v>18.821</v>
      </c>
      <c r="J37" s="380"/>
      <c r="K37" s="150"/>
      <c r="L37" s="381">
        <f t="shared" si="1"/>
      </c>
      <c r="M37" s="382">
        <f t="shared" si="2"/>
      </c>
      <c r="N37" s="222"/>
      <c r="O37" s="223">
        <f t="shared" si="3"/>
      </c>
      <c r="P37" s="727">
        <f t="shared" si="4"/>
        <v>40</v>
      </c>
      <c r="Q37" s="904" t="str">
        <f t="shared" si="5"/>
        <v>--</v>
      </c>
      <c r="R37" s="188" t="str">
        <f t="shared" si="6"/>
        <v>--</v>
      </c>
      <c r="S37" s="375" t="str">
        <f t="shared" si="7"/>
        <v>--</v>
      </c>
      <c r="T37" s="376" t="str">
        <f t="shared" si="8"/>
        <v>--</v>
      </c>
      <c r="U37" s="223">
        <f t="shared" si="10"/>
      </c>
      <c r="V37" s="383">
        <f t="shared" si="9"/>
      </c>
      <c r="W37" s="6"/>
    </row>
    <row r="38" spans="2:23" s="5" customFormat="1" ht="16.5" customHeight="1">
      <c r="B38" s="50"/>
      <c r="C38" s="276"/>
      <c r="D38" s="276"/>
      <c r="E38" s="152"/>
      <c r="F38" s="378"/>
      <c r="G38" s="378"/>
      <c r="H38" s="379"/>
      <c r="I38" s="130">
        <f t="shared" si="0"/>
        <v>18.821</v>
      </c>
      <c r="J38" s="380"/>
      <c r="K38" s="150"/>
      <c r="L38" s="381">
        <f t="shared" si="1"/>
      </c>
      <c r="M38" s="382">
        <f t="shared" si="2"/>
      </c>
      <c r="N38" s="222"/>
      <c r="O38" s="223">
        <f t="shared" si="3"/>
      </c>
      <c r="P38" s="727">
        <f t="shared" si="4"/>
        <v>40</v>
      </c>
      <c r="Q38" s="904" t="str">
        <f t="shared" si="5"/>
        <v>--</v>
      </c>
      <c r="R38" s="188" t="str">
        <f t="shared" si="6"/>
        <v>--</v>
      </c>
      <c r="S38" s="375" t="str">
        <f t="shared" si="7"/>
        <v>--</v>
      </c>
      <c r="T38" s="376" t="str">
        <f t="shared" si="8"/>
        <v>--</v>
      </c>
      <c r="U38" s="223">
        <f t="shared" si="10"/>
      </c>
      <c r="V38" s="383">
        <f t="shared" si="9"/>
      </c>
      <c r="W38" s="6"/>
    </row>
    <row r="39" spans="2:23" s="5" customFormat="1" ht="16.5" customHeight="1">
      <c r="B39" s="50"/>
      <c r="C39" s="276"/>
      <c r="D39" s="276"/>
      <c r="E39" s="276"/>
      <c r="F39" s="378"/>
      <c r="G39" s="378"/>
      <c r="H39" s="379"/>
      <c r="I39" s="130">
        <f t="shared" si="0"/>
        <v>18.821</v>
      </c>
      <c r="J39" s="380"/>
      <c r="K39" s="150"/>
      <c r="L39" s="381">
        <f t="shared" si="1"/>
      </c>
      <c r="M39" s="382">
        <f t="shared" si="2"/>
      </c>
      <c r="N39" s="222"/>
      <c r="O39" s="223">
        <f t="shared" si="3"/>
      </c>
      <c r="P39" s="727">
        <f t="shared" si="4"/>
        <v>40</v>
      </c>
      <c r="Q39" s="904" t="str">
        <f t="shared" si="5"/>
        <v>--</v>
      </c>
      <c r="R39" s="188" t="str">
        <f t="shared" si="6"/>
        <v>--</v>
      </c>
      <c r="S39" s="375" t="str">
        <f t="shared" si="7"/>
        <v>--</v>
      </c>
      <c r="T39" s="376" t="str">
        <f t="shared" si="8"/>
        <v>--</v>
      </c>
      <c r="U39" s="223">
        <f t="shared" si="10"/>
      </c>
      <c r="V39" s="383">
        <f t="shared" si="9"/>
      </c>
      <c r="W39" s="6"/>
    </row>
    <row r="40" spans="2:23" s="5" customFormat="1" ht="16.5" customHeight="1">
      <c r="B40" s="50"/>
      <c r="C40" s="276"/>
      <c r="D40" s="276"/>
      <c r="E40" s="152"/>
      <c r="F40" s="378"/>
      <c r="G40" s="378"/>
      <c r="H40" s="379"/>
      <c r="I40" s="130">
        <f t="shared" si="0"/>
        <v>18.821</v>
      </c>
      <c r="J40" s="380"/>
      <c r="K40" s="150"/>
      <c r="L40" s="381">
        <f t="shared" si="1"/>
      </c>
      <c r="M40" s="382">
        <f t="shared" si="2"/>
      </c>
      <c r="N40" s="222"/>
      <c r="O40" s="223">
        <f t="shared" si="3"/>
      </c>
      <c r="P40" s="727">
        <f t="shared" si="4"/>
        <v>40</v>
      </c>
      <c r="Q40" s="904" t="str">
        <f t="shared" si="5"/>
        <v>--</v>
      </c>
      <c r="R40" s="188" t="str">
        <f t="shared" si="6"/>
        <v>--</v>
      </c>
      <c r="S40" s="375" t="str">
        <f t="shared" si="7"/>
        <v>--</v>
      </c>
      <c r="T40" s="376" t="str">
        <f t="shared" si="8"/>
        <v>--</v>
      </c>
      <c r="U40" s="223">
        <f t="shared" si="10"/>
      </c>
      <c r="V40" s="383">
        <f t="shared" si="9"/>
      </c>
      <c r="W40" s="6"/>
    </row>
    <row r="41" spans="2:23" s="5" customFormat="1" ht="16.5" customHeight="1">
      <c r="B41" s="50"/>
      <c r="C41" s="276"/>
      <c r="D41" s="276"/>
      <c r="E41" s="276"/>
      <c r="F41" s="378"/>
      <c r="G41" s="378"/>
      <c r="H41" s="379"/>
      <c r="I41" s="130">
        <f t="shared" si="0"/>
        <v>18.821</v>
      </c>
      <c r="J41" s="380"/>
      <c r="K41" s="150"/>
      <c r="L41" s="381">
        <f t="shared" si="1"/>
      </c>
      <c r="M41" s="382">
        <f t="shared" si="2"/>
      </c>
      <c r="N41" s="222"/>
      <c r="O41" s="223">
        <f t="shared" si="3"/>
      </c>
      <c r="P41" s="727">
        <f t="shared" si="4"/>
        <v>40</v>
      </c>
      <c r="Q41" s="904" t="str">
        <f t="shared" si="5"/>
        <v>--</v>
      </c>
      <c r="R41" s="188" t="str">
        <f t="shared" si="6"/>
        <v>--</v>
      </c>
      <c r="S41" s="375" t="str">
        <f t="shared" si="7"/>
        <v>--</v>
      </c>
      <c r="T41" s="376" t="str">
        <f t="shared" si="8"/>
        <v>--</v>
      </c>
      <c r="U41" s="223">
        <f t="shared" si="10"/>
      </c>
      <c r="V41" s="383">
        <f t="shared" si="9"/>
      </c>
      <c r="W41" s="6"/>
    </row>
    <row r="42" spans="2:23" s="5" customFormat="1" ht="16.5" customHeight="1" thickBot="1">
      <c r="B42" s="50"/>
      <c r="C42" s="230"/>
      <c r="D42" s="230"/>
      <c r="E42" s="230"/>
      <c r="F42" s="230"/>
      <c r="G42" s="230"/>
      <c r="H42" s="230"/>
      <c r="I42" s="131"/>
      <c r="J42" s="384"/>
      <c r="K42" s="384"/>
      <c r="L42" s="385"/>
      <c r="M42" s="385"/>
      <c r="N42" s="384"/>
      <c r="O42" s="151"/>
      <c r="P42" s="386"/>
      <c r="Q42" s="387"/>
      <c r="R42" s="388"/>
      <c r="S42" s="389"/>
      <c r="T42" s="157"/>
      <c r="U42" s="151"/>
      <c r="V42" s="390"/>
      <c r="W42" s="6"/>
    </row>
    <row r="43" spans="2:23" s="5" customFormat="1" ht="16.5" customHeight="1" thickBot="1" thickTop="1">
      <c r="B43" s="50"/>
      <c r="C43" s="127" t="s">
        <v>25</v>
      </c>
      <c r="D43" s="73" t="s">
        <v>257</v>
      </c>
      <c r="E43" s="127"/>
      <c r="F43" s="128"/>
      <c r="G43"/>
      <c r="H43" s="4"/>
      <c r="I43" s="4"/>
      <c r="J43" s="4"/>
      <c r="K43" s="4"/>
      <c r="L43" s="4"/>
      <c r="M43" s="4"/>
      <c r="N43" s="4"/>
      <c r="O43" s="4"/>
      <c r="P43" s="4"/>
      <c r="Q43" s="391">
        <f>SUM(Q20:Q42)</f>
        <v>4724.071000000001</v>
      </c>
      <c r="R43" s="392">
        <f>SUM(R20:R42)</f>
        <v>0</v>
      </c>
      <c r="S43" s="393">
        <f>SUM(S20:S42)</f>
        <v>0</v>
      </c>
      <c r="T43" s="394">
        <f>SUM(T20:T42)</f>
        <v>0</v>
      </c>
      <c r="U43" s="395"/>
      <c r="V43" s="100">
        <f>ROUND(SUM(V20:V42),2)</f>
        <v>4724.07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72"/>
      <c r="X45" s="172"/>
      <c r="Y45" s="172"/>
    </row>
    <row r="46" spans="23:25" ht="16.5" customHeight="1">
      <c r="W46" s="172"/>
      <c r="X46" s="172"/>
      <c r="Y46" s="172"/>
    </row>
    <row r="47" spans="23:25" ht="16.5" customHeight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6:25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</row>
    <row r="51" spans="6:25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Y159"/>
  <sheetViews>
    <sheetView zoomScale="70" zoomScaleNormal="70" workbookViewId="0" topLeftCell="A1">
      <selection activeCell="G19" sqref="G1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58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150</v>
      </c>
      <c r="G10" s="344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5"/>
      <c r="G11" s="345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279</v>
      </c>
      <c r="G12" s="344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5"/>
      <c r="G13" s="345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'TOT-0110'!B14</f>
        <v>Desde el 01 al 31 de enero de 2010</v>
      </c>
      <c r="C14" s="40"/>
      <c r="D14" s="40"/>
      <c r="E14" s="40"/>
      <c r="F14" s="40"/>
      <c r="G14" s="40"/>
      <c r="H14" s="40"/>
      <c r="I14" s="346"/>
      <c r="J14" s="346"/>
      <c r="K14" s="346"/>
      <c r="L14" s="346"/>
      <c r="M14" s="346"/>
      <c r="N14" s="346"/>
      <c r="O14" s="346"/>
      <c r="P14" s="346"/>
      <c r="Q14" s="40"/>
      <c r="R14" s="40"/>
      <c r="S14" s="40"/>
      <c r="T14" s="40"/>
      <c r="U14" s="40"/>
      <c r="V14" s="40"/>
      <c r="W14" s="347"/>
    </row>
    <row r="15" spans="2:23" s="5" customFormat="1" ht="14.25" thickBot="1">
      <c r="B15" s="348"/>
      <c r="C15" s="349"/>
      <c r="D15" s="349"/>
      <c r="E15" s="349"/>
      <c r="F15" s="349"/>
      <c r="G15" s="349"/>
      <c r="H15" s="349"/>
      <c r="I15" s="350"/>
      <c r="J15" s="350"/>
      <c r="K15" s="350"/>
      <c r="L15" s="350"/>
      <c r="M15" s="350"/>
      <c r="N15" s="350"/>
      <c r="O15" s="350"/>
      <c r="P15" s="350"/>
      <c r="Q15" s="349"/>
      <c r="R15" s="349"/>
      <c r="S15" s="349"/>
      <c r="T15" s="349"/>
      <c r="U15" s="349"/>
      <c r="V15" s="349"/>
      <c r="W15" s="351"/>
    </row>
    <row r="16" spans="2:23" s="5" customFormat="1" ht="15" thickBot="1" thickTop="1">
      <c r="B16" s="50"/>
      <c r="C16" s="4"/>
      <c r="D16" s="4"/>
      <c r="E16" s="4"/>
      <c r="F16" s="352"/>
      <c r="G16" s="352"/>
      <c r="H16" s="117" t="s">
        <v>69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3" t="s">
        <v>70</v>
      </c>
      <c r="G17" s="354" t="s">
        <v>179</v>
      </c>
      <c r="H17" s="355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6" t="s">
        <v>71</v>
      </c>
      <c r="G18" s="357" t="s">
        <v>179</v>
      </c>
      <c r="H18" s="355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8" t="s">
        <v>72</v>
      </c>
      <c r="G19" s="357">
        <v>16.5546</v>
      </c>
      <c r="H19" s="355">
        <v>40</v>
      </c>
      <c r="K19" s="201"/>
      <c r="L19" s="202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19">
        <v>3</v>
      </c>
      <c r="D20" s="919">
        <v>4</v>
      </c>
      <c r="E20" s="919">
        <v>5</v>
      </c>
      <c r="F20" s="919">
        <v>6</v>
      </c>
      <c r="G20" s="919">
        <v>7</v>
      </c>
      <c r="H20" s="919">
        <v>8</v>
      </c>
      <c r="I20" s="919">
        <v>9</v>
      </c>
      <c r="J20" s="919">
        <v>10</v>
      </c>
      <c r="K20" s="919">
        <v>11</v>
      </c>
      <c r="L20" s="919">
        <v>12</v>
      </c>
      <c r="M20" s="919">
        <v>13</v>
      </c>
      <c r="N20" s="919">
        <v>14</v>
      </c>
      <c r="O20" s="919">
        <v>15</v>
      </c>
      <c r="P20" s="919">
        <v>16</v>
      </c>
      <c r="Q20" s="919">
        <v>17</v>
      </c>
      <c r="R20" s="919">
        <v>18</v>
      </c>
      <c r="S20" s="919">
        <v>19</v>
      </c>
      <c r="T20" s="919">
        <v>20</v>
      </c>
      <c r="U20" s="919">
        <v>21</v>
      </c>
      <c r="V20" s="919">
        <v>22</v>
      </c>
      <c r="W20" s="6"/>
    </row>
    <row r="21" spans="2:23" s="5" customFormat="1" ht="33.75" customHeight="1" thickBot="1" thickTop="1">
      <c r="B21" s="50"/>
      <c r="C21" s="123" t="s">
        <v>13</v>
      </c>
      <c r="D21" s="84" t="s">
        <v>171</v>
      </c>
      <c r="E21" s="84" t="s">
        <v>172</v>
      </c>
      <c r="F21" s="86" t="s">
        <v>27</v>
      </c>
      <c r="G21" s="359" t="s">
        <v>28</v>
      </c>
      <c r="H21" s="360" t="s">
        <v>14</v>
      </c>
      <c r="I21" s="129" t="s">
        <v>16</v>
      </c>
      <c r="J21" s="85" t="s">
        <v>17</v>
      </c>
      <c r="K21" s="359" t="s">
        <v>18</v>
      </c>
      <c r="L21" s="361" t="s">
        <v>36</v>
      </c>
      <c r="M21" s="361" t="s">
        <v>31</v>
      </c>
      <c r="N21" s="88" t="s">
        <v>19</v>
      </c>
      <c r="O21" s="176" t="s">
        <v>32</v>
      </c>
      <c r="P21" s="135" t="s">
        <v>37</v>
      </c>
      <c r="Q21" s="362" t="s">
        <v>59</v>
      </c>
      <c r="R21" s="177" t="s">
        <v>35</v>
      </c>
      <c r="S21" s="363"/>
      <c r="T21" s="134" t="s">
        <v>22</v>
      </c>
      <c r="U21" s="132" t="s">
        <v>63</v>
      </c>
      <c r="V21" s="121" t="s">
        <v>24</v>
      </c>
      <c r="W21" s="6"/>
    </row>
    <row r="22" spans="2:23" s="5" customFormat="1" ht="16.5" customHeight="1" thickTop="1">
      <c r="B22" s="50"/>
      <c r="C22" s="262"/>
      <c r="D22" s="262"/>
      <c r="E22" s="262"/>
      <c r="F22" s="364"/>
      <c r="G22" s="364"/>
      <c r="H22" s="364"/>
      <c r="I22" s="220"/>
      <c r="J22" s="364"/>
      <c r="K22" s="364"/>
      <c r="L22" s="364"/>
      <c r="M22" s="364"/>
      <c r="N22" s="364"/>
      <c r="O22" s="364"/>
      <c r="P22" s="365"/>
      <c r="Q22" s="366"/>
      <c r="R22" s="367"/>
      <c r="S22" s="368"/>
      <c r="T22" s="369"/>
      <c r="U22" s="364"/>
      <c r="V22" s="370"/>
      <c r="W22" s="6"/>
    </row>
    <row r="23" spans="2:23" s="5" customFormat="1" ht="16.5" customHeight="1">
      <c r="B23" s="50"/>
      <c r="C23" s="276"/>
      <c r="D23" s="276"/>
      <c r="E23" s="276"/>
      <c r="F23" s="371"/>
      <c r="G23" s="371"/>
      <c r="H23" s="371"/>
      <c r="I23" s="372"/>
      <c r="J23" s="371"/>
      <c r="K23" s="371"/>
      <c r="L23" s="371"/>
      <c r="M23" s="371"/>
      <c r="N23" s="371"/>
      <c r="O23" s="371"/>
      <c r="P23" s="373"/>
      <c r="Q23" s="374"/>
      <c r="R23" s="188"/>
      <c r="S23" s="375"/>
      <c r="T23" s="376"/>
      <c r="U23" s="371"/>
      <c r="V23" s="377"/>
      <c r="W23" s="6"/>
    </row>
    <row r="24" spans="2:23" s="5" customFormat="1" ht="16.5" customHeight="1">
      <c r="B24" s="50"/>
      <c r="C24" s="276">
        <v>78</v>
      </c>
      <c r="D24" s="276">
        <v>217533</v>
      </c>
      <c r="E24" s="152">
        <v>4869</v>
      </c>
      <c r="F24" s="953" t="s">
        <v>247</v>
      </c>
      <c r="G24" s="953" t="s">
        <v>248</v>
      </c>
      <c r="H24" s="954">
        <v>132</v>
      </c>
      <c r="I24" s="130">
        <f aca="true" t="shared" si="0" ref="I24:I43">IF(H24=500,$G$17,IF(H24=220,$G$18,$G$19))</f>
        <v>16.5546</v>
      </c>
      <c r="J24" s="380">
        <v>40201.35902777778</v>
      </c>
      <c r="K24" s="150">
        <v>40201.46944444445</v>
      </c>
      <c r="L24" s="381">
        <f aca="true" t="shared" si="1" ref="L24:L43">IF(F24="","",(K24-J24)*24)</f>
        <v>2.6500000000814907</v>
      </c>
      <c r="M24" s="382">
        <f aca="true" t="shared" si="2" ref="M24:M43">IF(F24="","",ROUND((K24-J24)*24*60,0))</f>
        <v>159</v>
      </c>
      <c r="N24" s="222" t="s">
        <v>191</v>
      </c>
      <c r="O24" s="223" t="str">
        <f aca="true" t="shared" si="3" ref="O24:O43">IF(F24="","",IF(N24="P","--","NO"))</f>
        <v>--</v>
      </c>
      <c r="P24" s="727">
        <f aca="true" t="shared" si="4" ref="P24:P43">IF(H24=500,$H$17,IF(H24=220,$H$18,$H$19))</f>
        <v>40</v>
      </c>
      <c r="Q24" s="904">
        <f aca="true" t="shared" si="5" ref="Q24:Q43">IF(N24="P",I24*P24*ROUND(M24/60,2)*0.1,"--")</f>
        <v>175.47876</v>
      </c>
      <c r="R24" s="188" t="str">
        <f aca="true" t="shared" si="6" ref="R24:R43">IF(AND(N24="F",O24="NO"),I24*P24,"--")</f>
        <v>--</v>
      </c>
      <c r="S24" s="375" t="str">
        <f aca="true" t="shared" si="7" ref="S24:S43">IF(N24="F",I24*P24*ROUND(M24/60,2),"--")</f>
        <v>--</v>
      </c>
      <c r="T24" s="376" t="str">
        <f aca="true" t="shared" si="8" ref="T24:T43">IF(N24="RF",I24*P24*ROUND(M24/60,2),"--")</f>
        <v>--</v>
      </c>
      <c r="U24" s="223" t="s">
        <v>148</v>
      </c>
      <c r="V24" s="383">
        <f aca="true" t="shared" si="9" ref="V24:V43">IF(F24="","",SUM(Q24:T24)*IF(U24="SI",1,2))</f>
        <v>175.47876</v>
      </c>
      <c r="W24" s="6"/>
    </row>
    <row r="25" spans="2:23" s="5" customFormat="1" ht="16.5" customHeight="1">
      <c r="B25" s="50"/>
      <c r="C25" s="276">
        <v>79</v>
      </c>
      <c r="D25" s="276">
        <v>217534</v>
      </c>
      <c r="E25" s="276">
        <v>4868</v>
      </c>
      <c r="F25" s="953" t="s">
        <v>247</v>
      </c>
      <c r="G25" s="953" t="s">
        <v>249</v>
      </c>
      <c r="H25" s="954">
        <v>132</v>
      </c>
      <c r="I25" s="130">
        <f t="shared" si="0"/>
        <v>16.5546</v>
      </c>
      <c r="J25" s="380">
        <v>40201.35972222222</v>
      </c>
      <c r="K25" s="150">
        <v>40201.470138888886</v>
      </c>
      <c r="L25" s="381">
        <f t="shared" si="1"/>
        <v>2.6499999999068677</v>
      </c>
      <c r="M25" s="382">
        <f t="shared" si="2"/>
        <v>159</v>
      </c>
      <c r="N25" s="222" t="s">
        <v>191</v>
      </c>
      <c r="O25" s="223" t="str">
        <f t="shared" si="3"/>
        <v>--</v>
      </c>
      <c r="P25" s="727">
        <f t="shared" si="4"/>
        <v>40</v>
      </c>
      <c r="Q25" s="904">
        <f t="shared" si="5"/>
        <v>175.47876</v>
      </c>
      <c r="R25" s="188" t="str">
        <f t="shared" si="6"/>
        <v>--</v>
      </c>
      <c r="S25" s="375" t="str">
        <f t="shared" si="7"/>
        <v>--</v>
      </c>
      <c r="T25" s="376" t="str">
        <f t="shared" si="8"/>
        <v>--</v>
      </c>
      <c r="U25" s="223" t="s">
        <v>148</v>
      </c>
      <c r="V25" s="383">
        <f t="shared" si="9"/>
        <v>175.47876</v>
      </c>
      <c r="W25" s="6"/>
    </row>
    <row r="26" spans="2:23" s="5" customFormat="1" ht="16.5" customHeight="1">
      <c r="B26" s="50"/>
      <c r="C26" s="276"/>
      <c r="D26" s="276"/>
      <c r="E26" s="152"/>
      <c r="F26" s="378"/>
      <c r="G26" s="378"/>
      <c r="H26" s="379"/>
      <c r="I26" s="130">
        <f t="shared" si="0"/>
        <v>16.5546</v>
      </c>
      <c r="J26" s="380"/>
      <c r="K26" s="150"/>
      <c r="L26" s="381">
        <f t="shared" si="1"/>
      </c>
      <c r="M26" s="382">
        <f t="shared" si="2"/>
      </c>
      <c r="N26" s="222"/>
      <c r="O26" s="223">
        <f t="shared" si="3"/>
      </c>
      <c r="P26" s="727">
        <f t="shared" si="4"/>
        <v>40</v>
      </c>
      <c r="Q26" s="904" t="str">
        <f t="shared" si="5"/>
        <v>--</v>
      </c>
      <c r="R26" s="188" t="str">
        <f t="shared" si="6"/>
        <v>--</v>
      </c>
      <c r="S26" s="375" t="str">
        <f t="shared" si="7"/>
        <v>--</v>
      </c>
      <c r="T26" s="376" t="str">
        <f t="shared" si="8"/>
        <v>--</v>
      </c>
      <c r="U26" s="223">
        <f aca="true" t="shared" si="10" ref="U26:U43">IF(F26="","","SI")</f>
      </c>
      <c r="V26" s="383">
        <f t="shared" si="9"/>
      </c>
      <c r="W26" s="6"/>
    </row>
    <row r="27" spans="2:23" s="5" customFormat="1" ht="16.5" customHeight="1">
      <c r="B27" s="50"/>
      <c r="C27" s="276"/>
      <c r="D27" s="276"/>
      <c r="E27" s="276"/>
      <c r="F27" s="378"/>
      <c r="G27" s="378"/>
      <c r="H27" s="379"/>
      <c r="I27" s="130">
        <f t="shared" si="0"/>
        <v>16.5546</v>
      </c>
      <c r="J27" s="380"/>
      <c r="K27" s="150"/>
      <c r="L27" s="381">
        <f t="shared" si="1"/>
      </c>
      <c r="M27" s="382">
        <f t="shared" si="2"/>
      </c>
      <c r="N27" s="222"/>
      <c r="O27" s="223">
        <f t="shared" si="3"/>
      </c>
      <c r="P27" s="727">
        <f t="shared" si="4"/>
        <v>40</v>
      </c>
      <c r="Q27" s="904" t="str">
        <f t="shared" si="5"/>
        <v>--</v>
      </c>
      <c r="R27" s="188" t="str">
        <f t="shared" si="6"/>
        <v>--</v>
      </c>
      <c r="S27" s="375" t="str">
        <f t="shared" si="7"/>
        <v>--</v>
      </c>
      <c r="T27" s="376" t="str">
        <f t="shared" si="8"/>
        <v>--</v>
      </c>
      <c r="U27" s="223">
        <f t="shared" si="10"/>
      </c>
      <c r="V27" s="383">
        <f t="shared" si="9"/>
      </c>
      <c r="W27" s="6"/>
    </row>
    <row r="28" spans="2:23" s="5" customFormat="1" ht="16.5" customHeight="1">
      <c r="B28" s="50"/>
      <c r="C28" s="276"/>
      <c r="D28" s="276"/>
      <c r="E28" s="152"/>
      <c r="F28" s="378"/>
      <c r="G28" s="378"/>
      <c r="H28" s="379"/>
      <c r="I28" s="130">
        <f t="shared" si="0"/>
        <v>16.5546</v>
      </c>
      <c r="J28" s="380"/>
      <c r="K28" s="150"/>
      <c r="L28" s="381">
        <f t="shared" si="1"/>
      </c>
      <c r="M28" s="382">
        <f t="shared" si="2"/>
      </c>
      <c r="N28" s="222"/>
      <c r="O28" s="223">
        <f t="shared" si="3"/>
      </c>
      <c r="P28" s="727">
        <f t="shared" si="4"/>
        <v>40</v>
      </c>
      <c r="Q28" s="904" t="str">
        <f t="shared" si="5"/>
        <v>--</v>
      </c>
      <c r="R28" s="188" t="str">
        <f t="shared" si="6"/>
        <v>--</v>
      </c>
      <c r="S28" s="375" t="str">
        <f t="shared" si="7"/>
        <v>--</v>
      </c>
      <c r="T28" s="376" t="str">
        <f t="shared" si="8"/>
        <v>--</v>
      </c>
      <c r="U28" s="223">
        <f t="shared" si="10"/>
      </c>
      <c r="V28" s="383">
        <f t="shared" si="9"/>
      </c>
      <c r="W28" s="6"/>
    </row>
    <row r="29" spans="2:23" s="5" customFormat="1" ht="16.5" customHeight="1">
      <c r="B29" s="50"/>
      <c r="C29" s="276"/>
      <c r="D29" s="276"/>
      <c r="E29" s="276"/>
      <c r="F29" s="378"/>
      <c r="G29" s="378"/>
      <c r="H29" s="379"/>
      <c r="I29" s="130">
        <f t="shared" si="0"/>
        <v>16.5546</v>
      </c>
      <c r="J29" s="380"/>
      <c r="K29" s="150"/>
      <c r="L29" s="381">
        <f t="shared" si="1"/>
      </c>
      <c r="M29" s="382">
        <f t="shared" si="2"/>
      </c>
      <c r="N29" s="222"/>
      <c r="O29" s="223">
        <f t="shared" si="3"/>
      </c>
      <c r="P29" s="727">
        <f t="shared" si="4"/>
        <v>40</v>
      </c>
      <c r="Q29" s="904" t="str">
        <f t="shared" si="5"/>
        <v>--</v>
      </c>
      <c r="R29" s="188" t="str">
        <f t="shared" si="6"/>
        <v>--</v>
      </c>
      <c r="S29" s="375" t="str">
        <f t="shared" si="7"/>
        <v>--</v>
      </c>
      <c r="T29" s="376" t="str">
        <f t="shared" si="8"/>
        <v>--</v>
      </c>
      <c r="U29" s="223">
        <f t="shared" si="10"/>
      </c>
      <c r="V29" s="383">
        <f t="shared" si="9"/>
      </c>
      <c r="W29" s="6"/>
    </row>
    <row r="30" spans="2:23" s="5" customFormat="1" ht="16.5" customHeight="1">
      <c r="B30" s="50"/>
      <c r="C30" s="276"/>
      <c r="D30" s="276"/>
      <c r="E30" s="152"/>
      <c r="F30" s="378"/>
      <c r="G30" s="378"/>
      <c r="H30" s="379"/>
      <c r="I30" s="130">
        <f t="shared" si="0"/>
        <v>16.5546</v>
      </c>
      <c r="J30" s="380"/>
      <c r="K30" s="150"/>
      <c r="L30" s="381">
        <f t="shared" si="1"/>
      </c>
      <c r="M30" s="382">
        <f t="shared" si="2"/>
      </c>
      <c r="N30" s="222"/>
      <c r="O30" s="223">
        <f t="shared" si="3"/>
      </c>
      <c r="P30" s="727">
        <f t="shared" si="4"/>
        <v>40</v>
      </c>
      <c r="Q30" s="904" t="str">
        <f t="shared" si="5"/>
        <v>--</v>
      </c>
      <c r="R30" s="188" t="str">
        <f t="shared" si="6"/>
        <v>--</v>
      </c>
      <c r="S30" s="375" t="str">
        <f t="shared" si="7"/>
        <v>--</v>
      </c>
      <c r="T30" s="376" t="str">
        <f t="shared" si="8"/>
        <v>--</v>
      </c>
      <c r="U30" s="223">
        <f t="shared" si="10"/>
      </c>
      <c r="V30" s="383">
        <f t="shared" si="9"/>
      </c>
      <c r="W30" s="6"/>
    </row>
    <row r="31" spans="2:23" s="5" customFormat="1" ht="16.5" customHeight="1">
      <c r="B31" s="50"/>
      <c r="C31" s="276"/>
      <c r="D31" s="276"/>
      <c r="E31" s="276"/>
      <c r="F31" s="378"/>
      <c r="G31" s="378"/>
      <c r="H31" s="379"/>
      <c r="I31" s="130">
        <f t="shared" si="0"/>
        <v>16.5546</v>
      </c>
      <c r="J31" s="380"/>
      <c r="K31" s="150"/>
      <c r="L31" s="381">
        <f t="shared" si="1"/>
      </c>
      <c r="M31" s="382">
        <f t="shared" si="2"/>
      </c>
      <c r="N31" s="222"/>
      <c r="O31" s="223">
        <f t="shared" si="3"/>
      </c>
      <c r="P31" s="727">
        <f t="shared" si="4"/>
        <v>40</v>
      </c>
      <c r="Q31" s="904" t="str">
        <f t="shared" si="5"/>
        <v>--</v>
      </c>
      <c r="R31" s="188" t="str">
        <f t="shared" si="6"/>
        <v>--</v>
      </c>
      <c r="S31" s="375" t="str">
        <f t="shared" si="7"/>
        <v>--</v>
      </c>
      <c r="T31" s="376" t="str">
        <f t="shared" si="8"/>
        <v>--</v>
      </c>
      <c r="U31" s="223">
        <f t="shared" si="10"/>
      </c>
      <c r="V31" s="383">
        <f t="shared" si="9"/>
      </c>
      <c r="W31" s="6"/>
    </row>
    <row r="32" spans="2:23" s="5" customFormat="1" ht="16.5" customHeight="1">
      <c r="B32" s="50"/>
      <c r="C32" s="276"/>
      <c r="D32" s="276"/>
      <c r="E32" s="152"/>
      <c r="F32" s="378"/>
      <c r="G32" s="378"/>
      <c r="H32" s="379"/>
      <c r="I32" s="130">
        <f t="shared" si="0"/>
        <v>16.5546</v>
      </c>
      <c r="J32" s="380"/>
      <c r="K32" s="150"/>
      <c r="L32" s="381">
        <f t="shared" si="1"/>
      </c>
      <c r="M32" s="382">
        <f t="shared" si="2"/>
      </c>
      <c r="N32" s="222"/>
      <c r="O32" s="223">
        <f t="shared" si="3"/>
      </c>
      <c r="P32" s="727">
        <f t="shared" si="4"/>
        <v>40</v>
      </c>
      <c r="Q32" s="904" t="str">
        <f t="shared" si="5"/>
        <v>--</v>
      </c>
      <c r="R32" s="188" t="str">
        <f t="shared" si="6"/>
        <v>--</v>
      </c>
      <c r="S32" s="375" t="str">
        <f t="shared" si="7"/>
        <v>--</v>
      </c>
      <c r="T32" s="376" t="str">
        <f t="shared" si="8"/>
        <v>--</v>
      </c>
      <c r="U32" s="223">
        <f t="shared" si="10"/>
      </c>
      <c r="V32" s="383">
        <f t="shared" si="9"/>
      </c>
      <c r="W32" s="6"/>
    </row>
    <row r="33" spans="2:23" s="5" customFormat="1" ht="16.5" customHeight="1">
      <c r="B33" s="50"/>
      <c r="C33" s="276"/>
      <c r="D33" s="276"/>
      <c r="E33" s="276"/>
      <c r="F33" s="378"/>
      <c r="G33" s="378"/>
      <c r="H33" s="379"/>
      <c r="I33" s="130">
        <f t="shared" si="0"/>
        <v>16.5546</v>
      </c>
      <c r="J33" s="380"/>
      <c r="K33" s="150"/>
      <c r="L33" s="381">
        <f t="shared" si="1"/>
      </c>
      <c r="M33" s="382">
        <f t="shared" si="2"/>
      </c>
      <c r="N33" s="222"/>
      <c r="O33" s="223">
        <f t="shared" si="3"/>
      </c>
      <c r="P33" s="727">
        <f t="shared" si="4"/>
        <v>40</v>
      </c>
      <c r="Q33" s="904" t="str">
        <f t="shared" si="5"/>
        <v>--</v>
      </c>
      <c r="R33" s="188" t="str">
        <f t="shared" si="6"/>
        <v>--</v>
      </c>
      <c r="S33" s="375" t="str">
        <f t="shared" si="7"/>
        <v>--</v>
      </c>
      <c r="T33" s="376" t="str">
        <f t="shared" si="8"/>
        <v>--</v>
      </c>
      <c r="U33" s="223">
        <f t="shared" si="10"/>
      </c>
      <c r="V33" s="383">
        <f t="shared" si="9"/>
      </c>
      <c r="W33" s="6"/>
    </row>
    <row r="34" spans="2:23" s="5" customFormat="1" ht="16.5" customHeight="1">
      <c r="B34" s="50"/>
      <c r="C34" s="276"/>
      <c r="D34" s="276"/>
      <c r="E34" s="152"/>
      <c r="F34" s="378"/>
      <c r="G34" s="378"/>
      <c r="H34" s="379"/>
      <c r="I34" s="130">
        <f t="shared" si="0"/>
        <v>16.5546</v>
      </c>
      <c r="J34" s="380"/>
      <c r="K34" s="150"/>
      <c r="L34" s="381">
        <f t="shared" si="1"/>
      </c>
      <c r="M34" s="382">
        <f t="shared" si="2"/>
      </c>
      <c r="N34" s="222"/>
      <c r="O34" s="223">
        <f t="shared" si="3"/>
      </c>
      <c r="P34" s="727">
        <f t="shared" si="4"/>
        <v>40</v>
      </c>
      <c r="Q34" s="904" t="str">
        <f t="shared" si="5"/>
        <v>--</v>
      </c>
      <c r="R34" s="188" t="str">
        <f t="shared" si="6"/>
        <v>--</v>
      </c>
      <c r="S34" s="375" t="str">
        <f t="shared" si="7"/>
        <v>--</v>
      </c>
      <c r="T34" s="376" t="str">
        <f t="shared" si="8"/>
        <v>--</v>
      </c>
      <c r="U34" s="223">
        <f t="shared" si="10"/>
      </c>
      <c r="V34" s="383">
        <f t="shared" si="9"/>
      </c>
      <c r="W34" s="6"/>
    </row>
    <row r="35" spans="2:23" s="5" customFormat="1" ht="16.5" customHeight="1">
      <c r="B35" s="50"/>
      <c r="C35" s="276"/>
      <c r="D35" s="276"/>
      <c r="E35" s="276"/>
      <c r="F35" s="378"/>
      <c r="G35" s="378"/>
      <c r="H35" s="379"/>
      <c r="I35" s="130">
        <f t="shared" si="0"/>
        <v>16.5546</v>
      </c>
      <c r="J35" s="380"/>
      <c r="K35" s="150"/>
      <c r="L35" s="381">
        <f t="shared" si="1"/>
      </c>
      <c r="M35" s="382">
        <f t="shared" si="2"/>
      </c>
      <c r="N35" s="222"/>
      <c r="O35" s="223">
        <f t="shared" si="3"/>
      </c>
      <c r="P35" s="727">
        <f t="shared" si="4"/>
        <v>40</v>
      </c>
      <c r="Q35" s="904" t="str">
        <f t="shared" si="5"/>
        <v>--</v>
      </c>
      <c r="R35" s="188" t="str">
        <f t="shared" si="6"/>
        <v>--</v>
      </c>
      <c r="S35" s="375" t="str">
        <f t="shared" si="7"/>
        <v>--</v>
      </c>
      <c r="T35" s="376" t="str">
        <f t="shared" si="8"/>
        <v>--</v>
      </c>
      <c r="U35" s="223">
        <f t="shared" si="10"/>
      </c>
      <c r="V35" s="383">
        <f t="shared" si="9"/>
      </c>
      <c r="W35" s="6"/>
    </row>
    <row r="36" spans="2:23" s="5" customFormat="1" ht="16.5" customHeight="1">
      <c r="B36" s="50"/>
      <c r="C36" s="276"/>
      <c r="D36" s="276"/>
      <c r="E36" s="152"/>
      <c r="F36" s="378"/>
      <c r="G36" s="378"/>
      <c r="H36" s="379"/>
      <c r="I36" s="130">
        <f t="shared" si="0"/>
        <v>16.5546</v>
      </c>
      <c r="J36" s="380"/>
      <c r="K36" s="150"/>
      <c r="L36" s="381">
        <f t="shared" si="1"/>
      </c>
      <c r="M36" s="382">
        <f t="shared" si="2"/>
      </c>
      <c r="N36" s="222"/>
      <c r="O36" s="223">
        <f t="shared" si="3"/>
      </c>
      <c r="P36" s="727">
        <f t="shared" si="4"/>
        <v>40</v>
      </c>
      <c r="Q36" s="904" t="str">
        <f t="shared" si="5"/>
        <v>--</v>
      </c>
      <c r="R36" s="188" t="str">
        <f t="shared" si="6"/>
        <v>--</v>
      </c>
      <c r="S36" s="375" t="str">
        <f t="shared" si="7"/>
        <v>--</v>
      </c>
      <c r="T36" s="376" t="str">
        <f t="shared" si="8"/>
        <v>--</v>
      </c>
      <c r="U36" s="223">
        <f t="shared" si="10"/>
      </c>
      <c r="V36" s="383">
        <f t="shared" si="9"/>
      </c>
      <c r="W36" s="6"/>
    </row>
    <row r="37" spans="2:23" s="5" customFormat="1" ht="16.5" customHeight="1">
      <c r="B37" s="50"/>
      <c r="C37" s="276"/>
      <c r="D37" s="276"/>
      <c r="E37" s="276"/>
      <c r="F37" s="378"/>
      <c r="G37" s="378"/>
      <c r="H37" s="379"/>
      <c r="I37" s="130">
        <f t="shared" si="0"/>
        <v>16.5546</v>
      </c>
      <c r="J37" s="380"/>
      <c r="K37" s="150"/>
      <c r="L37" s="381">
        <f t="shared" si="1"/>
      </c>
      <c r="M37" s="382">
        <f t="shared" si="2"/>
      </c>
      <c r="N37" s="222"/>
      <c r="O37" s="223">
        <f t="shared" si="3"/>
      </c>
      <c r="P37" s="727">
        <f t="shared" si="4"/>
        <v>40</v>
      </c>
      <c r="Q37" s="904" t="str">
        <f t="shared" si="5"/>
        <v>--</v>
      </c>
      <c r="R37" s="188" t="str">
        <f t="shared" si="6"/>
        <v>--</v>
      </c>
      <c r="S37" s="375" t="str">
        <f t="shared" si="7"/>
        <v>--</v>
      </c>
      <c r="T37" s="376" t="str">
        <f t="shared" si="8"/>
        <v>--</v>
      </c>
      <c r="U37" s="223">
        <f t="shared" si="10"/>
      </c>
      <c r="V37" s="383">
        <f t="shared" si="9"/>
      </c>
      <c r="W37" s="6"/>
    </row>
    <row r="38" spans="2:23" s="5" customFormat="1" ht="16.5" customHeight="1">
      <c r="B38" s="50"/>
      <c r="C38" s="276"/>
      <c r="D38" s="276"/>
      <c r="E38" s="152"/>
      <c r="F38" s="378"/>
      <c r="G38" s="378"/>
      <c r="H38" s="379"/>
      <c r="I38" s="130">
        <f t="shared" si="0"/>
        <v>16.5546</v>
      </c>
      <c r="J38" s="380"/>
      <c r="K38" s="150"/>
      <c r="L38" s="381">
        <f t="shared" si="1"/>
      </c>
      <c r="M38" s="382">
        <f t="shared" si="2"/>
      </c>
      <c r="N38" s="222"/>
      <c r="O38" s="223">
        <f t="shared" si="3"/>
      </c>
      <c r="P38" s="727">
        <f t="shared" si="4"/>
        <v>40</v>
      </c>
      <c r="Q38" s="904" t="str">
        <f t="shared" si="5"/>
        <v>--</v>
      </c>
      <c r="R38" s="188" t="str">
        <f t="shared" si="6"/>
        <v>--</v>
      </c>
      <c r="S38" s="375" t="str">
        <f t="shared" si="7"/>
        <v>--</v>
      </c>
      <c r="T38" s="376" t="str">
        <f t="shared" si="8"/>
        <v>--</v>
      </c>
      <c r="U38" s="223">
        <f t="shared" si="10"/>
      </c>
      <c r="V38" s="383">
        <f t="shared" si="9"/>
      </c>
      <c r="W38" s="6"/>
    </row>
    <row r="39" spans="2:23" s="5" customFormat="1" ht="16.5" customHeight="1">
      <c r="B39" s="50"/>
      <c r="C39" s="276"/>
      <c r="D39" s="276"/>
      <c r="E39" s="276"/>
      <c r="F39" s="378"/>
      <c r="G39" s="378"/>
      <c r="H39" s="379"/>
      <c r="I39" s="130">
        <f t="shared" si="0"/>
        <v>16.5546</v>
      </c>
      <c r="J39" s="380"/>
      <c r="K39" s="150"/>
      <c r="L39" s="381">
        <f t="shared" si="1"/>
      </c>
      <c r="M39" s="382">
        <f t="shared" si="2"/>
      </c>
      <c r="N39" s="222"/>
      <c r="O39" s="223">
        <f t="shared" si="3"/>
      </c>
      <c r="P39" s="727">
        <f t="shared" si="4"/>
        <v>40</v>
      </c>
      <c r="Q39" s="904" t="str">
        <f t="shared" si="5"/>
        <v>--</v>
      </c>
      <c r="R39" s="188" t="str">
        <f t="shared" si="6"/>
        <v>--</v>
      </c>
      <c r="S39" s="375" t="str">
        <f t="shared" si="7"/>
        <v>--</v>
      </c>
      <c r="T39" s="376" t="str">
        <f t="shared" si="8"/>
        <v>--</v>
      </c>
      <c r="U39" s="223">
        <f t="shared" si="10"/>
      </c>
      <c r="V39" s="383">
        <f t="shared" si="9"/>
      </c>
      <c r="W39" s="6"/>
    </row>
    <row r="40" spans="2:23" s="5" customFormat="1" ht="16.5" customHeight="1">
      <c r="B40" s="50"/>
      <c r="C40" s="276"/>
      <c r="D40" s="276"/>
      <c r="E40" s="152"/>
      <c r="F40" s="378"/>
      <c r="G40" s="378"/>
      <c r="H40" s="379"/>
      <c r="I40" s="130">
        <f t="shared" si="0"/>
        <v>16.5546</v>
      </c>
      <c r="J40" s="380"/>
      <c r="K40" s="150"/>
      <c r="L40" s="381">
        <f t="shared" si="1"/>
      </c>
      <c r="M40" s="382">
        <f t="shared" si="2"/>
      </c>
      <c r="N40" s="222"/>
      <c r="O40" s="223">
        <f t="shared" si="3"/>
      </c>
      <c r="P40" s="727">
        <f t="shared" si="4"/>
        <v>40</v>
      </c>
      <c r="Q40" s="904" t="str">
        <f t="shared" si="5"/>
        <v>--</v>
      </c>
      <c r="R40" s="188" t="str">
        <f t="shared" si="6"/>
        <v>--</v>
      </c>
      <c r="S40" s="375" t="str">
        <f t="shared" si="7"/>
        <v>--</v>
      </c>
      <c r="T40" s="376" t="str">
        <f t="shared" si="8"/>
        <v>--</v>
      </c>
      <c r="U40" s="223">
        <f t="shared" si="10"/>
      </c>
      <c r="V40" s="383">
        <f t="shared" si="9"/>
      </c>
      <c r="W40" s="6"/>
    </row>
    <row r="41" spans="2:23" s="5" customFormat="1" ht="16.5" customHeight="1">
      <c r="B41" s="50"/>
      <c r="C41" s="276"/>
      <c r="D41" s="276"/>
      <c r="E41" s="276"/>
      <c r="F41" s="378"/>
      <c r="G41" s="378"/>
      <c r="H41" s="379"/>
      <c r="I41" s="130">
        <f t="shared" si="0"/>
        <v>16.5546</v>
      </c>
      <c r="J41" s="380"/>
      <c r="K41" s="150"/>
      <c r="L41" s="381">
        <f t="shared" si="1"/>
      </c>
      <c r="M41" s="382">
        <f t="shared" si="2"/>
      </c>
      <c r="N41" s="222"/>
      <c r="O41" s="223">
        <f t="shared" si="3"/>
      </c>
      <c r="P41" s="727">
        <f t="shared" si="4"/>
        <v>40</v>
      </c>
      <c r="Q41" s="904" t="str">
        <f t="shared" si="5"/>
        <v>--</v>
      </c>
      <c r="R41" s="188" t="str">
        <f t="shared" si="6"/>
        <v>--</v>
      </c>
      <c r="S41" s="375" t="str">
        <f t="shared" si="7"/>
        <v>--</v>
      </c>
      <c r="T41" s="376" t="str">
        <f t="shared" si="8"/>
        <v>--</v>
      </c>
      <c r="U41" s="223">
        <f t="shared" si="10"/>
      </c>
      <c r="V41" s="383">
        <f t="shared" si="9"/>
      </c>
      <c r="W41" s="6"/>
    </row>
    <row r="42" spans="2:23" s="5" customFormat="1" ht="16.5" customHeight="1">
      <c r="B42" s="50"/>
      <c r="C42" s="276"/>
      <c r="D42" s="276"/>
      <c r="E42" s="152"/>
      <c r="F42" s="378"/>
      <c r="G42" s="378"/>
      <c r="H42" s="379"/>
      <c r="I42" s="130">
        <f t="shared" si="0"/>
        <v>16.5546</v>
      </c>
      <c r="J42" s="380"/>
      <c r="K42" s="150"/>
      <c r="L42" s="381">
        <f t="shared" si="1"/>
      </c>
      <c r="M42" s="382">
        <f t="shared" si="2"/>
      </c>
      <c r="N42" s="222"/>
      <c r="O42" s="223">
        <f t="shared" si="3"/>
      </c>
      <c r="P42" s="727">
        <f t="shared" si="4"/>
        <v>40</v>
      </c>
      <c r="Q42" s="904" t="str">
        <f t="shared" si="5"/>
        <v>--</v>
      </c>
      <c r="R42" s="188" t="str">
        <f t="shared" si="6"/>
        <v>--</v>
      </c>
      <c r="S42" s="375" t="str">
        <f t="shared" si="7"/>
        <v>--</v>
      </c>
      <c r="T42" s="376" t="str">
        <f t="shared" si="8"/>
        <v>--</v>
      </c>
      <c r="U42" s="223">
        <f t="shared" si="10"/>
      </c>
      <c r="V42" s="383">
        <f t="shared" si="9"/>
      </c>
      <c r="W42" s="6"/>
    </row>
    <row r="43" spans="2:23" s="5" customFormat="1" ht="16.5" customHeight="1">
      <c r="B43" s="50"/>
      <c r="C43" s="276"/>
      <c r="D43" s="276"/>
      <c r="E43" s="276"/>
      <c r="F43" s="378"/>
      <c r="G43" s="378"/>
      <c r="H43" s="379"/>
      <c r="I43" s="130">
        <f t="shared" si="0"/>
        <v>16.5546</v>
      </c>
      <c r="J43" s="380"/>
      <c r="K43" s="150"/>
      <c r="L43" s="381">
        <f t="shared" si="1"/>
      </c>
      <c r="M43" s="382">
        <f t="shared" si="2"/>
      </c>
      <c r="N43" s="222"/>
      <c r="O43" s="223">
        <f t="shared" si="3"/>
      </c>
      <c r="P43" s="727">
        <f t="shared" si="4"/>
        <v>40</v>
      </c>
      <c r="Q43" s="904" t="str">
        <f t="shared" si="5"/>
        <v>--</v>
      </c>
      <c r="R43" s="188" t="str">
        <f t="shared" si="6"/>
        <v>--</v>
      </c>
      <c r="S43" s="375" t="str">
        <f t="shared" si="7"/>
        <v>--</v>
      </c>
      <c r="T43" s="376" t="str">
        <f t="shared" si="8"/>
        <v>--</v>
      </c>
      <c r="U43" s="223">
        <f t="shared" si="10"/>
      </c>
      <c r="V43" s="383">
        <f t="shared" si="9"/>
      </c>
      <c r="W43" s="6"/>
    </row>
    <row r="44" spans="2:23" s="5" customFormat="1" ht="16.5" customHeight="1" thickBot="1">
      <c r="B44" s="50"/>
      <c r="C44" s="230"/>
      <c r="D44" s="230"/>
      <c r="E44" s="230"/>
      <c r="F44" s="230"/>
      <c r="G44" s="230"/>
      <c r="H44" s="230"/>
      <c r="I44" s="131"/>
      <c r="J44" s="384"/>
      <c r="K44" s="384"/>
      <c r="L44" s="385"/>
      <c r="M44" s="385"/>
      <c r="N44" s="384"/>
      <c r="O44" s="151"/>
      <c r="P44" s="386"/>
      <c r="Q44" s="387"/>
      <c r="R44" s="388"/>
      <c r="S44" s="389"/>
      <c r="T44" s="157"/>
      <c r="U44" s="151"/>
      <c r="V44" s="390"/>
      <c r="W44" s="6"/>
    </row>
    <row r="45" spans="2:23" s="5" customFormat="1" ht="16.5" customHeight="1" thickBot="1" thickTop="1">
      <c r="B45" s="50"/>
      <c r="C45" s="127" t="s">
        <v>25</v>
      </c>
      <c r="D45" s="73" t="s">
        <v>257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91">
        <f>SUM(Q22:Q44)</f>
        <v>350.95752</v>
      </c>
      <c r="R45" s="392">
        <f>SUM(R22:R44)</f>
        <v>0</v>
      </c>
      <c r="S45" s="393">
        <f>SUM(S22:S44)</f>
        <v>0</v>
      </c>
      <c r="T45" s="394">
        <f>SUM(T22:T44)</f>
        <v>0</v>
      </c>
      <c r="U45" s="395"/>
      <c r="V45" s="100">
        <f>ROUND(SUM(V22:V44),2)</f>
        <v>350.96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57"/>
  <sheetViews>
    <sheetView zoomScale="70" zoomScaleNormal="70" workbookViewId="0" topLeftCell="A10">
      <selection activeCell="H17" sqref="H17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4" width="9.7109375" style="0" customWidth="1"/>
    <col min="15" max="15" width="7.4218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7" t="str">
        <f>+'TOT-0110'!B2</f>
        <v>ANEXO II al Memorandum D.T.E.E. N°    679       / 2011           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73</v>
      </c>
      <c r="G8" s="398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9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74</v>
      </c>
      <c r="H10" s="400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75</v>
      </c>
      <c r="H12" s="400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'TOT-0110'!B14</f>
        <v>Desde el 01 al 31 de enero de 2010</v>
      </c>
      <c r="C14" s="40"/>
      <c r="D14" s="40"/>
      <c r="E14" s="401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1"/>
      <c r="S14" s="401"/>
      <c r="T14" s="401"/>
      <c r="U14" s="401"/>
      <c r="V14" s="401"/>
      <c r="W14" s="401"/>
      <c r="X14" s="401"/>
      <c r="Y14" s="401"/>
      <c r="Z14" s="401"/>
      <c r="AA14" s="403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65</v>
      </c>
      <c r="G16" s="404"/>
      <c r="H16" s="254">
        <v>0.418</v>
      </c>
      <c r="I16" s="352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5" t="s">
        <v>26</v>
      </c>
      <c r="G17" s="406"/>
      <c r="H17" s="825">
        <v>20</v>
      </c>
      <c r="I17" s="352"/>
      <c r="J17"/>
      <c r="K17" s="201"/>
      <c r="L17" s="202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919">
        <v>23</v>
      </c>
      <c r="X18" s="919">
        <v>24</v>
      </c>
      <c r="Y18" s="919">
        <v>25</v>
      </c>
      <c r="Z18" s="919">
        <v>26</v>
      </c>
      <c r="AA18" s="6"/>
    </row>
    <row r="19" spans="2:27" s="5" customFormat="1" ht="33.75" customHeight="1" thickBot="1" thickTop="1">
      <c r="B19" s="50"/>
      <c r="C19" s="123" t="s">
        <v>13</v>
      </c>
      <c r="D19" s="84" t="s">
        <v>171</v>
      </c>
      <c r="E19" s="84" t="s">
        <v>172</v>
      </c>
      <c r="F19" s="86" t="s">
        <v>27</v>
      </c>
      <c r="G19" s="85" t="s">
        <v>28</v>
      </c>
      <c r="H19" s="408" t="s">
        <v>170</v>
      </c>
      <c r="I19" s="129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46</v>
      </c>
      <c r="P19" s="85" t="s">
        <v>32</v>
      </c>
      <c r="Q19" s="129" t="s">
        <v>37</v>
      </c>
      <c r="R19" s="409" t="s">
        <v>59</v>
      </c>
      <c r="S19" s="410" t="s">
        <v>165</v>
      </c>
      <c r="T19" s="411"/>
      <c r="U19" s="258" t="s">
        <v>166</v>
      </c>
      <c r="V19" s="259"/>
      <c r="W19" s="412" t="s">
        <v>22</v>
      </c>
      <c r="X19" s="257" t="s">
        <v>21</v>
      </c>
      <c r="Y19" s="132" t="s">
        <v>63</v>
      </c>
      <c r="Z19" s="413" t="s">
        <v>24</v>
      </c>
      <c r="AA19" s="6"/>
    </row>
    <row r="20" spans="2:27" s="5" customFormat="1" ht="16.5" customHeight="1" thickTop="1">
      <c r="B20" s="50"/>
      <c r="C20" s="262"/>
      <c r="D20" s="262"/>
      <c r="E20" s="262"/>
      <c r="F20" s="415"/>
      <c r="G20" s="415"/>
      <c r="H20" s="415"/>
      <c r="I20" s="333"/>
      <c r="J20" s="416"/>
      <c r="K20" s="416"/>
      <c r="L20" s="414"/>
      <c r="M20" s="414"/>
      <c r="N20" s="415"/>
      <c r="O20" s="180"/>
      <c r="P20" s="414"/>
      <c r="Q20" s="417"/>
      <c r="R20" s="418"/>
      <c r="S20" s="419"/>
      <c r="T20" s="420"/>
      <c r="U20" s="271"/>
      <c r="V20" s="272"/>
      <c r="W20" s="421"/>
      <c r="X20" s="421"/>
      <c r="Y20" s="422"/>
      <c r="Z20" s="423"/>
      <c r="AA20" s="6"/>
    </row>
    <row r="21" spans="2:27" s="5" customFormat="1" ht="16.5" customHeight="1">
      <c r="B21" s="50"/>
      <c r="C21" s="276"/>
      <c r="D21" s="276"/>
      <c r="E21" s="276"/>
      <c r="F21" s="424"/>
      <c r="G21" s="425"/>
      <c r="H21" s="426"/>
      <c r="I21" s="427"/>
      <c r="J21" s="428"/>
      <c r="K21" s="429"/>
      <c r="L21" s="430"/>
      <c r="M21" s="431"/>
      <c r="N21" s="432"/>
      <c r="O21" s="181"/>
      <c r="P21" s="433"/>
      <c r="Q21" s="434"/>
      <c r="R21" s="435"/>
      <c r="S21" s="436"/>
      <c r="T21" s="437"/>
      <c r="U21" s="285"/>
      <c r="V21" s="286"/>
      <c r="W21" s="438"/>
      <c r="X21" s="438"/>
      <c r="Y21" s="433"/>
      <c r="Z21" s="439"/>
      <c r="AA21" s="6"/>
    </row>
    <row r="22" spans="2:27" s="5" customFormat="1" ht="16.5" customHeight="1">
      <c r="B22" s="50"/>
      <c r="C22" s="276">
        <v>80</v>
      </c>
      <c r="D22" s="276">
        <v>216825</v>
      </c>
      <c r="E22" s="152">
        <v>591</v>
      </c>
      <c r="F22" s="952" t="s">
        <v>204</v>
      </c>
      <c r="G22" s="953" t="s">
        <v>250</v>
      </c>
      <c r="H22" s="146">
        <v>245</v>
      </c>
      <c r="I22" s="293">
        <f aca="true" t="shared" si="0" ref="I22:I41">H22*$H$16</f>
        <v>102.41</v>
      </c>
      <c r="J22" s="380">
        <v>40183.94930555556</v>
      </c>
      <c r="K22" s="185">
        <v>40183.97152777778</v>
      </c>
      <c r="L22" s="381">
        <f aca="true" t="shared" si="1" ref="L22:L41">IF(F22="","",(K22-J22)*24)</f>
        <v>0.5333333333255723</v>
      </c>
      <c r="M22" s="382">
        <f aca="true" t="shared" si="2" ref="M22:M41">IF(F22="","",ROUND((K22-J22)*24*60,0))</f>
        <v>32</v>
      </c>
      <c r="N22" s="222" t="s">
        <v>186</v>
      </c>
      <c r="O22" s="518"/>
      <c r="P22" s="223" t="str">
        <f aca="true" t="shared" si="3" ref="P22:P41">IF(F22="","",IF(OR(N22="P",N22="RP"),"--","NO"))</f>
        <v>NO</v>
      </c>
      <c r="Q22" s="905">
        <f aca="true" t="shared" si="4" ref="Q22:Q41">IF(OR(N22="P",N22="RP"),$H$17/10,$H$17)</f>
        <v>20</v>
      </c>
      <c r="R22" s="906" t="str">
        <f aca="true" t="shared" si="5" ref="R22:R41">IF(N22="P",I22*Q22*ROUND(M22/60,2),"--")</f>
        <v>--</v>
      </c>
      <c r="S22" s="436">
        <f aca="true" t="shared" si="6" ref="S22:S41">IF(AND(N22="F",P22="NO"),I22*Q22,"--")</f>
        <v>2048.2</v>
      </c>
      <c r="T22" s="437">
        <f aca="true" t="shared" si="7" ref="T22:T41">IF(N22="F",I22*Q22*ROUND(M22/60,2),"--")</f>
        <v>1085.546</v>
      </c>
      <c r="U22" s="300" t="str">
        <f aca="true" t="shared" si="8" ref="U22:U41">IF(AND(N22="R",P22="NO"),I22*Q22*O22/100,"--")</f>
        <v>--</v>
      </c>
      <c r="V22" s="301" t="str">
        <f aca="true" t="shared" si="9" ref="V22:V41">IF(N22="R",I22*Q22*O22/100*ROUND(M22/60,2),"--")</f>
        <v>--</v>
      </c>
      <c r="W22" s="438" t="str">
        <f aca="true" t="shared" si="10" ref="W22:W41">IF(N22="RF",I22*Q22*ROUND(M22/60,2),"--")</f>
        <v>--</v>
      </c>
      <c r="X22" s="902" t="str">
        <f aca="true" t="shared" si="11" ref="X22:X41">IF(N22="RP",I22*Q22*O22/100*ROUND(M22/60,2),"--")</f>
        <v>--</v>
      </c>
      <c r="Y22" s="223" t="s">
        <v>148</v>
      </c>
      <c r="Z22" s="383">
        <f aca="true" t="shared" si="12" ref="Z22:Z41">IF(F22="","",SUM(R22:X22)*IF(Y22="SI",1,2)*IF(AND(O22&lt;&gt;"--",N22="RF"),O22/100,1))</f>
        <v>3133.746</v>
      </c>
      <c r="AA22" s="6"/>
    </row>
    <row r="23" spans="2:27" s="5" customFormat="1" ht="16.5" customHeight="1">
      <c r="B23" s="50"/>
      <c r="C23" s="276">
        <v>81</v>
      </c>
      <c r="D23" s="276">
        <v>217516</v>
      </c>
      <c r="E23" s="276">
        <v>588</v>
      </c>
      <c r="F23" s="952" t="s">
        <v>204</v>
      </c>
      <c r="G23" s="953" t="s">
        <v>251</v>
      </c>
      <c r="H23" s="146">
        <v>245</v>
      </c>
      <c r="I23" s="293">
        <f t="shared" si="0"/>
        <v>102.41</v>
      </c>
      <c r="J23" s="380">
        <v>40197.25069444445</v>
      </c>
      <c r="K23" s="185">
        <v>40197.674305555556</v>
      </c>
      <c r="L23" s="381">
        <f t="shared" si="1"/>
        <v>10.166666666627862</v>
      </c>
      <c r="M23" s="382">
        <f t="shared" si="2"/>
        <v>610</v>
      </c>
      <c r="N23" s="222" t="s">
        <v>191</v>
      </c>
      <c r="O23" s="518"/>
      <c r="P23" s="223" t="str">
        <f t="shared" si="3"/>
        <v>--</v>
      </c>
      <c r="Q23" s="905">
        <f t="shared" si="4"/>
        <v>2</v>
      </c>
      <c r="R23" s="906">
        <f t="shared" si="5"/>
        <v>2083.0194</v>
      </c>
      <c r="S23" s="436" t="str">
        <f t="shared" si="6"/>
        <v>--</v>
      </c>
      <c r="T23" s="437" t="str">
        <f t="shared" si="7"/>
        <v>--</v>
      </c>
      <c r="U23" s="300" t="str">
        <f t="shared" si="8"/>
        <v>--</v>
      </c>
      <c r="V23" s="301" t="str">
        <f t="shared" si="9"/>
        <v>--</v>
      </c>
      <c r="W23" s="438" t="str">
        <f t="shared" si="10"/>
        <v>--</v>
      </c>
      <c r="X23" s="902" t="str">
        <f t="shared" si="11"/>
        <v>--</v>
      </c>
      <c r="Y23" s="223" t="s">
        <v>148</v>
      </c>
      <c r="Z23" s="383">
        <f t="shared" si="12"/>
        <v>2083.0194</v>
      </c>
      <c r="AA23" s="443"/>
    </row>
    <row r="24" spans="2:27" s="5" customFormat="1" ht="16.5" customHeight="1">
      <c r="B24" s="50"/>
      <c r="C24" s="276">
        <v>82</v>
      </c>
      <c r="D24" s="276">
        <v>217517</v>
      </c>
      <c r="E24" s="152">
        <v>587</v>
      </c>
      <c r="F24" s="952" t="s">
        <v>204</v>
      </c>
      <c r="G24" s="953" t="s">
        <v>252</v>
      </c>
      <c r="H24" s="146">
        <v>245</v>
      </c>
      <c r="I24" s="293">
        <f t="shared" si="0"/>
        <v>102.41</v>
      </c>
      <c r="J24" s="380">
        <v>40198.25069444445</v>
      </c>
      <c r="K24" s="185">
        <v>40198.57986111111</v>
      </c>
      <c r="L24" s="381">
        <f t="shared" si="1"/>
        <v>7.899999999906868</v>
      </c>
      <c r="M24" s="382">
        <f t="shared" si="2"/>
        <v>474</v>
      </c>
      <c r="N24" s="222" t="s">
        <v>191</v>
      </c>
      <c r="O24" s="518"/>
      <c r="P24" s="223" t="str">
        <f t="shared" si="3"/>
        <v>--</v>
      </c>
      <c r="Q24" s="905">
        <f t="shared" si="4"/>
        <v>2</v>
      </c>
      <c r="R24" s="906">
        <f t="shared" si="5"/>
        <v>1618.078</v>
      </c>
      <c r="S24" s="436" t="str">
        <f t="shared" si="6"/>
        <v>--</v>
      </c>
      <c r="T24" s="437" t="str">
        <f t="shared" si="7"/>
        <v>--</v>
      </c>
      <c r="U24" s="300" t="str">
        <f t="shared" si="8"/>
        <v>--</v>
      </c>
      <c r="V24" s="301" t="str">
        <f t="shared" si="9"/>
        <v>--</v>
      </c>
      <c r="W24" s="438" t="str">
        <f t="shared" si="10"/>
        <v>--</v>
      </c>
      <c r="X24" s="902" t="str">
        <f t="shared" si="11"/>
        <v>--</v>
      </c>
      <c r="Y24" s="223" t="s">
        <v>148</v>
      </c>
      <c r="Z24" s="383">
        <f t="shared" si="12"/>
        <v>1618.078</v>
      </c>
      <c r="AA24" s="443"/>
    </row>
    <row r="25" spans="2:27" s="5" customFormat="1" ht="16.5" customHeight="1">
      <c r="B25" s="50"/>
      <c r="C25" s="276">
        <v>83</v>
      </c>
      <c r="D25" s="276">
        <v>217523</v>
      </c>
      <c r="E25" s="276">
        <v>592</v>
      </c>
      <c r="F25" s="952" t="s">
        <v>204</v>
      </c>
      <c r="G25" s="953" t="s">
        <v>253</v>
      </c>
      <c r="H25" s="146">
        <v>245</v>
      </c>
      <c r="I25" s="293">
        <f t="shared" si="0"/>
        <v>102.41</v>
      </c>
      <c r="J25" s="380">
        <v>40199.16875</v>
      </c>
      <c r="K25" s="185">
        <v>40199.51666666667</v>
      </c>
      <c r="L25" s="381">
        <f t="shared" si="1"/>
        <v>8.35000000015134</v>
      </c>
      <c r="M25" s="382">
        <f t="shared" si="2"/>
        <v>501</v>
      </c>
      <c r="N25" s="222" t="s">
        <v>191</v>
      </c>
      <c r="O25" s="518"/>
      <c r="P25" s="223" t="str">
        <f t="shared" si="3"/>
        <v>--</v>
      </c>
      <c r="Q25" s="905">
        <f t="shared" si="4"/>
        <v>2</v>
      </c>
      <c r="R25" s="906">
        <f t="shared" si="5"/>
        <v>1710.2469999999998</v>
      </c>
      <c r="S25" s="436" t="str">
        <f t="shared" si="6"/>
        <v>--</v>
      </c>
      <c r="T25" s="437" t="str">
        <f t="shared" si="7"/>
        <v>--</v>
      </c>
      <c r="U25" s="300" t="str">
        <f t="shared" si="8"/>
        <v>--</v>
      </c>
      <c r="V25" s="301" t="str">
        <f t="shared" si="9"/>
        <v>--</v>
      </c>
      <c r="W25" s="438" t="str">
        <f t="shared" si="10"/>
        <v>--</v>
      </c>
      <c r="X25" s="902" t="str">
        <f t="shared" si="11"/>
        <v>--</v>
      </c>
      <c r="Y25" s="223" t="s">
        <v>148</v>
      </c>
      <c r="Z25" s="383">
        <f t="shared" si="12"/>
        <v>1710.2469999999998</v>
      </c>
      <c r="AA25" s="443"/>
    </row>
    <row r="26" spans="2:27" s="5" customFormat="1" ht="16.5" customHeight="1">
      <c r="B26" s="50"/>
      <c r="C26" s="276">
        <v>84</v>
      </c>
      <c r="D26" s="276">
        <v>217526</v>
      </c>
      <c r="E26" s="152">
        <v>587</v>
      </c>
      <c r="F26" s="952" t="s">
        <v>204</v>
      </c>
      <c r="G26" s="953" t="s">
        <v>252</v>
      </c>
      <c r="H26" s="146">
        <v>245</v>
      </c>
      <c r="I26" s="293">
        <f t="shared" si="0"/>
        <v>102.41</v>
      </c>
      <c r="J26" s="380">
        <v>40200.165972222225</v>
      </c>
      <c r="K26" s="185">
        <v>40200.410416666666</v>
      </c>
      <c r="L26" s="381">
        <f t="shared" si="1"/>
        <v>5.866666666581295</v>
      </c>
      <c r="M26" s="382">
        <f t="shared" si="2"/>
        <v>352</v>
      </c>
      <c r="N26" s="222" t="s">
        <v>191</v>
      </c>
      <c r="O26" s="518"/>
      <c r="P26" s="223" t="str">
        <f t="shared" si="3"/>
        <v>--</v>
      </c>
      <c r="Q26" s="905">
        <f t="shared" si="4"/>
        <v>2</v>
      </c>
      <c r="R26" s="906">
        <f t="shared" si="5"/>
        <v>1202.2934</v>
      </c>
      <c r="S26" s="436" t="str">
        <f t="shared" si="6"/>
        <v>--</v>
      </c>
      <c r="T26" s="437" t="str">
        <f t="shared" si="7"/>
        <v>--</v>
      </c>
      <c r="U26" s="300" t="str">
        <f t="shared" si="8"/>
        <v>--</v>
      </c>
      <c r="V26" s="301" t="str">
        <f t="shared" si="9"/>
        <v>--</v>
      </c>
      <c r="W26" s="438" t="str">
        <f t="shared" si="10"/>
        <v>--</v>
      </c>
      <c r="X26" s="902" t="str">
        <f t="shared" si="11"/>
        <v>--</v>
      </c>
      <c r="Y26" s="223" t="s">
        <v>148</v>
      </c>
      <c r="Z26" s="383">
        <f t="shared" si="12"/>
        <v>1202.2934</v>
      </c>
      <c r="AA26" s="443"/>
    </row>
    <row r="27" spans="2:27" s="5" customFormat="1" ht="16.5" customHeight="1">
      <c r="B27" s="50"/>
      <c r="C27" s="276">
        <v>85</v>
      </c>
      <c r="D27" s="276">
        <v>217530</v>
      </c>
      <c r="E27" s="276">
        <v>669</v>
      </c>
      <c r="F27" s="952" t="s">
        <v>254</v>
      </c>
      <c r="G27" s="953" t="s">
        <v>255</v>
      </c>
      <c r="H27" s="146">
        <v>70</v>
      </c>
      <c r="I27" s="293">
        <f t="shared" si="0"/>
        <v>29.259999999999998</v>
      </c>
      <c r="J27" s="380">
        <v>40201.32986111111</v>
      </c>
      <c r="K27" s="185">
        <v>40201.552777777775</v>
      </c>
      <c r="L27" s="381">
        <f t="shared" si="1"/>
        <v>5.349999999976717</v>
      </c>
      <c r="M27" s="382">
        <f t="shared" si="2"/>
        <v>321</v>
      </c>
      <c r="N27" s="222" t="s">
        <v>191</v>
      </c>
      <c r="O27" s="518"/>
      <c r="P27" s="223" t="str">
        <f t="shared" si="3"/>
        <v>--</v>
      </c>
      <c r="Q27" s="905">
        <f t="shared" si="4"/>
        <v>2</v>
      </c>
      <c r="R27" s="906">
        <f t="shared" si="5"/>
        <v>313.08199999999994</v>
      </c>
      <c r="S27" s="436" t="str">
        <f t="shared" si="6"/>
        <v>--</v>
      </c>
      <c r="T27" s="437" t="str">
        <f t="shared" si="7"/>
        <v>--</v>
      </c>
      <c r="U27" s="300" t="str">
        <f t="shared" si="8"/>
        <v>--</v>
      </c>
      <c r="V27" s="301" t="str">
        <f t="shared" si="9"/>
        <v>--</v>
      </c>
      <c r="W27" s="438" t="str">
        <f t="shared" si="10"/>
        <v>--</v>
      </c>
      <c r="X27" s="902" t="str">
        <f t="shared" si="11"/>
        <v>--</v>
      </c>
      <c r="Y27" s="223" t="s">
        <v>148</v>
      </c>
      <c r="Z27" s="383">
        <f t="shared" si="12"/>
        <v>313.08199999999994</v>
      </c>
      <c r="AA27" s="6"/>
    </row>
    <row r="28" spans="2:27" s="5" customFormat="1" ht="16.5" customHeight="1">
      <c r="B28" s="50"/>
      <c r="C28" s="276"/>
      <c r="D28" s="276"/>
      <c r="E28" s="10"/>
      <c r="F28" s="440"/>
      <c r="G28" s="378"/>
      <c r="H28" s="441"/>
      <c r="I28" s="293"/>
      <c r="J28" s="380"/>
      <c r="K28" s="185"/>
      <c r="L28" s="381"/>
      <c r="M28" s="382"/>
      <c r="N28" s="222"/>
      <c r="O28" s="518"/>
      <c r="P28" s="223"/>
      <c r="Q28" s="905"/>
      <c r="R28" s="906"/>
      <c r="S28" s="436"/>
      <c r="T28" s="437"/>
      <c r="U28" s="300"/>
      <c r="V28" s="301"/>
      <c r="W28" s="438"/>
      <c r="X28" s="902"/>
      <c r="Y28" s="223"/>
      <c r="Z28" s="383"/>
      <c r="AA28" s="6"/>
    </row>
    <row r="29" spans="2:27" s="5" customFormat="1" ht="16.5" customHeight="1">
      <c r="B29" s="50"/>
      <c r="C29" s="276"/>
      <c r="D29" s="276"/>
      <c r="E29" s="10"/>
      <c r="F29" s="440"/>
      <c r="G29" s="378"/>
      <c r="H29" s="441"/>
      <c r="I29" s="293"/>
      <c r="J29" s="380"/>
      <c r="K29" s="185"/>
      <c r="L29" s="381"/>
      <c r="M29" s="382"/>
      <c r="N29" s="222"/>
      <c r="O29" s="518"/>
      <c r="P29" s="223"/>
      <c r="Q29" s="905"/>
      <c r="R29" s="906"/>
      <c r="S29" s="436"/>
      <c r="T29" s="437"/>
      <c r="U29" s="300"/>
      <c r="V29" s="301"/>
      <c r="W29" s="438"/>
      <c r="X29" s="902"/>
      <c r="Y29" s="223"/>
      <c r="Z29" s="383"/>
      <c r="AA29" s="6"/>
    </row>
    <row r="30" spans="2:27" s="5" customFormat="1" ht="16.5" customHeight="1">
      <c r="B30" s="50"/>
      <c r="C30" s="276"/>
      <c r="D30" s="276"/>
      <c r="E30" s="10"/>
      <c r="F30" s="440"/>
      <c r="G30" s="378"/>
      <c r="H30" s="441"/>
      <c r="I30" s="293"/>
      <c r="J30" s="380"/>
      <c r="K30" s="185"/>
      <c r="L30" s="381"/>
      <c r="M30" s="382"/>
      <c r="N30" s="222"/>
      <c r="O30" s="518"/>
      <c r="P30" s="223"/>
      <c r="Q30" s="905"/>
      <c r="R30" s="906"/>
      <c r="S30" s="436"/>
      <c r="T30" s="437"/>
      <c r="U30" s="300"/>
      <c r="V30" s="301"/>
      <c r="W30" s="438"/>
      <c r="X30" s="902"/>
      <c r="Y30" s="223"/>
      <c r="Z30" s="383"/>
      <c r="AA30" s="6"/>
    </row>
    <row r="31" spans="2:27" s="5" customFormat="1" ht="16.5" customHeight="1">
      <c r="B31" s="50"/>
      <c r="C31" s="276"/>
      <c r="D31" s="276"/>
      <c r="E31" s="10"/>
      <c r="F31" s="440"/>
      <c r="G31" s="378"/>
      <c r="H31" s="441"/>
      <c r="I31" s="293"/>
      <c r="J31" s="380"/>
      <c r="K31" s="185"/>
      <c r="L31" s="381"/>
      <c r="M31" s="382"/>
      <c r="N31" s="222"/>
      <c r="O31" s="518"/>
      <c r="P31" s="223"/>
      <c r="Q31" s="905"/>
      <c r="R31" s="906"/>
      <c r="S31" s="436"/>
      <c r="T31" s="437"/>
      <c r="U31" s="300"/>
      <c r="V31" s="301"/>
      <c r="W31" s="438"/>
      <c r="X31" s="902"/>
      <c r="Y31" s="223"/>
      <c r="Z31" s="383"/>
      <c r="AA31" s="6"/>
    </row>
    <row r="32" spans="2:27" s="5" customFormat="1" ht="16.5" customHeight="1">
      <c r="B32" s="50"/>
      <c r="C32" s="276"/>
      <c r="D32" s="276"/>
      <c r="E32" s="152"/>
      <c r="F32" s="440"/>
      <c r="G32" s="378"/>
      <c r="H32" s="441"/>
      <c r="I32" s="293">
        <f t="shared" si="0"/>
        <v>0</v>
      </c>
      <c r="J32" s="380"/>
      <c r="K32" s="185"/>
      <c r="L32" s="381">
        <f t="shared" si="1"/>
      </c>
      <c r="M32" s="382">
        <f t="shared" si="2"/>
      </c>
      <c r="N32" s="222"/>
      <c r="O32" s="518">
        <f aca="true" t="shared" si="13" ref="O32:O41">IF(F32="","","--")</f>
      </c>
      <c r="P32" s="223">
        <f t="shared" si="3"/>
      </c>
      <c r="Q32" s="905">
        <f t="shared" si="4"/>
        <v>20</v>
      </c>
      <c r="R32" s="906" t="str">
        <f t="shared" si="5"/>
        <v>--</v>
      </c>
      <c r="S32" s="436" t="str">
        <f t="shared" si="6"/>
        <v>--</v>
      </c>
      <c r="T32" s="437" t="str">
        <f t="shared" si="7"/>
        <v>--</v>
      </c>
      <c r="U32" s="300" t="str">
        <f t="shared" si="8"/>
        <v>--</v>
      </c>
      <c r="V32" s="301" t="str">
        <f t="shared" si="9"/>
        <v>--</v>
      </c>
      <c r="W32" s="438" t="str">
        <f t="shared" si="10"/>
        <v>--</v>
      </c>
      <c r="X32" s="902" t="str">
        <f t="shared" si="11"/>
        <v>--</v>
      </c>
      <c r="Y32" s="223">
        <f aca="true" t="shared" si="14" ref="Y32:Y41">IF(F32="","","SI")</f>
      </c>
      <c r="Z32" s="383">
        <f t="shared" si="12"/>
      </c>
      <c r="AA32" s="6"/>
    </row>
    <row r="33" spans="2:27" s="5" customFormat="1" ht="16.5" customHeight="1">
      <c r="B33" s="50"/>
      <c r="C33" s="276"/>
      <c r="D33" s="276"/>
      <c r="E33" s="276"/>
      <c r="F33" s="440"/>
      <c r="G33" s="378"/>
      <c r="H33" s="441"/>
      <c r="I33" s="293">
        <f t="shared" si="0"/>
        <v>0</v>
      </c>
      <c r="J33" s="380"/>
      <c r="K33" s="185"/>
      <c r="L33" s="381">
        <f t="shared" si="1"/>
      </c>
      <c r="M33" s="382">
        <f t="shared" si="2"/>
      </c>
      <c r="N33" s="222"/>
      <c r="O33" s="518">
        <f t="shared" si="13"/>
      </c>
      <c r="P33" s="223">
        <f t="shared" si="3"/>
      </c>
      <c r="Q33" s="905">
        <f t="shared" si="4"/>
        <v>20</v>
      </c>
      <c r="R33" s="906" t="str">
        <f t="shared" si="5"/>
        <v>--</v>
      </c>
      <c r="S33" s="436" t="str">
        <f t="shared" si="6"/>
        <v>--</v>
      </c>
      <c r="T33" s="437" t="str">
        <f t="shared" si="7"/>
        <v>--</v>
      </c>
      <c r="U33" s="300" t="str">
        <f t="shared" si="8"/>
        <v>--</v>
      </c>
      <c r="V33" s="301" t="str">
        <f t="shared" si="9"/>
        <v>--</v>
      </c>
      <c r="W33" s="438" t="str">
        <f t="shared" si="10"/>
        <v>--</v>
      </c>
      <c r="X33" s="902" t="str">
        <f t="shared" si="11"/>
        <v>--</v>
      </c>
      <c r="Y33" s="223">
        <f t="shared" si="14"/>
      </c>
      <c r="Z33" s="383">
        <f t="shared" si="12"/>
      </c>
      <c r="AA33" s="6"/>
    </row>
    <row r="34" spans="2:27" s="5" customFormat="1" ht="16.5" customHeight="1">
      <c r="B34" s="50"/>
      <c r="C34" s="276"/>
      <c r="D34" s="276"/>
      <c r="E34" s="152"/>
      <c r="F34" s="440"/>
      <c r="G34" s="378"/>
      <c r="H34" s="441"/>
      <c r="I34" s="293">
        <f t="shared" si="0"/>
        <v>0</v>
      </c>
      <c r="J34" s="380"/>
      <c r="K34" s="185"/>
      <c r="L34" s="381">
        <f t="shared" si="1"/>
      </c>
      <c r="M34" s="382">
        <f t="shared" si="2"/>
      </c>
      <c r="N34" s="222"/>
      <c r="O34" s="518">
        <f t="shared" si="13"/>
      </c>
      <c r="P34" s="223">
        <f t="shared" si="3"/>
      </c>
      <c r="Q34" s="905">
        <f t="shared" si="4"/>
        <v>20</v>
      </c>
      <c r="R34" s="906" t="str">
        <f t="shared" si="5"/>
        <v>--</v>
      </c>
      <c r="S34" s="436" t="str">
        <f t="shared" si="6"/>
        <v>--</v>
      </c>
      <c r="T34" s="437" t="str">
        <f t="shared" si="7"/>
        <v>--</v>
      </c>
      <c r="U34" s="300" t="str">
        <f t="shared" si="8"/>
        <v>--</v>
      </c>
      <c r="V34" s="301" t="str">
        <f t="shared" si="9"/>
        <v>--</v>
      </c>
      <c r="W34" s="438" t="str">
        <f t="shared" si="10"/>
        <v>--</v>
      </c>
      <c r="X34" s="902" t="str">
        <f t="shared" si="11"/>
        <v>--</v>
      </c>
      <c r="Y34" s="223">
        <f t="shared" si="14"/>
      </c>
      <c r="Z34" s="383">
        <f t="shared" si="12"/>
      </c>
      <c r="AA34" s="6"/>
    </row>
    <row r="35" spans="2:27" s="5" customFormat="1" ht="16.5" customHeight="1">
      <c r="B35" s="50"/>
      <c r="C35" s="276"/>
      <c r="D35" s="276"/>
      <c r="E35" s="276"/>
      <c r="F35" s="440"/>
      <c r="G35" s="378"/>
      <c r="H35" s="441"/>
      <c r="I35" s="293">
        <f t="shared" si="0"/>
        <v>0</v>
      </c>
      <c r="J35" s="380"/>
      <c r="K35" s="185"/>
      <c r="L35" s="381">
        <f t="shared" si="1"/>
      </c>
      <c r="M35" s="382">
        <f t="shared" si="2"/>
      </c>
      <c r="N35" s="222"/>
      <c r="O35" s="518">
        <f t="shared" si="13"/>
      </c>
      <c r="P35" s="223">
        <f t="shared" si="3"/>
      </c>
      <c r="Q35" s="905">
        <f t="shared" si="4"/>
        <v>20</v>
      </c>
      <c r="R35" s="906" t="str">
        <f t="shared" si="5"/>
        <v>--</v>
      </c>
      <c r="S35" s="436" t="str">
        <f t="shared" si="6"/>
        <v>--</v>
      </c>
      <c r="T35" s="437" t="str">
        <f t="shared" si="7"/>
        <v>--</v>
      </c>
      <c r="U35" s="300" t="str">
        <f t="shared" si="8"/>
        <v>--</v>
      </c>
      <c r="V35" s="301" t="str">
        <f t="shared" si="9"/>
        <v>--</v>
      </c>
      <c r="W35" s="438" t="str">
        <f t="shared" si="10"/>
        <v>--</v>
      </c>
      <c r="X35" s="902" t="str">
        <f t="shared" si="11"/>
        <v>--</v>
      </c>
      <c r="Y35" s="223">
        <f t="shared" si="14"/>
      </c>
      <c r="Z35" s="383">
        <f t="shared" si="12"/>
      </c>
      <c r="AA35" s="6"/>
    </row>
    <row r="36" spans="2:27" s="5" customFormat="1" ht="16.5" customHeight="1">
      <c r="B36" s="50"/>
      <c r="C36" s="276"/>
      <c r="D36" s="276"/>
      <c r="E36" s="152"/>
      <c r="F36" s="440"/>
      <c r="G36" s="378"/>
      <c r="H36" s="441"/>
      <c r="I36" s="293">
        <f t="shared" si="0"/>
        <v>0</v>
      </c>
      <c r="J36" s="380"/>
      <c r="K36" s="185"/>
      <c r="L36" s="381">
        <f t="shared" si="1"/>
      </c>
      <c r="M36" s="382">
        <f t="shared" si="2"/>
      </c>
      <c r="N36" s="222"/>
      <c r="O36" s="518">
        <f t="shared" si="13"/>
      </c>
      <c r="P36" s="223">
        <f t="shared" si="3"/>
      </c>
      <c r="Q36" s="905">
        <f t="shared" si="4"/>
        <v>20</v>
      </c>
      <c r="R36" s="906" t="str">
        <f t="shared" si="5"/>
        <v>--</v>
      </c>
      <c r="S36" s="436" t="str">
        <f t="shared" si="6"/>
        <v>--</v>
      </c>
      <c r="T36" s="437" t="str">
        <f t="shared" si="7"/>
        <v>--</v>
      </c>
      <c r="U36" s="300" t="str">
        <f t="shared" si="8"/>
        <v>--</v>
      </c>
      <c r="V36" s="301" t="str">
        <f t="shared" si="9"/>
        <v>--</v>
      </c>
      <c r="W36" s="438" t="str">
        <f t="shared" si="10"/>
        <v>--</v>
      </c>
      <c r="X36" s="902" t="str">
        <f t="shared" si="11"/>
        <v>--</v>
      </c>
      <c r="Y36" s="223">
        <f t="shared" si="14"/>
      </c>
      <c r="Z36" s="383">
        <f t="shared" si="12"/>
      </c>
      <c r="AA36" s="6"/>
    </row>
    <row r="37" spans="2:27" s="5" customFormat="1" ht="16.5" customHeight="1">
      <c r="B37" s="50"/>
      <c r="C37" s="276"/>
      <c r="D37" s="276"/>
      <c r="E37" s="276"/>
      <c r="F37" s="440"/>
      <c r="G37" s="378"/>
      <c r="H37" s="441"/>
      <c r="I37" s="293">
        <f t="shared" si="0"/>
        <v>0</v>
      </c>
      <c r="J37" s="380"/>
      <c r="K37" s="185"/>
      <c r="L37" s="381">
        <f t="shared" si="1"/>
      </c>
      <c r="M37" s="382">
        <f t="shared" si="2"/>
      </c>
      <c r="N37" s="222"/>
      <c r="O37" s="518">
        <f t="shared" si="13"/>
      </c>
      <c r="P37" s="223">
        <f t="shared" si="3"/>
      </c>
      <c r="Q37" s="905">
        <f t="shared" si="4"/>
        <v>20</v>
      </c>
      <c r="R37" s="906" t="str">
        <f t="shared" si="5"/>
        <v>--</v>
      </c>
      <c r="S37" s="436" t="str">
        <f t="shared" si="6"/>
        <v>--</v>
      </c>
      <c r="T37" s="437" t="str">
        <f t="shared" si="7"/>
        <v>--</v>
      </c>
      <c r="U37" s="300" t="str">
        <f t="shared" si="8"/>
        <v>--</v>
      </c>
      <c r="V37" s="301" t="str">
        <f t="shared" si="9"/>
        <v>--</v>
      </c>
      <c r="W37" s="438" t="str">
        <f t="shared" si="10"/>
        <v>--</v>
      </c>
      <c r="X37" s="902" t="str">
        <f t="shared" si="11"/>
        <v>--</v>
      </c>
      <c r="Y37" s="223">
        <f t="shared" si="14"/>
      </c>
      <c r="Z37" s="383">
        <f t="shared" si="12"/>
      </c>
      <c r="AA37" s="6"/>
    </row>
    <row r="38" spans="2:27" s="5" customFormat="1" ht="16.5" customHeight="1">
      <c r="B38" s="50"/>
      <c r="C38" s="276"/>
      <c r="D38" s="276"/>
      <c r="E38" s="152"/>
      <c r="F38" s="440"/>
      <c r="G38" s="378"/>
      <c r="H38" s="441"/>
      <c r="I38" s="293">
        <f t="shared" si="0"/>
        <v>0</v>
      </c>
      <c r="J38" s="380"/>
      <c r="K38" s="185"/>
      <c r="L38" s="381">
        <f t="shared" si="1"/>
      </c>
      <c r="M38" s="382">
        <f t="shared" si="2"/>
      </c>
      <c r="N38" s="222"/>
      <c r="O38" s="518">
        <f t="shared" si="13"/>
      </c>
      <c r="P38" s="223">
        <f t="shared" si="3"/>
      </c>
      <c r="Q38" s="905">
        <f t="shared" si="4"/>
        <v>20</v>
      </c>
      <c r="R38" s="906" t="str">
        <f t="shared" si="5"/>
        <v>--</v>
      </c>
      <c r="S38" s="436" t="str">
        <f t="shared" si="6"/>
        <v>--</v>
      </c>
      <c r="T38" s="437" t="str">
        <f t="shared" si="7"/>
        <v>--</v>
      </c>
      <c r="U38" s="300" t="str">
        <f t="shared" si="8"/>
        <v>--</v>
      </c>
      <c r="V38" s="301" t="str">
        <f t="shared" si="9"/>
        <v>--</v>
      </c>
      <c r="W38" s="438" t="str">
        <f t="shared" si="10"/>
        <v>--</v>
      </c>
      <c r="X38" s="902" t="str">
        <f t="shared" si="11"/>
        <v>--</v>
      </c>
      <c r="Y38" s="223">
        <f t="shared" si="14"/>
      </c>
      <c r="Z38" s="383">
        <f t="shared" si="12"/>
      </c>
      <c r="AA38" s="6"/>
    </row>
    <row r="39" spans="2:27" s="5" customFormat="1" ht="16.5" customHeight="1">
      <c r="B39" s="50"/>
      <c r="C39" s="276"/>
      <c r="D39" s="276"/>
      <c r="E39" s="276"/>
      <c r="F39" s="440"/>
      <c r="G39" s="378"/>
      <c r="H39" s="441"/>
      <c r="I39" s="293">
        <f t="shared" si="0"/>
        <v>0</v>
      </c>
      <c r="J39" s="380"/>
      <c r="K39" s="185"/>
      <c r="L39" s="381">
        <f t="shared" si="1"/>
      </c>
      <c r="M39" s="382">
        <f t="shared" si="2"/>
      </c>
      <c r="N39" s="222"/>
      <c r="O39" s="518">
        <f t="shared" si="13"/>
      </c>
      <c r="P39" s="223">
        <f t="shared" si="3"/>
      </c>
      <c r="Q39" s="905">
        <f t="shared" si="4"/>
        <v>20</v>
      </c>
      <c r="R39" s="906" t="str">
        <f t="shared" si="5"/>
        <v>--</v>
      </c>
      <c r="S39" s="436" t="str">
        <f t="shared" si="6"/>
        <v>--</v>
      </c>
      <c r="T39" s="437" t="str">
        <f t="shared" si="7"/>
        <v>--</v>
      </c>
      <c r="U39" s="300" t="str">
        <f t="shared" si="8"/>
        <v>--</v>
      </c>
      <c r="V39" s="301" t="str">
        <f t="shared" si="9"/>
        <v>--</v>
      </c>
      <c r="W39" s="438" t="str">
        <f t="shared" si="10"/>
        <v>--</v>
      </c>
      <c r="X39" s="902" t="str">
        <f t="shared" si="11"/>
        <v>--</v>
      </c>
      <c r="Y39" s="223">
        <f t="shared" si="14"/>
      </c>
      <c r="Z39" s="383">
        <f t="shared" si="12"/>
      </c>
      <c r="AA39" s="6"/>
    </row>
    <row r="40" spans="2:27" s="5" customFormat="1" ht="16.5" customHeight="1">
      <c r="B40" s="50"/>
      <c r="C40" s="276"/>
      <c r="D40" s="276"/>
      <c r="E40" s="152"/>
      <c r="F40" s="440"/>
      <c r="G40" s="378"/>
      <c r="H40" s="441"/>
      <c r="I40" s="293">
        <f t="shared" si="0"/>
        <v>0</v>
      </c>
      <c r="J40" s="380"/>
      <c r="K40" s="185"/>
      <c r="L40" s="381">
        <f t="shared" si="1"/>
      </c>
      <c r="M40" s="382">
        <f t="shared" si="2"/>
      </c>
      <c r="N40" s="222"/>
      <c r="O40" s="518">
        <f t="shared" si="13"/>
      </c>
      <c r="P40" s="223">
        <f t="shared" si="3"/>
      </c>
      <c r="Q40" s="905">
        <f t="shared" si="4"/>
        <v>20</v>
      </c>
      <c r="R40" s="906" t="str">
        <f t="shared" si="5"/>
        <v>--</v>
      </c>
      <c r="S40" s="436" t="str">
        <f t="shared" si="6"/>
        <v>--</v>
      </c>
      <c r="T40" s="437" t="str">
        <f t="shared" si="7"/>
        <v>--</v>
      </c>
      <c r="U40" s="300" t="str">
        <f t="shared" si="8"/>
        <v>--</v>
      </c>
      <c r="V40" s="301" t="str">
        <f t="shared" si="9"/>
        <v>--</v>
      </c>
      <c r="W40" s="438" t="str">
        <f t="shared" si="10"/>
        <v>--</v>
      </c>
      <c r="X40" s="902" t="str">
        <f t="shared" si="11"/>
        <v>--</v>
      </c>
      <c r="Y40" s="223">
        <f t="shared" si="14"/>
      </c>
      <c r="Z40" s="383">
        <f t="shared" si="12"/>
      </c>
      <c r="AA40" s="6"/>
    </row>
    <row r="41" spans="2:27" s="5" customFormat="1" ht="16.5" customHeight="1">
      <c r="B41" s="50"/>
      <c r="C41" s="276"/>
      <c r="D41" s="276"/>
      <c r="E41" s="276"/>
      <c r="F41" s="440"/>
      <c r="G41" s="378"/>
      <c r="H41" s="441"/>
      <c r="I41" s="293">
        <f t="shared" si="0"/>
        <v>0</v>
      </c>
      <c r="J41" s="380"/>
      <c r="K41" s="185"/>
      <c r="L41" s="381">
        <f t="shared" si="1"/>
      </c>
      <c r="M41" s="382">
        <f t="shared" si="2"/>
      </c>
      <c r="N41" s="222"/>
      <c r="O41" s="518">
        <f t="shared" si="13"/>
      </c>
      <c r="P41" s="223">
        <f t="shared" si="3"/>
      </c>
      <c r="Q41" s="905">
        <f t="shared" si="4"/>
        <v>20</v>
      </c>
      <c r="R41" s="906" t="str">
        <f t="shared" si="5"/>
        <v>--</v>
      </c>
      <c r="S41" s="436" t="str">
        <f t="shared" si="6"/>
        <v>--</v>
      </c>
      <c r="T41" s="437" t="str">
        <f t="shared" si="7"/>
        <v>--</v>
      </c>
      <c r="U41" s="300" t="str">
        <f t="shared" si="8"/>
        <v>--</v>
      </c>
      <c r="V41" s="301" t="str">
        <f t="shared" si="9"/>
        <v>--</v>
      </c>
      <c r="W41" s="438" t="str">
        <f t="shared" si="10"/>
        <v>--</v>
      </c>
      <c r="X41" s="902" t="str">
        <f t="shared" si="11"/>
        <v>--</v>
      </c>
      <c r="Y41" s="223">
        <f t="shared" si="14"/>
      </c>
      <c r="Z41" s="383">
        <f t="shared" si="12"/>
      </c>
      <c r="AA41" s="6"/>
    </row>
    <row r="42" spans="2:27" s="5" customFormat="1" ht="16.5" customHeight="1" thickBot="1">
      <c r="B42" s="50"/>
      <c r="C42" s="444"/>
      <c r="D42" s="444"/>
      <c r="E42" s="444"/>
      <c r="F42" s="444"/>
      <c r="G42" s="444"/>
      <c r="H42" s="444"/>
      <c r="I42" s="131"/>
      <c r="J42" s="384"/>
      <c r="K42" s="384"/>
      <c r="L42" s="385"/>
      <c r="M42" s="385"/>
      <c r="N42" s="384"/>
      <c r="O42" s="190"/>
      <c r="P42" s="151"/>
      <c r="Q42" s="445"/>
      <c r="R42" s="446"/>
      <c r="S42" s="447"/>
      <c r="T42" s="448"/>
      <c r="U42" s="318"/>
      <c r="V42" s="319"/>
      <c r="W42" s="449"/>
      <c r="X42" s="449"/>
      <c r="Y42" s="151"/>
      <c r="Z42" s="450"/>
      <c r="AA42" s="6"/>
    </row>
    <row r="43" spans="2:27" s="5" customFormat="1" ht="16.5" customHeight="1" thickBot="1" thickTop="1">
      <c r="B43" s="50"/>
      <c r="C43" s="127" t="s">
        <v>25</v>
      </c>
      <c r="D43" s="73" t="s">
        <v>256</v>
      </c>
      <c r="E43" s="127"/>
      <c r="F43" s="128"/>
      <c r="I43" s="4"/>
      <c r="J43" s="4"/>
      <c r="K43" s="4"/>
      <c r="L43" s="4"/>
      <c r="M43" s="4"/>
      <c r="N43" s="4"/>
      <c r="O43" s="4"/>
      <c r="P43" s="4"/>
      <c r="Q43" s="4"/>
      <c r="R43" s="451">
        <f aca="true" t="shared" si="15" ref="R43:X43">SUM(R20:R42)</f>
        <v>6926.719800000001</v>
      </c>
      <c r="S43" s="452">
        <f t="shared" si="15"/>
        <v>2048.2</v>
      </c>
      <c r="T43" s="453">
        <f t="shared" si="15"/>
        <v>1085.546</v>
      </c>
      <c r="U43" s="328">
        <f t="shared" si="15"/>
        <v>0</v>
      </c>
      <c r="V43" s="329">
        <f t="shared" si="15"/>
        <v>0</v>
      </c>
      <c r="W43" s="454">
        <f t="shared" si="15"/>
        <v>0</v>
      </c>
      <c r="X43" s="454">
        <f t="shared" si="15"/>
        <v>0</v>
      </c>
      <c r="Z43" s="100">
        <f>ROUND(SUM(Z20:Z42),2)</f>
        <v>10060.47</v>
      </c>
      <c r="AA43" s="455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4"/>
      <c r="G50" s="174"/>
      <c r="H50" s="174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6:29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6:29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6:29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6:29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6:29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6:29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6:29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</row>
    <row r="152" spans="6:29" ht="16.5" customHeight="1">
      <c r="F152" s="172"/>
      <c r="G152" s="172"/>
      <c r="H152" s="172"/>
      <c r="AB152" s="172"/>
      <c r="AC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spans="6:8" ht="16.5" customHeight="1">
      <c r="F157" s="172"/>
      <c r="G157" s="172"/>
      <c r="H157" s="17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AA157"/>
  <sheetViews>
    <sheetView zoomScale="75" zoomScaleNormal="75" workbookViewId="0" topLeftCell="A4">
      <selection activeCell="H22" sqref="H2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17.57421875" style="0" customWidth="1"/>
    <col min="8" max="8" width="14.57421875" style="0" customWidth="1"/>
    <col min="9" max="9" width="10.28125" style="0" customWidth="1"/>
    <col min="10" max="10" width="12.7109375" style="0" hidden="1" customWidth="1"/>
    <col min="11" max="12" width="13.57421875" style="0" customWidth="1"/>
    <col min="13" max="15" width="9.7109375" style="0" customWidth="1"/>
    <col min="16" max="17" width="6.00390625" style="0" customWidth="1"/>
    <col min="18" max="18" width="5.7109375" style="0" hidden="1" customWidth="1"/>
    <col min="19" max="19" width="13.140625" style="0" hidden="1" customWidth="1"/>
    <col min="20" max="20" width="10.8515625" style="0" hidden="1" customWidth="1"/>
    <col min="21" max="21" width="11.00390625" style="0" hidden="1" customWidth="1"/>
    <col min="22" max="23" width="12.28125" style="0" hidden="1" customWidth="1"/>
    <col min="24" max="25" width="15.7109375" style="0" customWidth="1"/>
    <col min="26" max="26" width="4.140625" style="0" customWidth="1"/>
  </cols>
  <sheetData>
    <row r="1" s="18" customFormat="1" ht="26.25">
      <c r="Y1" s="144"/>
    </row>
    <row r="2" spans="1:25" s="18" customFormat="1" ht="26.25">
      <c r="A2" s="91"/>
      <c r="B2" s="397" t="str">
        <f>+'TOT-0110'!B2</f>
        <v>ANEXO II al Memorandum D.T.E.E. N°    679       / 2011           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6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</row>
    <row r="8" spans="2:26" s="29" customFormat="1" ht="20.25">
      <c r="B8" s="79"/>
      <c r="C8" s="30"/>
      <c r="D8" s="30"/>
      <c r="F8" s="171" t="s">
        <v>73</v>
      </c>
      <c r="G8" s="398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399"/>
    </row>
    <row r="9" spans="2:26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6"/>
    </row>
    <row r="10" spans="2:26" s="29" customFormat="1" ht="20.25">
      <c r="B10" s="79"/>
      <c r="C10" s="30"/>
      <c r="D10" s="30"/>
      <c r="F10" s="11" t="s">
        <v>153</v>
      </c>
      <c r="H10" s="400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80"/>
    </row>
    <row r="11" spans="2:26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6"/>
    </row>
    <row r="12" spans="2:26" s="29" customFormat="1" ht="20.25">
      <c r="B12" s="79"/>
      <c r="C12" s="30"/>
      <c r="D12" s="30"/>
      <c r="F12" s="11" t="s">
        <v>154</v>
      </c>
      <c r="H12" s="400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80"/>
    </row>
    <row r="13" spans="2:26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6"/>
    </row>
    <row r="14" spans="2:26" s="36" customFormat="1" ht="16.5" customHeight="1">
      <c r="B14" s="37" t="str">
        <f>'TOT-0110'!B14</f>
        <v>Desde el 01 al 31 de enero de 2010</v>
      </c>
      <c r="C14" s="40"/>
      <c r="D14" s="40"/>
      <c r="E14" s="401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1"/>
      <c r="S14" s="401"/>
      <c r="T14" s="401"/>
      <c r="U14" s="401"/>
      <c r="V14" s="401"/>
      <c r="W14" s="401"/>
      <c r="X14" s="401"/>
      <c r="Y14" s="401"/>
      <c r="Z14" s="403"/>
    </row>
    <row r="15" spans="2:26" s="5" customFormat="1" ht="16.5" customHeigh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6"/>
    </row>
    <row r="16" spans="2:26" s="5" customFormat="1" ht="4.5" customHeight="1" thickBot="1">
      <c r="B16" s="50"/>
      <c r="C16" s="4"/>
      <c r="D16" s="4"/>
      <c r="E16" s="4"/>
      <c r="F16" s="871"/>
      <c r="G16" s="201"/>
      <c r="H16" s="872"/>
      <c r="I16" s="352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6"/>
    </row>
    <row r="17" spans="2:26" s="5" customFormat="1" ht="16.5" customHeight="1" thickBot="1" thickTop="1">
      <c r="B17" s="50"/>
      <c r="C17" s="4"/>
      <c r="D17" s="4"/>
      <c r="E17" s="4"/>
      <c r="F17" s="405" t="s">
        <v>26</v>
      </c>
      <c r="G17" s="406"/>
      <c r="H17" s="825">
        <v>20</v>
      </c>
      <c r="I17" s="352"/>
      <c r="J17"/>
      <c r="K17" s="201"/>
      <c r="L17" s="202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6"/>
    </row>
    <row r="18" spans="2:26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919">
        <v>23</v>
      </c>
      <c r="X18" s="919">
        <v>24</v>
      </c>
      <c r="Y18" s="919">
        <v>25</v>
      </c>
      <c r="Z18" s="6"/>
    </row>
    <row r="19" spans="2:26" s="5" customFormat="1" ht="33.75" customHeight="1" thickBot="1" thickTop="1">
      <c r="B19" s="50"/>
      <c r="C19" s="123" t="s">
        <v>13</v>
      </c>
      <c r="D19" s="84" t="s">
        <v>171</v>
      </c>
      <c r="E19" s="84" t="s">
        <v>172</v>
      </c>
      <c r="F19" s="86" t="s">
        <v>27</v>
      </c>
      <c r="G19" s="85" t="s">
        <v>28</v>
      </c>
      <c r="H19" s="86" t="s">
        <v>155</v>
      </c>
      <c r="I19" s="408" t="s">
        <v>29</v>
      </c>
      <c r="J19" s="129" t="s">
        <v>16</v>
      </c>
      <c r="K19" s="85" t="s">
        <v>17</v>
      </c>
      <c r="L19" s="85" t="s">
        <v>18</v>
      </c>
      <c r="M19" s="86" t="s">
        <v>36</v>
      </c>
      <c r="N19" s="86" t="s">
        <v>31</v>
      </c>
      <c r="O19" s="88" t="s">
        <v>19</v>
      </c>
      <c r="P19" s="88" t="s">
        <v>46</v>
      </c>
      <c r="Q19" s="85" t="s">
        <v>32</v>
      </c>
      <c r="R19" s="129" t="s">
        <v>37</v>
      </c>
      <c r="S19" s="409" t="s">
        <v>59</v>
      </c>
      <c r="T19" s="410" t="s">
        <v>76</v>
      </c>
      <c r="U19" s="411"/>
      <c r="V19" s="412" t="s">
        <v>22</v>
      </c>
      <c r="W19" s="257" t="s">
        <v>21</v>
      </c>
      <c r="X19" s="132" t="s">
        <v>63</v>
      </c>
      <c r="Y19" s="413" t="s">
        <v>24</v>
      </c>
      <c r="Z19" s="6"/>
    </row>
    <row r="20" spans="2:26" s="5" customFormat="1" ht="16.5" customHeight="1" thickTop="1">
      <c r="B20" s="50"/>
      <c r="C20" s="262"/>
      <c r="D20" s="262"/>
      <c r="E20" s="262"/>
      <c r="F20" s="415"/>
      <c r="G20" s="415"/>
      <c r="H20" s="415"/>
      <c r="I20" s="415"/>
      <c r="J20" s="333"/>
      <c r="K20" s="416"/>
      <c r="L20" s="416"/>
      <c r="M20" s="414"/>
      <c r="N20" s="414"/>
      <c r="O20" s="415"/>
      <c r="P20" s="180"/>
      <c r="Q20" s="414"/>
      <c r="R20" s="417"/>
      <c r="S20" s="418"/>
      <c r="T20" s="419"/>
      <c r="U20" s="420"/>
      <c r="V20" s="421"/>
      <c r="W20" s="421"/>
      <c r="X20" s="422"/>
      <c r="Y20" s="423"/>
      <c r="Z20" s="6"/>
    </row>
    <row r="21" spans="2:26" s="5" customFormat="1" ht="16.5" customHeight="1">
      <c r="B21" s="50"/>
      <c r="C21" s="276"/>
      <c r="D21" s="276"/>
      <c r="E21" s="276"/>
      <c r="F21" s="424"/>
      <c r="G21" s="425"/>
      <c r="H21" s="425"/>
      <c r="I21" s="426"/>
      <c r="J21" s="427"/>
      <c r="K21" s="428"/>
      <c r="L21" s="429"/>
      <c r="M21" s="430"/>
      <c r="N21" s="431"/>
      <c r="O21" s="432"/>
      <c r="P21" s="181"/>
      <c r="Q21" s="433"/>
      <c r="R21" s="434"/>
      <c r="S21" s="435"/>
      <c r="T21" s="436"/>
      <c r="U21" s="437"/>
      <c r="V21" s="438"/>
      <c r="W21" s="438"/>
      <c r="X21" s="433"/>
      <c r="Y21" s="439"/>
      <c r="Z21" s="6"/>
    </row>
    <row r="22" spans="2:26" s="5" customFormat="1" ht="16.5" customHeight="1">
      <c r="B22" s="50"/>
      <c r="C22" s="276">
        <v>86</v>
      </c>
      <c r="D22" s="276">
        <v>217202</v>
      </c>
      <c r="E22" s="276">
        <v>4307</v>
      </c>
      <c r="F22" s="952" t="s">
        <v>259</v>
      </c>
      <c r="G22" s="953" t="s">
        <v>303</v>
      </c>
      <c r="H22" s="953">
        <v>0.09093793</v>
      </c>
      <c r="I22" s="146">
        <v>41.172</v>
      </c>
      <c r="J22" s="293">
        <f>I22*H22</f>
        <v>3.7440964539599997</v>
      </c>
      <c r="K22" s="380">
        <v>40195.69305555556</v>
      </c>
      <c r="L22" s="185">
        <v>40195.71388888889</v>
      </c>
      <c r="M22" s="381">
        <f>IF(F22="","",(L22-K22)*24)</f>
        <v>0.4999999998835847</v>
      </c>
      <c r="N22" s="382">
        <f>IF(F22="","",ROUND((L22-K22)*24*60,0))</f>
        <v>30</v>
      </c>
      <c r="O22" s="222" t="s">
        <v>191</v>
      </c>
      <c r="P22" s="518" t="str">
        <f>IF(F22="","","--")</f>
        <v>--</v>
      </c>
      <c r="Q22" s="223" t="str">
        <f>IF(F22="","",IF(OR(O22="P",O22="RP"),"--","NO"))</f>
        <v>--</v>
      </c>
      <c r="R22" s="905">
        <f>IF(OR(O22="P",O22="RP"),$H$17/10,$H$17)</f>
        <v>2</v>
      </c>
      <c r="S22" s="906">
        <f>IF(O22="P",J22*R22*ROUND(N22/60,2),"--")</f>
        <v>3.7440964539599997</v>
      </c>
      <c r="T22" s="436" t="str">
        <f>IF(AND(O22="F",Q22="NO"),J22*R22,"--")</f>
        <v>--</v>
      </c>
      <c r="U22" s="437" t="str">
        <f>IF(O22="F",J22*R22*ROUND(N22/60,2),"--")</f>
        <v>--</v>
      </c>
      <c r="V22" s="438" t="str">
        <f>IF(O22="RF",J22*R22*ROUND(N22/60,2),"--")</f>
        <v>--</v>
      </c>
      <c r="W22" s="902" t="s">
        <v>148</v>
      </c>
      <c r="X22" s="223" t="str">
        <f>IF(F22="","","SI")</f>
        <v>SI</v>
      </c>
      <c r="Y22" s="383">
        <f>IF(F22="","",SUM(S22:W22)*IF(X22="SI",1,2))</f>
        <v>3.7440964539599997</v>
      </c>
      <c r="Z22" s="6"/>
    </row>
    <row r="23" spans="2:26" s="5" customFormat="1" ht="16.5" customHeight="1">
      <c r="B23" s="50"/>
      <c r="C23" s="276"/>
      <c r="D23" s="276"/>
      <c r="E23" s="276"/>
      <c r="F23" s="952"/>
      <c r="G23" s="953"/>
      <c r="H23" s="953"/>
      <c r="I23" s="146"/>
      <c r="J23" s="293"/>
      <c r="K23" s="380"/>
      <c r="L23" s="185"/>
      <c r="M23" s="381"/>
      <c r="N23" s="382"/>
      <c r="O23" s="222"/>
      <c r="P23" s="518"/>
      <c r="Q23" s="223"/>
      <c r="R23" s="905">
        <f aca="true" t="shared" si="0" ref="R23:R39">IF(OR(O23="P",O23="RP"),$H$17/10,$H$17)</f>
        <v>20</v>
      </c>
      <c r="S23" s="906" t="str">
        <f aca="true" t="shared" si="1" ref="S23:S39">IF(O23="P",J23*R23*ROUND(N23/60,2),"--")</f>
        <v>--</v>
      </c>
      <c r="T23" s="436" t="str">
        <f aca="true" t="shared" si="2" ref="T23:T39">IF(AND(O23="F",Q23="NO"),J23*R23,"--")</f>
        <v>--</v>
      </c>
      <c r="U23" s="437" t="str">
        <f aca="true" t="shared" si="3" ref="U23:U39">IF(O23="F",J23*R23*ROUND(N23/60,2),"--")</f>
        <v>--</v>
      </c>
      <c r="V23" s="438" t="str">
        <f aca="true" t="shared" si="4" ref="V23:V39">IF(O23="RF",J23*R23*ROUND(N23/60,2),"--")</f>
        <v>--</v>
      </c>
      <c r="W23" s="902" t="s">
        <v>148</v>
      </c>
      <c r="X23" s="223"/>
      <c r="Y23" s="383"/>
      <c r="Z23" s="6"/>
    </row>
    <row r="24" spans="2:26" s="5" customFormat="1" ht="16.5" customHeight="1">
      <c r="B24" s="50"/>
      <c r="C24" s="276"/>
      <c r="D24" s="276"/>
      <c r="E24" s="276"/>
      <c r="F24" s="952"/>
      <c r="G24" s="953"/>
      <c r="H24" s="953"/>
      <c r="I24" s="146"/>
      <c r="J24" s="293"/>
      <c r="K24" s="380"/>
      <c r="L24" s="185"/>
      <c r="M24" s="381"/>
      <c r="N24" s="382"/>
      <c r="O24" s="222"/>
      <c r="P24" s="518"/>
      <c r="Q24" s="223"/>
      <c r="R24" s="905">
        <f t="shared" si="0"/>
        <v>20</v>
      </c>
      <c r="S24" s="906" t="str">
        <f t="shared" si="1"/>
        <v>--</v>
      </c>
      <c r="T24" s="436" t="str">
        <f t="shared" si="2"/>
        <v>--</v>
      </c>
      <c r="U24" s="437" t="str">
        <f t="shared" si="3"/>
        <v>--</v>
      </c>
      <c r="V24" s="438" t="str">
        <f t="shared" si="4"/>
        <v>--</v>
      </c>
      <c r="W24" s="902" t="s">
        <v>148</v>
      </c>
      <c r="X24" s="223"/>
      <c r="Y24" s="383"/>
      <c r="Z24" s="6"/>
    </row>
    <row r="25" spans="2:26" s="5" customFormat="1" ht="16.5" customHeight="1">
      <c r="B25" s="50"/>
      <c r="C25" s="276"/>
      <c r="D25" s="276"/>
      <c r="E25" s="276"/>
      <c r="F25" s="440"/>
      <c r="G25" s="378"/>
      <c r="H25" s="378"/>
      <c r="I25" s="441"/>
      <c r="J25" s="293">
        <f aca="true" t="shared" si="5" ref="J25:J39">I25*H25</f>
        <v>0</v>
      </c>
      <c r="K25" s="380"/>
      <c r="L25" s="185"/>
      <c r="M25" s="381">
        <f aca="true" t="shared" si="6" ref="M25:M39">IF(F25="","",(L25-K25)*24)</f>
      </c>
      <c r="N25" s="382">
        <f aca="true" t="shared" si="7" ref="N25:N39">IF(F25="","",ROUND((L25-K25)*24*60,0))</f>
      </c>
      <c r="O25" s="222"/>
      <c r="P25" s="518">
        <f aca="true" t="shared" si="8" ref="P25:P39">IF(F25="","","--")</f>
      </c>
      <c r="Q25" s="223">
        <f aca="true" t="shared" si="9" ref="Q25:Q39">IF(F25="","",IF(OR(O25="P",O25="RP"),"--","NO"))</f>
      </c>
      <c r="R25" s="905">
        <f t="shared" si="0"/>
        <v>20</v>
      </c>
      <c r="S25" s="906" t="str">
        <f t="shared" si="1"/>
        <v>--</v>
      </c>
      <c r="T25" s="436" t="str">
        <f t="shared" si="2"/>
        <v>--</v>
      </c>
      <c r="U25" s="437" t="str">
        <f t="shared" si="3"/>
        <v>--</v>
      </c>
      <c r="V25" s="438" t="str">
        <f t="shared" si="4"/>
        <v>--</v>
      </c>
      <c r="W25" s="902" t="s">
        <v>148</v>
      </c>
      <c r="X25" s="223">
        <f aca="true" t="shared" si="10" ref="X25:X39">IF(F25="","","SI")</f>
      </c>
      <c r="Y25" s="383">
        <f aca="true" t="shared" si="11" ref="Y25:Y39">IF(F25="","",SUM(S25:W25)*IF(X25="SI",1,2))</f>
      </c>
      <c r="Z25" s="443"/>
    </row>
    <row r="26" spans="2:26" s="5" customFormat="1" ht="16.5" customHeight="1">
      <c r="B26" s="50"/>
      <c r="C26" s="276"/>
      <c r="D26" s="276"/>
      <c r="E26" s="276"/>
      <c r="F26" s="440"/>
      <c r="G26" s="378"/>
      <c r="H26" s="378"/>
      <c r="I26" s="441"/>
      <c r="J26" s="293">
        <f t="shared" si="5"/>
        <v>0</v>
      </c>
      <c r="K26" s="380"/>
      <c r="L26" s="185"/>
      <c r="M26" s="381">
        <f t="shared" si="6"/>
      </c>
      <c r="N26" s="382">
        <f t="shared" si="7"/>
      </c>
      <c r="O26" s="222"/>
      <c r="P26" s="518">
        <f t="shared" si="8"/>
      </c>
      <c r="Q26" s="223">
        <f t="shared" si="9"/>
      </c>
      <c r="R26" s="905">
        <f t="shared" si="0"/>
        <v>20</v>
      </c>
      <c r="S26" s="906" t="str">
        <f t="shared" si="1"/>
        <v>--</v>
      </c>
      <c r="T26" s="436" t="str">
        <f t="shared" si="2"/>
        <v>--</v>
      </c>
      <c r="U26" s="437" t="str">
        <f t="shared" si="3"/>
        <v>--</v>
      </c>
      <c r="V26" s="438" t="str">
        <f t="shared" si="4"/>
        <v>--</v>
      </c>
      <c r="W26" s="902" t="s">
        <v>148</v>
      </c>
      <c r="X26" s="223">
        <f t="shared" si="10"/>
      </c>
      <c r="Y26" s="383">
        <f t="shared" si="11"/>
      </c>
      <c r="Z26" s="443"/>
    </row>
    <row r="27" spans="2:26" s="5" customFormat="1" ht="16.5" customHeight="1">
      <c r="B27" s="50"/>
      <c r="C27" s="276"/>
      <c r="D27" s="276"/>
      <c r="E27" s="276"/>
      <c r="F27" s="440"/>
      <c r="G27" s="378"/>
      <c r="H27" s="378"/>
      <c r="I27" s="441"/>
      <c r="J27" s="293">
        <f t="shared" si="5"/>
        <v>0</v>
      </c>
      <c r="K27" s="380"/>
      <c r="L27" s="185"/>
      <c r="M27" s="381">
        <f t="shared" si="6"/>
      </c>
      <c r="N27" s="382">
        <f t="shared" si="7"/>
      </c>
      <c r="O27" s="222"/>
      <c r="P27" s="518">
        <f t="shared" si="8"/>
      </c>
      <c r="Q27" s="223">
        <f t="shared" si="9"/>
      </c>
      <c r="R27" s="905">
        <f t="shared" si="0"/>
        <v>20</v>
      </c>
      <c r="S27" s="906" t="str">
        <f t="shared" si="1"/>
        <v>--</v>
      </c>
      <c r="T27" s="436" t="str">
        <f t="shared" si="2"/>
        <v>--</v>
      </c>
      <c r="U27" s="437" t="str">
        <f t="shared" si="3"/>
        <v>--</v>
      </c>
      <c r="V27" s="438" t="str">
        <f t="shared" si="4"/>
        <v>--</v>
      </c>
      <c r="W27" s="902" t="s">
        <v>148</v>
      </c>
      <c r="X27" s="223">
        <f t="shared" si="10"/>
      </c>
      <c r="Y27" s="383">
        <f t="shared" si="11"/>
      </c>
      <c r="Z27" s="443"/>
    </row>
    <row r="28" spans="2:26" s="5" customFormat="1" ht="16.5" customHeight="1">
      <c r="B28" s="50"/>
      <c r="C28" s="276"/>
      <c r="D28" s="276"/>
      <c r="E28" s="276"/>
      <c r="F28" s="440"/>
      <c r="G28" s="378"/>
      <c r="H28" s="378"/>
      <c r="I28" s="441"/>
      <c r="J28" s="293">
        <f t="shared" si="5"/>
        <v>0</v>
      </c>
      <c r="K28" s="380"/>
      <c r="L28" s="185"/>
      <c r="M28" s="381">
        <f t="shared" si="6"/>
      </c>
      <c r="N28" s="382">
        <f t="shared" si="7"/>
      </c>
      <c r="O28" s="222"/>
      <c r="P28" s="518">
        <f t="shared" si="8"/>
      </c>
      <c r="Q28" s="223">
        <f t="shared" si="9"/>
      </c>
      <c r="R28" s="905">
        <f t="shared" si="0"/>
        <v>20</v>
      </c>
      <c r="S28" s="906" t="str">
        <f t="shared" si="1"/>
        <v>--</v>
      </c>
      <c r="T28" s="436" t="str">
        <f t="shared" si="2"/>
        <v>--</v>
      </c>
      <c r="U28" s="437" t="str">
        <f t="shared" si="3"/>
        <v>--</v>
      </c>
      <c r="V28" s="438" t="str">
        <f t="shared" si="4"/>
        <v>--</v>
      </c>
      <c r="W28" s="902" t="s">
        <v>148</v>
      </c>
      <c r="X28" s="223">
        <f t="shared" si="10"/>
      </c>
      <c r="Y28" s="383">
        <f t="shared" si="11"/>
      </c>
      <c r="Z28" s="443"/>
    </row>
    <row r="29" spans="2:26" s="5" customFormat="1" ht="16.5" customHeight="1">
      <c r="B29" s="50"/>
      <c r="C29" s="276"/>
      <c r="D29" s="276"/>
      <c r="E29" s="276"/>
      <c r="F29" s="440"/>
      <c r="G29" s="378"/>
      <c r="H29" s="378"/>
      <c r="I29" s="441"/>
      <c r="J29" s="293">
        <f t="shared" si="5"/>
        <v>0</v>
      </c>
      <c r="K29" s="380"/>
      <c r="L29" s="185"/>
      <c r="M29" s="381">
        <f t="shared" si="6"/>
      </c>
      <c r="N29" s="382">
        <f t="shared" si="7"/>
      </c>
      <c r="O29" s="222"/>
      <c r="P29" s="518">
        <f t="shared" si="8"/>
      </c>
      <c r="Q29" s="223">
        <f t="shared" si="9"/>
      </c>
      <c r="R29" s="905">
        <f t="shared" si="0"/>
        <v>20</v>
      </c>
      <c r="S29" s="906" t="str">
        <f t="shared" si="1"/>
        <v>--</v>
      </c>
      <c r="T29" s="436" t="str">
        <f t="shared" si="2"/>
        <v>--</v>
      </c>
      <c r="U29" s="437" t="str">
        <f t="shared" si="3"/>
        <v>--</v>
      </c>
      <c r="V29" s="438" t="str">
        <f t="shared" si="4"/>
        <v>--</v>
      </c>
      <c r="W29" s="902" t="s">
        <v>148</v>
      </c>
      <c r="X29" s="223">
        <f t="shared" si="10"/>
      </c>
      <c r="Y29" s="383">
        <f t="shared" si="11"/>
      </c>
      <c r="Z29" s="443"/>
    </row>
    <row r="30" spans="2:26" s="5" customFormat="1" ht="16.5" customHeight="1">
      <c r="B30" s="50"/>
      <c r="C30" s="276"/>
      <c r="D30" s="276"/>
      <c r="E30" s="276"/>
      <c r="F30" s="440"/>
      <c r="G30" s="378"/>
      <c r="H30" s="378"/>
      <c r="I30" s="441"/>
      <c r="J30" s="293">
        <f t="shared" si="5"/>
        <v>0</v>
      </c>
      <c r="K30" s="380"/>
      <c r="L30" s="185"/>
      <c r="M30" s="381">
        <f t="shared" si="6"/>
      </c>
      <c r="N30" s="382">
        <f t="shared" si="7"/>
      </c>
      <c r="O30" s="222"/>
      <c r="P30" s="518">
        <f t="shared" si="8"/>
      </c>
      <c r="Q30" s="223">
        <f t="shared" si="9"/>
      </c>
      <c r="R30" s="905">
        <f t="shared" si="0"/>
        <v>20</v>
      </c>
      <c r="S30" s="906" t="str">
        <f t="shared" si="1"/>
        <v>--</v>
      </c>
      <c r="T30" s="436" t="str">
        <f t="shared" si="2"/>
        <v>--</v>
      </c>
      <c r="U30" s="437" t="str">
        <f t="shared" si="3"/>
        <v>--</v>
      </c>
      <c r="V30" s="438" t="str">
        <f t="shared" si="4"/>
        <v>--</v>
      </c>
      <c r="W30" s="902" t="s">
        <v>148</v>
      </c>
      <c r="X30" s="223">
        <f t="shared" si="10"/>
      </c>
      <c r="Y30" s="383">
        <f t="shared" si="11"/>
      </c>
      <c r="Z30" s="6"/>
    </row>
    <row r="31" spans="2:26" s="5" customFormat="1" ht="16.5" customHeight="1">
      <c r="B31" s="50"/>
      <c r="C31" s="276"/>
      <c r="D31" s="276"/>
      <c r="E31" s="276"/>
      <c r="F31" s="440"/>
      <c r="G31" s="378"/>
      <c r="H31" s="378"/>
      <c r="I31" s="441"/>
      <c r="J31" s="293">
        <f t="shared" si="5"/>
        <v>0</v>
      </c>
      <c r="K31" s="380"/>
      <c r="L31" s="185"/>
      <c r="M31" s="381">
        <f t="shared" si="6"/>
      </c>
      <c r="N31" s="382">
        <f t="shared" si="7"/>
      </c>
      <c r="O31" s="222"/>
      <c r="P31" s="518">
        <f t="shared" si="8"/>
      </c>
      <c r="Q31" s="223">
        <f t="shared" si="9"/>
      </c>
      <c r="R31" s="905">
        <f t="shared" si="0"/>
        <v>20</v>
      </c>
      <c r="S31" s="906" t="str">
        <f t="shared" si="1"/>
        <v>--</v>
      </c>
      <c r="T31" s="436" t="str">
        <f t="shared" si="2"/>
        <v>--</v>
      </c>
      <c r="U31" s="437" t="str">
        <f t="shared" si="3"/>
        <v>--</v>
      </c>
      <c r="V31" s="438" t="str">
        <f t="shared" si="4"/>
        <v>--</v>
      </c>
      <c r="W31" s="902" t="s">
        <v>148</v>
      </c>
      <c r="X31" s="223">
        <f t="shared" si="10"/>
      </c>
      <c r="Y31" s="383">
        <f t="shared" si="11"/>
      </c>
      <c r="Z31" s="6"/>
    </row>
    <row r="32" spans="2:26" s="5" customFormat="1" ht="16.5" customHeight="1">
      <c r="B32" s="50"/>
      <c r="C32" s="276"/>
      <c r="D32" s="276"/>
      <c r="E32" s="276"/>
      <c r="F32" s="440"/>
      <c r="G32" s="378"/>
      <c r="H32" s="378"/>
      <c r="I32" s="441"/>
      <c r="J32" s="293">
        <f t="shared" si="5"/>
        <v>0</v>
      </c>
      <c r="K32" s="380"/>
      <c r="L32" s="185"/>
      <c r="M32" s="381">
        <f t="shared" si="6"/>
      </c>
      <c r="N32" s="382">
        <f t="shared" si="7"/>
      </c>
      <c r="O32" s="222"/>
      <c r="P32" s="518">
        <f t="shared" si="8"/>
      </c>
      <c r="Q32" s="223">
        <f t="shared" si="9"/>
      </c>
      <c r="R32" s="905">
        <f t="shared" si="0"/>
        <v>20</v>
      </c>
      <c r="S32" s="906" t="str">
        <f t="shared" si="1"/>
        <v>--</v>
      </c>
      <c r="T32" s="436" t="str">
        <f t="shared" si="2"/>
        <v>--</v>
      </c>
      <c r="U32" s="437" t="str">
        <f t="shared" si="3"/>
        <v>--</v>
      </c>
      <c r="V32" s="438" t="str">
        <f t="shared" si="4"/>
        <v>--</v>
      </c>
      <c r="W32" s="902" t="s">
        <v>148</v>
      </c>
      <c r="X32" s="223">
        <f t="shared" si="10"/>
      </c>
      <c r="Y32" s="383">
        <f t="shared" si="11"/>
      </c>
      <c r="Z32" s="6"/>
    </row>
    <row r="33" spans="2:26" s="5" customFormat="1" ht="16.5" customHeight="1">
      <c r="B33" s="50"/>
      <c r="C33" s="276"/>
      <c r="D33" s="276"/>
      <c r="E33" s="276"/>
      <c r="F33" s="440"/>
      <c r="G33" s="378"/>
      <c r="H33" s="378"/>
      <c r="I33" s="441"/>
      <c r="J33" s="293">
        <f t="shared" si="5"/>
        <v>0</v>
      </c>
      <c r="K33" s="380"/>
      <c r="L33" s="185"/>
      <c r="M33" s="381">
        <f t="shared" si="6"/>
      </c>
      <c r="N33" s="382">
        <f t="shared" si="7"/>
      </c>
      <c r="O33" s="222"/>
      <c r="P33" s="518">
        <f t="shared" si="8"/>
      </c>
      <c r="Q33" s="223">
        <f t="shared" si="9"/>
      </c>
      <c r="R33" s="905">
        <f t="shared" si="0"/>
        <v>20</v>
      </c>
      <c r="S33" s="906" t="str">
        <f t="shared" si="1"/>
        <v>--</v>
      </c>
      <c r="T33" s="436" t="str">
        <f t="shared" si="2"/>
        <v>--</v>
      </c>
      <c r="U33" s="437" t="str">
        <f t="shared" si="3"/>
        <v>--</v>
      </c>
      <c r="V33" s="438" t="str">
        <f t="shared" si="4"/>
        <v>--</v>
      </c>
      <c r="W33" s="902" t="s">
        <v>148</v>
      </c>
      <c r="X33" s="223">
        <f t="shared" si="10"/>
      </c>
      <c r="Y33" s="383">
        <f t="shared" si="11"/>
      </c>
      <c r="Z33" s="6"/>
    </row>
    <row r="34" spans="2:26" s="5" customFormat="1" ht="16.5" customHeight="1">
      <c r="B34" s="50"/>
      <c r="C34" s="276"/>
      <c r="D34" s="276"/>
      <c r="E34" s="276"/>
      <c r="F34" s="440"/>
      <c r="G34" s="378"/>
      <c r="H34" s="378"/>
      <c r="I34" s="441"/>
      <c r="J34" s="293">
        <f t="shared" si="5"/>
        <v>0</v>
      </c>
      <c r="K34" s="380"/>
      <c r="L34" s="185"/>
      <c r="M34" s="381">
        <f t="shared" si="6"/>
      </c>
      <c r="N34" s="382">
        <f t="shared" si="7"/>
      </c>
      <c r="O34" s="222"/>
      <c r="P34" s="518">
        <f t="shared" si="8"/>
      </c>
      <c r="Q34" s="223">
        <f t="shared" si="9"/>
      </c>
      <c r="R34" s="905">
        <f t="shared" si="0"/>
        <v>20</v>
      </c>
      <c r="S34" s="906" t="str">
        <f t="shared" si="1"/>
        <v>--</v>
      </c>
      <c r="T34" s="436" t="str">
        <f t="shared" si="2"/>
        <v>--</v>
      </c>
      <c r="U34" s="437" t="str">
        <f t="shared" si="3"/>
        <v>--</v>
      </c>
      <c r="V34" s="438" t="str">
        <f t="shared" si="4"/>
        <v>--</v>
      </c>
      <c r="W34" s="902" t="s">
        <v>148</v>
      </c>
      <c r="X34" s="223">
        <f t="shared" si="10"/>
      </c>
      <c r="Y34" s="383">
        <f t="shared" si="11"/>
      </c>
      <c r="Z34" s="6"/>
    </row>
    <row r="35" spans="2:26" s="5" customFormat="1" ht="16.5" customHeight="1">
      <c r="B35" s="50"/>
      <c r="C35" s="276"/>
      <c r="D35" s="276"/>
      <c r="E35" s="276"/>
      <c r="F35" s="440"/>
      <c r="G35" s="378"/>
      <c r="H35" s="378"/>
      <c r="I35" s="441"/>
      <c r="J35" s="293">
        <f t="shared" si="5"/>
        <v>0</v>
      </c>
      <c r="K35" s="380"/>
      <c r="L35" s="185"/>
      <c r="M35" s="381">
        <f t="shared" si="6"/>
      </c>
      <c r="N35" s="382">
        <f t="shared" si="7"/>
      </c>
      <c r="O35" s="222"/>
      <c r="P35" s="518">
        <f t="shared" si="8"/>
      </c>
      <c r="Q35" s="223">
        <f t="shared" si="9"/>
      </c>
      <c r="R35" s="905">
        <f t="shared" si="0"/>
        <v>20</v>
      </c>
      <c r="S35" s="906" t="str">
        <f t="shared" si="1"/>
        <v>--</v>
      </c>
      <c r="T35" s="436" t="str">
        <f t="shared" si="2"/>
        <v>--</v>
      </c>
      <c r="U35" s="437" t="str">
        <f t="shared" si="3"/>
        <v>--</v>
      </c>
      <c r="V35" s="438" t="str">
        <f t="shared" si="4"/>
        <v>--</v>
      </c>
      <c r="W35" s="902" t="s">
        <v>148</v>
      </c>
      <c r="X35" s="223">
        <f t="shared" si="10"/>
      </c>
      <c r="Y35" s="383">
        <f t="shared" si="11"/>
      </c>
      <c r="Z35" s="6"/>
    </row>
    <row r="36" spans="2:26" s="5" customFormat="1" ht="16.5" customHeight="1">
      <c r="B36" s="50"/>
      <c r="C36" s="276"/>
      <c r="D36" s="276"/>
      <c r="E36" s="276"/>
      <c r="F36" s="440"/>
      <c r="G36" s="378"/>
      <c r="H36" s="378"/>
      <c r="I36" s="441"/>
      <c r="J36" s="293">
        <f t="shared" si="5"/>
        <v>0</v>
      </c>
      <c r="K36" s="380"/>
      <c r="L36" s="185"/>
      <c r="M36" s="381">
        <f t="shared" si="6"/>
      </c>
      <c r="N36" s="382">
        <f t="shared" si="7"/>
      </c>
      <c r="O36" s="222"/>
      <c r="P36" s="518">
        <f t="shared" si="8"/>
      </c>
      <c r="Q36" s="223">
        <f t="shared" si="9"/>
      </c>
      <c r="R36" s="905">
        <f t="shared" si="0"/>
        <v>20</v>
      </c>
      <c r="S36" s="906" t="str">
        <f t="shared" si="1"/>
        <v>--</v>
      </c>
      <c r="T36" s="436" t="str">
        <f t="shared" si="2"/>
        <v>--</v>
      </c>
      <c r="U36" s="437" t="str">
        <f t="shared" si="3"/>
        <v>--</v>
      </c>
      <c r="V36" s="438" t="str">
        <f t="shared" si="4"/>
        <v>--</v>
      </c>
      <c r="W36" s="902" t="s">
        <v>148</v>
      </c>
      <c r="X36" s="223">
        <f t="shared" si="10"/>
      </c>
      <c r="Y36" s="383">
        <f t="shared" si="11"/>
      </c>
      <c r="Z36" s="6"/>
    </row>
    <row r="37" spans="2:26" s="5" customFormat="1" ht="16.5" customHeight="1">
      <c r="B37" s="50"/>
      <c r="C37" s="276"/>
      <c r="D37" s="276"/>
      <c r="E37" s="276"/>
      <c r="F37" s="440"/>
      <c r="G37" s="378"/>
      <c r="H37" s="378"/>
      <c r="I37" s="441"/>
      <c r="J37" s="293">
        <f t="shared" si="5"/>
        <v>0</v>
      </c>
      <c r="K37" s="380"/>
      <c r="L37" s="185"/>
      <c r="M37" s="381">
        <f t="shared" si="6"/>
      </c>
      <c r="N37" s="382">
        <f t="shared" si="7"/>
      </c>
      <c r="O37" s="222"/>
      <c r="P37" s="518">
        <f t="shared" si="8"/>
      </c>
      <c r="Q37" s="223">
        <f t="shared" si="9"/>
      </c>
      <c r="R37" s="905">
        <f t="shared" si="0"/>
        <v>20</v>
      </c>
      <c r="S37" s="906" t="str">
        <f t="shared" si="1"/>
        <v>--</v>
      </c>
      <c r="T37" s="436" t="str">
        <f t="shared" si="2"/>
        <v>--</v>
      </c>
      <c r="U37" s="437" t="str">
        <f t="shared" si="3"/>
        <v>--</v>
      </c>
      <c r="V37" s="438" t="str">
        <f t="shared" si="4"/>
        <v>--</v>
      </c>
      <c r="W37" s="902" t="s">
        <v>148</v>
      </c>
      <c r="X37" s="223">
        <f t="shared" si="10"/>
      </c>
      <c r="Y37" s="383">
        <f t="shared" si="11"/>
      </c>
      <c r="Z37" s="6"/>
    </row>
    <row r="38" spans="2:26" s="5" customFormat="1" ht="16.5" customHeight="1">
      <c r="B38" s="50"/>
      <c r="C38" s="276"/>
      <c r="D38" s="276"/>
      <c r="E38" s="276"/>
      <c r="F38" s="440"/>
      <c r="G38" s="378"/>
      <c r="H38" s="378"/>
      <c r="I38" s="441"/>
      <c r="J38" s="293">
        <f t="shared" si="5"/>
        <v>0</v>
      </c>
      <c r="K38" s="380"/>
      <c r="L38" s="185"/>
      <c r="M38" s="381">
        <f t="shared" si="6"/>
      </c>
      <c r="N38" s="382">
        <f t="shared" si="7"/>
      </c>
      <c r="O38" s="222"/>
      <c r="P38" s="518">
        <f t="shared" si="8"/>
      </c>
      <c r="Q38" s="223">
        <f t="shared" si="9"/>
      </c>
      <c r="R38" s="905">
        <f t="shared" si="0"/>
        <v>20</v>
      </c>
      <c r="S38" s="906" t="str">
        <f t="shared" si="1"/>
        <v>--</v>
      </c>
      <c r="T38" s="436" t="str">
        <f t="shared" si="2"/>
        <v>--</v>
      </c>
      <c r="U38" s="437" t="str">
        <f t="shared" si="3"/>
        <v>--</v>
      </c>
      <c r="V38" s="438" t="str">
        <f t="shared" si="4"/>
        <v>--</v>
      </c>
      <c r="W38" s="902" t="s">
        <v>148</v>
      </c>
      <c r="X38" s="223">
        <f t="shared" si="10"/>
      </c>
      <c r="Y38" s="383">
        <f t="shared" si="11"/>
      </c>
      <c r="Z38" s="6"/>
    </row>
    <row r="39" spans="2:26" s="5" customFormat="1" ht="16.5" customHeight="1">
      <c r="B39" s="50"/>
      <c r="C39" s="276"/>
      <c r="D39" s="276"/>
      <c r="E39" s="276"/>
      <c r="F39" s="440"/>
      <c r="G39" s="378"/>
      <c r="H39" s="378"/>
      <c r="I39" s="441"/>
      <c r="J39" s="293">
        <f t="shared" si="5"/>
        <v>0</v>
      </c>
      <c r="K39" s="380"/>
      <c r="L39" s="185"/>
      <c r="M39" s="381">
        <f t="shared" si="6"/>
      </c>
      <c r="N39" s="382">
        <f t="shared" si="7"/>
      </c>
      <c r="O39" s="222"/>
      <c r="P39" s="518">
        <f t="shared" si="8"/>
      </c>
      <c r="Q39" s="223">
        <f t="shared" si="9"/>
      </c>
      <c r="R39" s="905">
        <f t="shared" si="0"/>
        <v>20</v>
      </c>
      <c r="S39" s="906" t="str">
        <f t="shared" si="1"/>
        <v>--</v>
      </c>
      <c r="T39" s="436" t="str">
        <f t="shared" si="2"/>
        <v>--</v>
      </c>
      <c r="U39" s="437" t="str">
        <f t="shared" si="3"/>
        <v>--</v>
      </c>
      <c r="V39" s="438" t="str">
        <f t="shared" si="4"/>
        <v>--</v>
      </c>
      <c r="W39" s="902" t="s">
        <v>148</v>
      </c>
      <c r="X39" s="223">
        <f t="shared" si="10"/>
      </c>
      <c r="Y39" s="383">
        <f t="shared" si="11"/>
      </c>
      <c r="Z39" s="6"/>
    </row>
    <row r="40" spans="2:26" s="5" customFormat="1" ht="16.5" customHeight="1" thickBot="1">
      <c r="B40" s="50"/>
      <c r="C40" s="907"/>
      <c r="D40" s="444"/>
      <c r="E40" s="444"/>
      <c r="F40" s="444"/>
      <c r="G40" s="444"/>
      <c r="H40" s="444"/>
      <c r="I40" s="444"/>
      <c r="J40" s="131"/>
      <c r="K40" s="384"/>
      <c r="L40" s="384"/>
      <c r="M40" s="385"/>
      <c r="N40" s="385"/>
      <c r="O40" s="384"/>
      <c r="P40" s="190"/>
      <c r="Q40" s="151"/>
      <c r="R40" s="445"/>
      <c r="S40" s="446"/>
      <c r="T40" s="447"/>
      <c r="U40" s="448"/>
      <c r="V40" s="449"/>
      <c r="W40" s="449"/>
      <c r="X40" s="151"/>
      <c r="Y40" s="450"/>
      <c r="Z40" s="6"/>
    </row>
    <row r="41" spans="2:26" s="5" customFormat="1" ht="16.5" customHeight="1" thickBot="1" thickTop="1">
      <c r="B41" s="50"/>
      <c r="C41" s="127" t="s">
        <v>25</v>
      </c>
      <c r="D41" s="910" t="s">
        <v>169</v>
      </c>
      <c r="I41" s="4"/>
      <c r="J41" s="4"/>
      <c r="K41" s="4"/>
      <c r="L41" s="4"/>
      <c r="M41" s="4"/>
      <c r="N41" s="4"/>
      <c r="O41" s="4"/>
      <c r="P41" s="4"/>
      <c r="Q41" s="4"/>
      <c r="R41" s="451">
        <f>SUM(S20:S40)</f>
        <v>3.7440964539599997</v>
      </c>
      <c r="S41" s="452">
        <f>SUM(T20:T40)</f>
        <v>0</v>
      </c>
      <c r="T41" s="453">
        <f>SUM(U20:U40)</f>
        <v>0</v>
      </c>
      <c r="U41" s="454">
        <f>SUM(V20:V40)</f>
        <v>0</v>
      </c>
      <c r="V41" s="454">
        <f>SUM(W20:W40)</f>
        <v>0</v>
      </c>
      <c r="Y41" s="100">
        <f>ROUND(SUM(Y20:Y40),2)</f>
        <v>3.74</v>
      </c>
      <c r="Z41" s="455"/>
    </row>
    <row r="42" spans="2:26" s="5" customFormat="1" ht="16.5" customHeight="1" thickTop="1">
      <c r="B42" s="50"/>
      <c r="C42" s="1037"/>
      <c r="D42" s="927"/>
      <c r="I42" s="4"/>
      <c r="J42" s="4"/>
      <c r="K42" s="4"/>
      <c r="L42" s="4"/>
      <c r="M42" s="4"/>
      <c r="N42" s="4"/>
      <c r="O42" s="4"/>
      <c r="P42" s="4"/>
      <c r="Q42" s="4"/>
      <c r="R42" s="923"/>
      <c r="S42" s="924"/>
      <c r="T42" s="924"/>
      <c r="U42" s="925"/>
      <c r="V42" s="925"/>
      <c r="Y42" s="926"/>
      <c r="Z42" s="6"/>
    </row>
    <row r="43" spans="2:26" s="5" customFormat="1" ht="16.5" customHeight="1">
      <c r="B43" s="50"/>
      <c r="C43" s="1037"/>
      <c r="D43" s="1036"/>
      <c r="I43" s="4"/>
      <c r="J43" s="4"/>
      <c r="K43" s="4"/>
      <c r="L43" s="4"/>
      <c r="M43" s="4"/>
      <c r="N43" s="4"/>
      <c r="O43" s="4"/>
      <c r="P43" s="4"/>
      <c r="Q43" s="4"/>
      <c r="R43" s="923"/>
      <c r="S43" s="924"/>
      <c r="T43" s="924"/>
      <c r="U43" s="925"/>
      <c r="V43" s="925"/>
      <c r="Y43" s="926"/>
      <c r="Z43" s="6"/>
    </row>
    <row r="44" spans="2:26" s="5" customFormat="1" ht="16.5" customHeight="1" thickBo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</row>
    <row r="45" spans="6:27" ht="16.5" customHeight="1" thickTop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6:27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6:27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  <row r="48" spans="6:27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</row>
    <row r="49" spans="6:27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</row>
    <row r="50" spans="6:27" ht="16.5" customHeight="1">
      <c r="F50" s="174"/>
      <c r="G50" s="174"/>
      <c r="H50" s="174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</row>
    <row r="51" spans="6:27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</row>
    <row r="52" spans="6:27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</row>
    <row r="53" spans="6:27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</row>
    <row r="54" spans="6:27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</row>
    <row r="55" spans="6:27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</row>
    <row r="56" spans="6:27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</row>
    <row r="57" spans="6:27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</row>
    <row r="58" spans="6:27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</row>
    <row r="59" spans="6:27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</row>
    <row r="60" spans="6:27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</row>
    <row r="61" spans="6:27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</row>
    <row r="62" spans="6:27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</row>
    <row r="63" spans="6:27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6:27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6:27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6:27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</row>
    <row r="67" spans="6:27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</row>
    <row r="68" spans="6:27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</row>
    <row r="69" spans="6:27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</row>
    <row r="70" spans="6:27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</row>
    <row r="71" spans="6:27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</row>
    <row r="72" spans="6:27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</row>
    <row r="73" spans="6:27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</row>
    <row r="74" spans="6:27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</row>
    <row r="75" spans="6:27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</row>
    <row r="76" spans="6:27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</row>
    <row r="77" spans="6:27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</row>
    <row r="78" spans="6:27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</row>
    <row r="79" spans="6:27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</row>
    <row r="80" spans="6:27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</row>
    <row r="81" spans="6:27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</row>
    <row r="82" spans="6:27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</row>
    <row r="83" spans="6:27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</row>
    <row r="84" spans="6:27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</row>
    <row r="85" spans="6:27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</row>
    <row r="86" spans="6:27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</row>
    <row r="87" spans="6:27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</row>
    <row r="88" spans="6:27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</row>
    <row r="89" spans="6:27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</row>
    <row r="90" spans="6:27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</row>
    <row r="91" spans="6:27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</row>
    <row r="92" spans="6:27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</row>
    <row r="93" spans="6:27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</row>
    <row r="94" spans="6:27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</row>
    <row r="95" spans="6:27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</row>
    <row r="96" spans="6:27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</row>
    <row r="97" spans="6:27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</row>
    <row r="98" spans="6:27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</row>
    <row r="99" spans="6:27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</row>
    <row r="100" spans="6:27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</row>
    <row r="101" spans="6:27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</row>
    <row r="102" spans="6:27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</row>
    <row r="103" spans="6:27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</row>
    <row r="104" spans="6:27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</row>
    <row r="105" spans="6:27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</row>
    <row r="106" spans="6:27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</row>
    <row r="107" spans="6:27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</row>
    <row r="108" spans="6:27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</row>
    <row r="109" spans="6:27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</row>
    <row r="110" spans="6:27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</row>
    <row r="111" spans="6:27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</row>
    <row r="112" spans="6:27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</row>
    <row r="113" spans="6:27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</row>
    <row r="114" spans="6:27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</row>
    <row r="115" spans="6:27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</row>
    <row r="116" spans="6:27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</row>
    <row r="117" spans="6:27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</row>
    <row r="118" spans="6:27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</row>
    <row r="119" spans="6:27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</row>
    <row r="120" spans="6:27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</row>
    <row r="121" spans="6:27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</row>
    <row r="122" spans="6:27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</row>
    <row r="123" spans="6:27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</row>
    <row r="124" spans="6:27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</row>
    <row r="125" spans="6:27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</row>
    <row r="126" spans="6:27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</row>
    <row r="127" spans="6:27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</row>
    <row r="128" spans="6:27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</row>
    <row r="129" spans="6:27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</row>
    <row r="130" spans="6:27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</row>
    <row r="131" spans="6:27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</row>
    <row r="132" spans="6:27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</row>
    <row r="133" spans="6:27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</row>
    <row r="134" spans="6:27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</row>
    <row r="135" spans="6:27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</row>
    <row r="136" spans="6:27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</row>
    <row r="137" spans="6:27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</row>
    <row r="138" spans="6:27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</row>
    <row r="139" spans="6:27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</row>
    <row r="140" spans="6:27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</row>
    <row r="141" spans="6:27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</row>
    <row r="142" spans="6:27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</row>
    <row r="143" spans="6:27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</row>
    <row r="144" spans="6:27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</row>
    <row r="145" spans="6:27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</row>
    <row r="146" spans="6:27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</row>
    <row r="147" spans="6:27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</row>
    <row r="148" spans="6:27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</row>
    <row r="149" spans="6:27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</row>
    <row r="150" spans="6:27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</row>
    <row r="151" spans="6:27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</row>
    <row r="152" spans="6:27" ht="16.5" customHeight="1">
      <c r="F152" s="172"/>
      <c r="G152" s="172"/>
      <c r="H152" s="172"/>
      <c r="Z152" s="172"/>
      <c r="AA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spans="6:8" ht="16.5" customHeight="1">
      <c r="F157" s="172"/>
      <c r="G157" s="172"/>
      <c r="H157" s="17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AC157"/>
  <sheetViews>
    <sheetView zoomScale="70" zoomScaleNormal="70" workbookViewId="0" topLeftCell="A13">
      <selection activeCell="H42" sqref="H4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6.8515625" style="0" hidden="1" customWidth="1"/>
    <col min="10" max="11" width="15.7109375" style="0" customWidth="1"/>
    <col min="12" max="14" width="9.7109375" style="0" customWidth="1"/>
    <col min="15" max="15" width="7.421875" style="0" customWidth="1"/>
    <col min="16" max="16" width="5.7109375" style="0" bestFit="1" customWidth="1"/>
    <col min="17" max="17" width="4.00390625" style="0" hidden="1" customWidth="1"/>
    <col min="18" max="18" width="12.8515625" style="0" hidden="1" customWidth="1"/>
    <col min="19" max="22" width="6.00390625" style="0" hidden="1" customWidth="1"/>
    <col min="23" max="23" width="11.7109375" style="0" hidden="1" customWidth="1"/>
    <col min="24" max="24" width="12.1406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4"/>
    </row>
    <row r="2" spans="1:27" s="18" customFormat="1" ht="26.25">
      <c r="A2" s="91"/>
      <c r="B2" s="397" t="str">
        <f>+'TOT-0110'!B2</f>
        <v>ANEXO II al Memorandum D.T.E.E. N°    679       / 2011           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1" t="s">
        <v>73</v>
      </c>
      <c r="G8" s="398"/>
      <c r="H8" s="168"/>
      <c r="I8" s="167"/>
      <c r="J8" s="167"/>
      <c r="K8" s="167"/>
      <c r="L8" s="167"/>
      <c r="M8" s="167"/>
      <c r="N8" s="167"/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399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74</v>
      </c>
      <c r="H10" s="400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77</v>
      </c>
      <c r="H12" s="400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'TOT-0110'!B14</f>
        <v>Desde el 01 al 31 de enero de 2010</v>
      </c>
      <c r="C14" s="40"/>
      <c r="D14" s="40"/>
      <c r="E14" s="401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1"/>
      <c r="S14" s="401"/>
      <c r="T14" s="401"/>
      <c r="U14" s="401"/>
      <c r="V14" s="401"/>
      <c r="W14" s="401"/>
      <c r="X14" s="401"/>
      <c r="Y14" s="401"/>
      <c r="Z14" s="401"/>
      <c r="AA14" s="403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65</v>
      </c>
      <c r="G16" s="404"/>
      <c r="H16" s="254">
        <v>0.319</v>
      </c>
      <c r="I16" s="352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05" t="s">
        <v>26</v>
      </c>
      <c r="G17" s="406"/>
      <c r="H17" s="825">
        <v>20</v>
      </c>
      <c r="I17" s="352"/>
      <c r="J17"/>
      <c r="K17" s="201"/>
      <c r="L17" s="202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919">
        <v>23</v>
      </c>
      <c r="X18" s="919">
        <v>24</v>
      </c>
      <c r="Y18" s="919">
        <v>25</v>
      </c>
      <c r="Z18" s="919">
        <v>26</v>
      </c>
      <c r="AA18" s="6"/>
    </row>
    <row r="19" spans="2:27" s="5" customFormat="1" ht="33.75" customHeight="1" thickBot="1" thickTop="1">
      <c r="B19" s="50"/>
      <c r="C19" s="123" t="s">
        <v>13</v>
      </c>
      <c r="D19" s="84" t="s">
        <v>171</v>
      </c>
      <c r="E19" s="84" t="s">
        <v>172</v>
      </c>
      <c r="F19" s="86" t="s">
        <v>27</v>
      </c>
      <c r="G19" s="85" t="s">
        <v>28</v>
      </c>
      <c r="H19" s="408" t="s">
        <v>170</v>
      </c>
      <c r="I19" s="129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46</v>
      </c>
      <c r="P19" s="85" t="s">
        <v>32</v>
      </c>
      <c r="Q19" s="129" t="s">
        <v>37</v>
      </c>
      <c r="R19" s="409" t="s">
        <v>59</v>
      </c>
      <c r="S19" s="410" t="s">
        <v>165</v>
      </c>
      <c r="T19" s="411"/>
      <c r="U19" s="258" t="s">
        <v>166</v>
      </c>
      <c r="V19" s="259"/>
      <c r="W19" s="412" t="s">
        <v>22</v>
      </c>
      <c r="X19" s="257" t="s">
        <v>21</v>
      </c>
      <c r="Y19" s="132" t="s">
        <v>63</v>
      </c>
      <c r="Z19" s="413" t="s">
        <v>24</v>
      </c>
      <c r="AA19" s="6"/>
    </row>
    <row r="20" spans="2:27" s="5" customFormat="1" ht="16.5" customHeight="1" thickTop="1">
      <c r="B20" s="50"/>
      <c r="C20" s="262"/>
      <c r="D20" s="262"/>
      <c r="E20" s="262"/>
      <c r="F20" s="415"/>
      <c r="G20" s="415"/>
      <c r="H20" s="415"/>
      <c r="I20" s="333"/>
      <c r="J20" s="416"/>
      <c r="K20" s="416"/>
      <c r="L20" s="414"/>
      <c r="M20" s="414"/>
      <c r="N20" s="415"/>
      <c r="O20" s="180"/>
      <c r="P20" s="414"/>
      <c r="Q20" s="417"/>
      <c r="R20" s="418"/>
      <c r="S20" s="419"/>
      <c r="T20" s="420"/>
      <c r="U20" s="271"/>
      <c r="V20" s="272"/>
      <c r="W20" s="421"/>
      <c r="X20" s="421"/>
      <c r="Y20" s="422"/>
      <c r="Z20" s="423"/>
      <c r="AA20" s="6"/>
    </row>
    <row r="21" spans="2:27" s="5" customFormat="1" ht="16.5" customHeight="1">
      <c r="B21" s="50"/>
      <c r="C21" s="276"/>
      <c r="D21" s="276"/>
      <c r="E21" s="276"/>
      <c r="F21" s="424"/>
      <c r="G21" s="425"/>
      <c r="H21" s="426"/>
      <c r="I21" s="427"/>
      <c r="J21" s="428"/>
      <c r="K21" s="429"/>
      <c r="L21" s="430"/>
      <c r="M21" s="431"/>
      <c r="N21" s="432"/>
      <c r="O21" s="181"/>
      <c r="P21" s="433"/>
      <c r="Q21" s="434"/>
      <c r="R21" s="435"/>
      <c r="S21" s="436"/>
      <c r="T21" s="437"/>
      <c r="U21" s="285"/>
      <c r="V21" s="286"/>
      <c r="W21" s="438"/>
      <c r="X21" s="438"/>
      <c r="Y21" s="433"/>
      <c r="Z21" s="439"/>
      <c r="AA21" s="6"/>
    </row>
    <row r="22" spans="2:27" s="5" customFormat="1" ht="16.5" customHeight="1">
      <c r="B22" s="50"/>
      <c r="C22" s="276">
        <v>89</v>
      </c>
      <c r="D22" s="276">
        <v>217774</v>
      </c>
      <c r="E22" s="152">
        <v>668</v>
      </c>
      <c r="F22" s="952" t="s">
        <v>215</v>
      </c>
      <c r="G22" s="953" t="s">
        <v>261</v>
      </c>
      <c r="H22" s="146">
        <v>80</v>
      </c>
      <c r="I22" s="293">
        <f aca="true" t="shared" si="0" ref="I22:I32">H22*$H$16</f>
        <v>25.52</v>
      </c>
      <c r="J22" s="380">
        <v>40206.302083333336</v>
      </c>
      <c r="K22" s="185">
        <v>40206.72777777778</v>
      </c>
      <c r="L22" s="381">
        <f aca="true" t="shared" si="1" ref="L22:L27">IF(F22="","",(K22-J22)*24)</f>
        <v>10.21666666661622</v>
      </c>
      <c r="M22" s="382">
        <f aca="true" t="shared" si="2" ref="M22:M27">IF(F22="","",ROUND((K22-J22)*24*60,0))</f>
        <v>613</v>
      </c>
      <c r="N22" s="222" t="s">
        <v>191</v>
      </c>
      <c r="O22" s="518"/>
      <c r="P22" s="223" t="str">
        <f aca="true" t="shared" si="3" ref="P22:P27">IF(F22="","",IF(OR(N22="P",N22="RP"),"--","NO"))</f>
        <v>--</v>
      </c>
      <c r="Q22" s="905">
        <f aca="true" t="shared" si="4" ref="Q22:Q31">IF(OR(N22="P",N22="RP"),$H$17/10,$H$17)</f>
        <v>2</v>
      </c>
      <c r="R22" s="906">
        <f aca="true" t="shared" si="5" ref="R22:R31">IF(N22="P",I22*Q22*ROUND(M22/60,2),"--")</f>
        <v>521.6288000000001</v>
      </c>
      <c r="S22" s="436" t="str">
        <f aca="true" t="shared" si="6" ref="S22:S31">IF(AND(N22="F",P22="NO"),I22*Q22,"--")</f>
        <v>--</v>
      </c>
      <c r="T22" s="437" t="str">
        <f aca="true" t="shared" si="7" ref="T22:T31">IF(N22="F",I22*Q22*ROUND(M22/60,2),"--")</f>
        <v>--</v>
      </c>
      <c r="U22" s="300" t="str">
        <f aca="true" t="shared" si="8" ref="U22:U31">IF(AND(N22="R",P22="NO"),I22*Q22*O22/100,"--")</f>
        <v>--</v>
      </c>
      <c r="V22" s="301" t="str">
        <f aca="true" t="shared" si="9" ref="V22:V31">IF(N22="R",I22*Q22*O22/100*ROUND(M22/60,2),"--")</f>
        <v>--</v>
      </c>
      <c r="W22" s="438" t="str">
        <f aca="true" t="shared" si="10" ref="W22:W31">IF(N22="RF",I22*Q22*ROUND(M22/60,2),"--")</f>
        <v>--</v>
      </c>
      <c r="X22" s="902" t="str">
        <f aca="true" t="shared" si="11" ref="X22:X31">IF(N22="RP",I22*Q22*O22/100*ROUND(M22/60,2),"--")</f>
        <v>--</v>
      </c>
      <c r="Y22" s="223" t="s">
        <v>148</v>
      </c>
      <c r="Z22" s="383">
        <f aca="true" t="shared" si="12" ref="Z22:Z31">IF(F22="","",SUM(R22:X22)*IF(Y22="SI",1,2)*IF(AND(O22&lt;&gt;"--",N22="RF"),O22/100,1))</f>
        <v>521.6288000000001</v>
      </c>
      <c r="AA22" s="6"/>
    </row>
    <row r="23" spans="2:27" s="5" customFormat="1" ht="16.5" customHeight="1">
      <c r="B23" s="50"/>
      <c r="C23" s="276">
        <v>90</v>
      </c>
      <c r="D23" s="276">
        <v>217780</v>
      </c>
      <c r="E23" s="276">
        <v>668</v>
      </c>
      <c r="F23" s="952" t="s">
        <v>215</v>
      </c>
      <c r="G23" s="953" t="s">
        <v>261</v>
      </c>
      <c r="H23" s="146">
        <v>80</v>
      </c>
      <c r="I23" s="293">
        <f t="shared" si="0"/>
        <v>25.52</v>
      </c>
      <c r="J23" s="380">
        <v>40207.32638888889</v>
      </c>
      <c r="K23" s="185">
        <v>40207.70138888889</v>
      </c>
      <c r="L23" s="381">
        <f t="shared" si="1"/>
        <v>9</v>
      </c>
      <c r="M23" s="382">
        <f t="shared" si="2"/>
        <v>540</v>
      </c>
      <c r="N23" s="222" t="s">
        <v>191</v>
      </c>
      <c r="O23" s="518"/>
      <c r="P23" s="223" t="str">
        <f t="shared" si="3"/>
        <v>--</v>
      </c>
      <c r="Q23" s="905">
        <f t="shared" si="4"/>
        <v>2</v>
      </c>
      <c r="R23" s="906">
        <f t="shared" si="5"/>
        <v>459.36</v>
      </c>
      <c r="S23" s="436" t="str">
        <f t="shared" si="6"/>
        <v>--</v>
      </c>
      <c r="T23" s="437" t="str">
        <f t="shared" si="7"/>
        <v>--</v>
      </c>
      <c r="U23" s="300" t="str">
        <f t="shared" si="8"/>
        <v>--</v>
      </c>
      <c r="V23" s="301" t="str">
        <f t="shared" si="9"/>
        <v>--</v>
      </c>
      <c r="W23" s="438" t="str">
        <f t="shared" si="10"/>
        <v>--</v>
      </c>
      <c r="X23" s="902" t="str">
        <f t="shared" si="11"/>
        <v>--</v>
      </c>
      <c r="Y23" s="223" t="s">
        <v>148</v>
      </c>
      <c r="Z23" s="383">
        <f t="shared" si="12"/>
        <v>459.36</v>
      </c>
      <c r="AA23" s="443"/>
    </row>
    <row r="24" spans="2:27" s="5" customFormat="1" ht="16.5" customHeight="1">
      <c r="B24" s="50"/>
      <c r="C24" s="276"/>
      <c r="D24" s="276"/>
      <c r="E24" s="152"/>
      <c r="F24" s="440"/>
      <c r="G24" s="378"/>
      <c r="H24" s="441"/>
      <c r="I24" s="293">
        <f t="shared" si="0"/>
        <v>0</v>
      </c>
      <c r="J24" s="380"/>
      <c r="K24" s="185"/>
      <c r="L24" s="381">
        <f t="shared" si="1"/>
      </c>
      <c r="M24" s="382">
        <f t="shared" si="2"/>
      </c>
      <c r="N24" s="222"/>
      <c r="O24" s="518"/>
      <c r="P24" s="223">
        <f t="shared" si="3"/>
      </c>
      <c r="Q24" s="905">
        <f t="shared" si="4"/>
        <v>20</v>
      </c>
      <c r="R24" s="906" t="str">
        <f t="shared" si="5"/>
        <v>--</v>
      </c>
      <c r="S24" s="436" t="str">
        <f t="shared" si="6"/>
        <v>--</v>
      </c>
      <c r="T24" s="437" t="str">
        <f t="shared" si="7"/>
        <v>--</v>
      </c>
      <c r="U24" s="300" t="str">
        <f t="shared" si="8"/>
        <v>--</v>
      </c>
      <c r="V24" s="301" t="str">
        <f t="shared" si="9"/>
        <v>--</v>
      </c>
      <c r="W24" s="438" t="str">
        <f t="shared" si="10"/>
        <v>--</v>
      </c>
      <c r="X24" s="902" t="str">
        <f t="shared" si="11"/>
        <v>--</v>
      </c>
      <c r="Y24" s="223"/>
      <c r="Z24" s="383">
        <f t="shared" si="12"/>
      </c>
      <c r="AA24" s="443"/>
    </row>
    <row r="25" spans="2:27" s="5" customFormat="1" ht="16.5" customHeight="1">
      <c r="B25" s="50"/>
      <c r="C25" s="276"/>
      <c r="D25" s="276"/>
      <c r="E25" s="276"/>
      <c r="F25" s="440"/>
      <c r="G25" s="378"/>
      <c r="H25" s="441"/>
      <c r="I25" s="293">
        <f t="shared" si="0"/>
        <v>0</v>
      </c>
      <c r="J25" s="380"/>
      <c r="K25" s="185"/>
      <c r="L25" s="381">
        <f t="shared" si="1"/>
      </c>
      <c r="M25" s="382">
        <f t="shared" si="2"/>
      </c>
      <c r="N25" s="222"/>
      <c r="O25" s="518"/>
      <c r="P25" s="223">
        <f t="shared" si="3"/>
      </c>
      <c r="Q25" s="905">
        <f t="shared" si="4"/>
        <v>20</v>
      </c>
      <c r="R25" s="906" t="str">
        <f t="shared" si="5"/>
        <v>--</v>
      </c>
      <c r="S25" s="436" t="str">
        <f t="shared" si="6"/>
        <v>--</v>
      </c>
      <c r="T25" s="437" t="str">
        <f t="shared" si="7"/>
        <v>--</v>
      </c>
      <c r="U25" s="300" t="str">
        <f t="shared" si="8"/>
        <v>--</v>
      </c>
      <c r="V25" s="301" t="str">
        <f t="shared" si="9"/>
        <v>--</v>
      </c>
      <c r="W25" s="438" t="str">
        <f t="shared" si="10"/>
        <v>--</v>
      </c>
      <c r="X25" s="902" t="str">
        <f t="shared" si="11"/>
        <v>--</v>
      </c>
      <c r="Y25" s="223"/>
      <c r="Z25" s="383">
        <f t="shared" si="12"/>
      </c>
      <c r="AA25" s="443"/>
    </row>
    <row r="26" spans="2:27" s="5" customFormat="1" ht="16.5" customHeight="1">
      <c r="B26" s="50"/>
      <c r="C26" s="276"/>
      <c r="D26" s="276"/>
      <c r="E26" s="152"/>
      <c r="F26" s="440"/>
      <c r="G26" s="378"/>
      <c r="H26" s="441"/>
      <c r="I26" s="293">
        <f t="shared" si="0"/>
        <v>0</v>
      </c>
      <c r="J26" s="380"/>
      <c r="K26" s="185"/>
      <c r="L26" s="381">
        <f t="shared" si="1"/>
      </c>
      <c r="M26" s="382">
        <f t="shared" si="2"/>
      </c>
      <c r="N26" s="222"/>
      <c r="O26" s="518"/>
      <c r="P26" s="223">
        <f t="shared" si="3"/>
      </c>
      <c r="Q26" s="905">
        <f t="shared" si="4"/>
        <v>20</v>
      </c>
      <c r="R26" s="906" t="str">
        <f t="shared" si="5"/>
        <v>--</v>
      </c>
      <c r="S26" s="436" t="str">
        <f t="shared" si="6"/>
        <v>--</v>
      </c>
      <c r="T26" s="437" t="str">
        <f t="shared" si="7"/>
        <v>--</v>
      </c>
      <c r="U26" s="300" t="str">
        <f t="shared" si="8"/>
        <v>--</v>
      </c>
      <c r="V26" s="301" t="str">
        <f t="shared" si="9"/>
        <v>--</v>
      </c>
      <c r="W26" s="438" t="str">
        <f t="shared" si="10"/>
        <v>--</v>
      </c>
      <c r="X26" s="902" t="str">
        <f t="shared" si="11"/>
        <v>--</v>
      </c>
      <c r="Y26" s="223"/>
      <c r="Z26" s="383">
        <f t="shared" si="12"/>
      </c>
      <c r="AA26" s="443"/>
    </row>
    <row r="27" spans="2:27" s="5" customFormat="1" ht="16.5" customHeight="1">
      <c r="B27" s="50"/>
      <c r="C27" s="276"/>
      <c r="D27" s="276"/>
      <c r="E27" s="276"/>
      <c r="F27" s="440"/>
      <c r="G27" s="378"/>
      <c r="H27" s="441"/>
      <c r="I27" s="293">
        <f t="shared" si="0"/>
        <v>0</v>
      </c>
      <c r="J27" s="380"/>
      <c r="K27" s="185"/>
      <c r="L27" s="381">
        <f t="shared" si="1"/>
      </c>
      <c r="M27" s="382">
        <f t="shared" si="2"/>
      </c>
      <c r="N27" s="222"/>
      <c r="O27" s="518"/>
      <c r="P27" s="223">
        <f t="shared" si="3"/>
      </c>
      <c r="Q27" s="905">
        <f t="shared" si="4"/>
        <v>20</v>
      </c>
      <c r="R27" s="906" t="str">
        <f t="shared" si="5"/>
        <v>--</v>
      </c>
      <c r="S27" s="436" t="str">
        <f t="shared" si="6"/>
        <v>--</v>
      </c>
      <c r="T27" s="437" t="str">
        <f t="shared" si="7"/>
        <v>--</v>
      </c>
      <c r="U27" s="300" t="str">
        <f t="shared" si="8"/>
        <v>--</v>
      </c>
      <c r="V27" s="301" t="str">
        <f t="shared" si="9"/>
        <v>--</v>
      </c>
      <c r="W27" s="438" t="str">
        <f t="shared" si="10"/>
        <v>--</v>
      </c>
      <c r="X27" s="902" t="str">
        <f t="shared" si="11"/>
        <v>--</v>
      </c>
      <c r="Y27" s="223"/>
      <c r="Z27" s="383">
        <f t="shared" si="12"/>
      </c>
      <c r="AA27" s="6"/>
    </row>
    <row r="28" spans="2:27" s="5" customFormat="1" ht="16.5" customHeight="1">
      <c r="B28" s="50"/>
      <c r="C28" s="276"/>
      <c r="D28" s="276"/>
      <c r="E28" s="10"/>
      <c r="F28" s="440"/>
      <c r="G28" s="378"/>
      <c r="H28" s="441"/>
      <c r="I28" s="293">
        <f t="shared" si="0"/>
        <v>0</v>
      </c>
      <c r="J28" s="380"/>
      <c r="K28" s="185"/>
      <c r="L28" s="381"/>
      <c r="M28" s="382"/>
      <c r="N28" s="222"/>
      <c r="O28" s="518"/>
      <c r="P28" s="223"/>
      <c r="Q28" s="905">
        <f t="shared" si="4"/>
        <v>20</v>
      </c>
      <c r="R28" s="906" t="str">
        <f t="shared" si="5"/>
        <v>--</v>
      </c>
      <c r="S28" s="436" t="str">
        <f t="shared" si="6"/>
        <v>--</v>
      </c>
      <c r="T28" s="437" t="str">
        <f t="shared" si="7"/>
        <v>--</v>
      </c>
      <c r="U28" s="300" t="str">
        <f t="shared" si="8"/>
        <v>--</v>
      </c>
      <c r="V28" s="301" t="str">
        <f t="shared" si="9"/>
        <v>--</v>
      </c>
      <c r="W28" s="438" t="str">
        <f t="shared" si="10"/>
        <v>--</v>
      </c>
      <c r="X28" s="902" t="str">
        <f t="shared" si="11"/>
        <v>--</v>
      </c>
      <c r="Y28" s="223">
        <f>IF(F28="","","SI")</f>
      </c>
      <c r="Z28" s="383">
        <f t="shared" si="12"/>
      </c>
      <c r="AA28" s="6"/>
    </row>
    <row r="29" spans="2:27" s="5" customFormat="1" ht="16.5" customHeight="1">
      <c r="B29" s="50"/>
      <c r="C29" s="276"/>
      <c r="D29" s="276"/>
      <c r="E29" s="10"/>
      <c r="F29" s="440"/>
      <c r="G29" s="378"/>
      <c r="H29" s="441"/>
      <c r="I29" s="293">
        <f t="shared" si="0"/>
        <v>0</v>
      </c>
      <c r="J29" s="380"/>
      <c r="K29" s="185"/>
      <c r="L29" s="381"/>
      <c r="M29" s="382"/>
      <c r="N29" s="222"/>
      <c r="O29" s="518"/>
      <c r="P29" s="223"/>
      <c r="Q29" s="905">
        <f t="shared" si="4"/>
        <v>20</v>
      </c>
      <c r="R29" s="906" t="str">
        <f t="shared" si="5"/>
        <v>--</v>
      </c>
      <c r="S29" s="436" t="str">
        <f t="shared" si="6"/>
        <v>--</v>
      </c>
      <c r="T29" s="437" t="str">
        <f t="shared" si="7"/>
        <v>--</v>
      </c>
      <c r="U29" s="300" t="str">
        <f t="shared" si="8"/>
        <v>--</v>
      </c>
      <c r="V29" s="301" t="str">
        <f t="shared" si="9"/>
        <v>--</v>
      </c>
      <c r="W29" s="438" t="str">
        <f t="shared" si="10"/>
        <v>--</v>
      </c>
      <c r="X29" s="902" t="str">
        <f t="shared" si="11"/>
        <v>--</v>
      </c>
      <c r="Y29" s="223">
        <f>IF(F29="","","SI")</f>
      </c>
      <c r="Z29" s="383">
        <f t="shared" si="12"/>
      </c>
      <c r="AA29" s="6"/>
    </row>
    <row r="30" spans="2:27" s="5" customFormat="1" ht="16.5" customHeight="1">
      <c r="B30" s="50"/>
      <c r="C30" s="276"/>
      <c r="D30" s="276"/>
      <c r="E30" s="10"/>
      <c r="F30" s="440"/>
      <c r="G30" s="378"/>
      <c r="H30" s="441"/>
      <c r="I30" s="293">
        <f t="shared" si="0"/>
        <v>0</v>
      </c>
      <c r="J30" s="380"/>
      <c r="K30" s="185"/>
      <c r="L30" s="381"/>
      <c r="M30" s="382"/>
      <c r="N30" s="222"/>
      <c r="O30" s="518"/>
      <c r="P30" s="223"/>
      <c r="Q30" s="905">
        <f t="shared" si="4"/>
        <v>20</v>
      </c>
      <c r="R30" s="906" t="str">
        <f t="shared" si="5"/>
        <v>--</v>
      </c>
      <c r="S30" s="436" t="str">
        <f t="shared" si="6"/>
        <v>--</v>
      </c>
      <c r="T30" s="437" t="str">
        <f t="shared" si="7"/>
        <v>--</v>
      </c>
      <c r="U30" s="300" t="str">
        <f t="shared" si="8"/>
        <v>--</v>
      </c>
      <c r="V30" s="301" t="str">
        <f t="shared" si="9"/>
        <v>--</v>
      </c>
      <c r="W30" s="438" t="str">
        <f t="shared" si="10"/>
        <v>--</v>
      </c>
      <c r="X30" s="902" t="str">
        <f t="shared" si="11"/>
        <v>--</v>
      </c>
      <c r="Y30" s="223">
        <f>IF(F30="","","SI")</f>
      </c>
      <c r="Z30" s="383">
        <f t="shared" si="12"/>
      </c>
      <c r="AA30" s="6"/>
    </row>
    <row r="31" spans="2:27" s="5" customFormat="1" ht="16.5" customHeight="1">
      <c r="B31" s="50"/>
      <c r="C31" s="276"/>
      <c r="D31" s="276"/>
      <c r="E31" s="10"/>
      <c r="F31" s="440"/>
      <c r="G31" s="378"/>
      <c r="H31" s="441"/>
      <c r="I31" s="293">
        <f t="shared" si="0"/>
        <v>0</v>
      </c>
      <c r="J31" s="380"/>
      <c r="K31" s="185"/>
      <c r="L31" s="381"/>
      <c r="M31" s="382"/>
      <c r="N31" s="222"/>
      <c r="O31" s="518"/>
      <c r="P31" s="223"/>
      <c r="Q31" s="905">
        <f t="shared" si="4"/>
        <v>20</v>
      </c>
      <c r="R31" s="906" t="str">
        <f t="shared" si="5"/>
        <v>--</v>
      </c>
      <c r="S31" s="436" t="str">
        <f t="shared" si="6"/>
        <v>--</v>
      </c>
      <c r="T31" s="437" t="str">
        <f t="shared" si="7"/>
        <v>--</v>
      </c>
      <c r="U31" s="300" t="str">
        <f t="shared" si="8"/>
        <v>--</v>
      </c>
      <c r="V31" s="301" t="str">
        <f t="shared" si="9"/>
        <v>--</v>
      </c>
      <c r="W31" s="438" t="str">
        <f t="shared" si="10"/>
        <v>--</v>
      </c>
      <c r="X31" s="902" t="str">
        <f t="shared" si="11"/>
        <v>--</v>
      </c>
      <c r="Y31" s="223">
        <f>IF(F31="","","SI")</f>
      </c>
      <c r="Z31" s="383">
        <f t="shared" si="12"/>
      </c>
      <c r="AA31" s="6"/>
    </row>
    <row r="32" spans="2:27" s="5" customFormat="1" ht="16.5" customHeight="1">
      <c r="B32" s="50"/>
      <c r="C32" s="276"/>
      <c r="D32" s="276"/>
      <c r="E32" s="152"/>
      <c r="F32" s="440"/>
      <c r="G32" s="378"/>
      <c r="H32" s="441"/>
      <c r="I32" s="293">
        <f t="shared" si="0"/>
        <v>0</v>
      </c>
      <c r="J32" s="380"/>
      <c r="K32" s="185"/>
      <c r="L32" s="381">
        <f aca="true" t="shared" si="13" ref="L32:L41">IF(F32="","",(K32-J32)*24)</f>
      </c>
      <c r="M32" s="382">
        <f aca="true" t="shared" si="14" ref="M32:M41">IF(F32="","",ROUND((K32-J32)*24*60,0))</f>
      </c>
      <c r="N32" s="222"/>
      <c r="O32" s="518">
        <f aca="true" t="shared" si="15" ref="O32:O41">IF(F32="","","--")</f>
      </c>
      <c r="P32" s="223">
        <f aca="true" t="shared" si="16" ref="P32:P41">IF(F32="","",IF(OR(N32="P",N32="RP"),"--","NO"))</f>
      </c>
      <c r="Q32" s="905">
        <f aca="true" t="shared" si="17" ref="Q32:Q41">IF(OR(N32="P",N32="RP"),$H$17/10,$H$17)</f>
        <v>20</v>
      </c>
      <c r="R32" s="906" t="str">
        <f aca="true" t="shared" si="18" ref="R32:R41">IF(N32="P",I32*Q32*ROUND(M32/60,2),"--")</f>
        <v>--</v>
      </c>
      <c r="S32" s="436" t="str">
        <f aca="true" t="shared" si="19" ref="S32:S41">IF(AND(N32="F",P32="NO"),I32*Q32,"--")</f>
        <v>--</v>
      </c>
      <c r="T32" s="437" t="str">
        <f aca="true" t="shared" si="20" ref="T32:T41">IF(N32="F",I32*Q32*ROUND(M32/60,2),"--")</f>
        <v>--</v>
      </c>
      <c r="U32" s="300" t="str">
        <f aca="true" t="shared" si="21" ref="U32:U41">IF(AND(N32="R",P32="NO"),I32*Q32*O32/100,"--")</f>
        <v>--</v>
      </c>
      <c r="V32" s="301" t="str">
        <f aca="true" t="shared" si="22" ref="V32:V41">IF(N32="R",I32*Q32*O32/100*ROUND(M32/60,2),"--")</f>
        <v>--</v>
      </c>
      <c r="W32" s="438" t="str">
        <f aca="true" t="shared" si="23" ref="W32:W41">IF(N32="RF",I32*Q32*ROUND(M32/60,2),"--")</f>
        <v>--</v>
      </c>
      <c r="X32" s="902" t="str">
        <f aca="true" t="shared" si="24" ref="X32:X41">IF(N32="RP",I32*Q32*O32/100*ROUND(M32/60,2),"--")</f>
        <v>--</v>
      </c>
      <c r="Y32" s="223">
        <f aca="true" t="shared" si="25" ref="Y32:Y41">IF(F32="","","SI")</f>
      </c>
      <c r="Z32" s="383">
        <f aca="true" t="shared" si="26" ref="Z32:Z41">IF(F32="","",SUM(R32:X32)*IF(Y32="SI",1,2)*IF(AND(O32&lt;&gt;"--",N32="RF"),O32/100,1))</f>
      </c>
      <c r="AA32" s="6"/>
    </row>
    <row r="33" spans="2:27" s="5" customFormat="1" ht="16.5" customHeight="1">
      <c r="B33" s="50"/>
      <c r="C33" s="276"/>
      <c r="D33" s="276"/>
      <c r="E33" s="276"/>
      <c r="F33" s="440"/>
      <c r="G33" s="378"/>
      <c r="H33" s="441"/>
      <c r="I33" s="293">
        <f aca="true" t="shared" si="27" ref="I33:I41">H33*$H$16</f>
        <v>0</v>
      </c>
      <c r="J33" s="380"/>
      <c r="K33" s="185"/>
      <c r="L33" s="381">
        <f t="shared" si="13"/>
      </c>
      <c r="M33" s="382">
        <f t="shared" si="14"/>
      </c>
      <c r="N33" s="222"/>
      <c r="O33" s="518">
        <f t="shared" si="15"/>
      </c>
      <c r="P33" s="223">
        <f t="shared" si="16"/>
      </c>
      <c r="Q33" s="905">
        <f t="shared" si="17"/>
        <v>20</v>
      </c>
      <c r="R33" s="906" t="str">
        <f t="shared" si="18"/>
        <v>--</v>
      </c>
      <c r="S33" s="436" t="str">
        <f t="shared" si="19"/>
        <v>--</v>
      </c>
      <c r="T33" s="437" t="str">
        <f t="shared" si="20"/>
        <v>--</v>
      </c>
      <c r="U33" s="300" t="str">
        <f t="shared" si="21"/>
        <v>--</v>
      </c>
      <c r="V33" s="301" t="str">
        <f t="shared" si="22"/>
        <v>--</v>
      </c>
      <c r="W33" s="438" t="str">
        <f t="shared" si="23"/>
        <v>--</v>
      </c>
      <c r="X33" s="902" t="str">
        <f t="shared" si="24"/>
        <v>--</v>
      </c>
      <c r="Y33" s="223">
        <f t="shared" si="25"/>
      </c>
      <c r="Z33" s="383">
        <f t="shared" si="26"/>
      </c>
      <c r="AA33" s="6"/>
    </row>
    <row r="34" spans="2:27" s="5" customFormat="1" ht="16.5" customHeight="1">
      <c r="B34" s="50"/>
      <c r="C34" s="276"/>
      <c r="D34" s="276"/>
      <c r="E34" s="152"/>
      <c r="F34" s="440"/>
      <c r="G34" s="378"/>
      <c r="H34" s="441"/>
      <c r="I34" s="293">
        <f t="shared" si="27"/>
        <v>0</v>
      </c>
      <c r="J34" s="380"/>
      <c r="K34" s="185"/>
      <c r="L34" s="381">
        <f t="shared" si="13"/>
      </c>
      <c r="M34" s="382">
        <f t="shared" si="14"/>
      </c>
      <c r="N34" s="222"/>
      <c r="O34" s="518">
        <f t="shared" si="15"/>
      </c>
      <c r="P34" s="223">
        <f t="shared" si="16"/>
      </c>
      <c r="Q34" s="905">
        <f t="shared" si="17"/>
        <v>20</v>
      </c>
      <c r="R34" s="906" t="str">
        <f t="shared" si="18"/>
        <v>--</v>
      </c>
      <c r="S34" s="436" t="str">
        <f t="shared" si="19"/>
        <v>--</v>
      </c>
      <c r="T34" s="437" t="str">
        <f t="shared" si="20"/>
        <v>--</v>
      </c>
      <c r="U34" s="300" t="str">
        <f t="shared" si="21"/>
        <v>--</v>
      </c>
      <c r="V34" s="301" t="str">
        <f t="shared" si="22"/>
        <v>--</v>
      </c>
      <c r="W34" s="438" t="str">
        <f t="shared" si="23"/>
        <v>--</v>
      </c>
      <c r="X34" s="902" t="str">
        <f t="shared" si="24"/>
        <v>--</v>
      </c>
      <c r="Y34" s="223">
        <f t="shared" si="25"/>
      </c>
      <c r="Z34" s="383">
        <f t="shared" si="26"/>
      </c>
      <c r="AA34" s="6"/>
    </row>
    <row r="35" spans="2:27" s="5" customFormat="1" ht="16.5" customHeight="1">
      <c r="B35" s="50"/>
      <c r="C35" s="276"/>
      <c r="D35" s="276"/>
      <c r="E35" s="276"/>
      <c r="F35" s="440"/>
      <c r="G35" s="378"/>
      <c r="H35" s="441"/>
      <c r="I35" s="293">
        <f t="shared" si="27"/>
        <v>0</v>
      </c>
      <c r="J35" s="380"/>
      <c r="K35" s="185"/>
      <c r="L35" s="381">
        <f t="shared" si="13"/>
      </c>
      <c r="M35" s="382">
        <f t="shared" si="14"/>
      </c>
      <c r="N35" s="222"/>
      <c r="O35" s="518">
        <f t="shared" si="15"/>
      </c>
      <c r="P35" s="223">
        <f t="shared" si="16"/>
      </c>
      <c r="Q35" s="905">
        <f t="shared" si="17"/>
        <v>20</v>
      </c>
      <c r="R35" s="906" t="str">
        <f t="shared" si="18"/>
        <v>--</v>
      </c>
      <c r="S35" s="436" t="str">
        <f t="shared" si="19"/>
        <v>--</v>
      </c>
      <c r="T35" s="437" t="str">
        <f t="shared" si="20"/>
        <v>--</v>
      </c>
      <c r="U35" s="300" t="str">
        <f t="shared" si="21"/>
        <v>--</v>
      </c>
      <c r="V35" s="301" t="str">
        <f t="shared" si="22"/>
        <v>--</v>
      </c>
      <c r="W35" s="438" t="str">
        <f t="shared" si="23"/>
        <v>--</v>
      </c>
      <c r="X35" s="902" t="str">
        <f t="shared" si="24"/>
        <v>--</v>
      </c>
      <c r="Y35" s="223">
        <f t="shared" si="25"/>
      </c>
      <c r="Z35" s="383">
        <f t="shared" si="26"/>
      </c>
      <c r="AA35" s="6"/>
    </row>
    <row r="36" spans="2:27" s="5" customFormat="1" ht="16.5" customHeight="1">
      <c r="B36" s="50"/>
      <c r="C36" s="276"/>
      <c r="D36" s="276"/>
      <c r="E36" s="152"/>
      <c r="F36" s="440"/>
      <c r="G36" s="378"/>
      <c r="H36" s="441"/>
      <c r="I36" s="293">
        <f t="shared" si="27"/>
        <v>0</v>
      </c>
      <c r="J36" s="380"/>
      <c r="K36" s="185"/>
      <c r="L36" s="381">
        <f t="shared" si="13"/>
      </c>
      <c r="M36" s="382">
        <f t="shared" si="14"/>
      </c>
      <c r="N36" s="222"/>
      <c r="O36" s="518">
        <f t="shared" si="15"/>
      </c>
      <c r="P36" s="223">
        <f t="shared" si="16"/>
      </c>
      <c r="Q36" s="905">
        <f t="shared" si="17"/>
        <v>20</v>
      </c>
      <c r="R36" s="906" t="str">
        <f t="shared" si="18"/>
        <v>--</v>
      </c>
      <c r="S36" s="436" t="str">
        <f t="shared" si="19"/>
        <v>--</v>
      </c>
      <c r="T36" s="437" t="str">
        <f t="shared" si="20"/>
        <v>--</v>
      </c>
      <c r="U36" s="300" t="str">
        <f t="shared" si="21"/>
        <v>--</v>
      </c>
      <c r="V36" s="301" t="str">
        <f t="shared" si="22"/>
        <v>--</v>
      </c>
      <c r="W36" s="438" t="str">
        <f t="shared" si="23"/>
        <v>--</v>
      </c>
      <c r="X36" s="902" t="str">
        <f t="shared" si="24"/>
        <v>--</v>
      </c>
      <c r="Y36" s="223">
        <f t="shared" si="25"/>
      </c>
      <c r="Z36" s="383">
        <f t="shared" si="26"/>
      </c>
      <c r="AA36" s="6"/>
    </row>
    <row r="37" spans="2:27" s="5" customFormat="1" ht="16.5" customHeight="1">
      <c r="B37" s="50"/>
      <c r="C37" s="276"/>
      <c r="D37" s="276"/>
      <c r="E37" s="276"/>
      <c r="F37" s="440"/>
      <c r="G37" s="378"/>
      <c r="H37" s="441"/>
      <c r="I37" s="293">
        <f t="shared" si="27"/>
        <v>0</v>
      </c>
      <c r="J37" s="380"/>
      <c r="K37" s="185"/>
      <c r="L37" s="381">
        <f t="shared" si="13"/>
      </c>
      <c r="M37" s="382">
        <f t="shared" si="14"/>
      </c>
      <c r="N37" s="222"/>
      <c r="O37" s="518">
        <f t="shared" si="15"/>
      </c>
      <c r="P37" s="223">
        <f t="shared" si="16"/>
      </c>
      <c r="Q37" s="905">
        <f t="shared" si="17"/>
        <v>20</v>
      </c>
      <c r="R37" s="906" t="str">
        <f t="shared" si="18"/>
        <v>--</v>
      </c>
      <c r="S37" s="436" t="str">
        <f t="shared" si="19"/>
        <v>--</v>
      </c>
      <c r="T37" s="437" t="str">
        <f t="shared" si="20"/>
        <v>--</v>
      </c>
      <c r="U37" s="300" t="str">
        <f t="shared" si="21"/>
        <v>--</v>
      </c>
      <c r="V37" s="301" t="str">
        <f t="shared" si="22"/>
        <v>--</v>
      </c>
      <c r="W37" s="438" t="str">
        <f t="shared" si="23"/>
        <v>--</v>
      </c>
      <c r="X37" s="902" t="str">
        <f t="shared" si="24"/>
        <v>--</v>
      </c>
      <c r="Y37" s="223">
        <f t="shared" si="25"/>
      </c>
      <c r="Z37" s="383">
        <f t="shared" si="26"/>
      </c>
      <c r="AA37" s="6"/>
    </row>
    <row r="38" spans="2:27" s="5" customFormat="1" ht="16.5" customHeight="1">
      <c r="B38" s="50"/>
      <c r="C38" s="276"/>
      <c r="D38" s="276"/>
      <c r="E38" s="152"/>
      <c r="F38" s="440"/>
      <c r="G38" s="378"/>
      <c r="H38" s="441"/>
      <c r="I38" s="293">
        <f t="shared" si="27"/>
        <v>0</v>
      </c>
      <c r="J38" s="380"/>
      <c r="K38" s="185"/>
      <c r="L38" s="381">
        <f t="shared" si="13"/>
      </c>
      <c r="M38" s="382">
        <f t="shared" si="14"/>
      </c>
      <c r="N38" s="222"/>
      <c r="O38" s="518">
        <f t="shared" si="15"/>
      </c>
      <c r="P38" s="223">
        <f t="shared" si="16"/>
      </c>
      <c r="Q38" s="905">
        <f t="shared" si="17"/>
        <v>20</v>
      </c>
      <c r="R38" s="906" t="str">
        <f t="shared" si="18"/>
        <v>--</v>
      </c>
      <c r="S38" s="436" t="str">
        <f t="shared" si="19"/>
        <v>--</v>
      </c>
      <c r="T38" s="437" t="str">
        <f t="shared" si="20"/>
        <v>--</v>
      </c>
      <c r="U38" s="300" t="str">
        <f t="shared" si="21"/>
        <v>--</v>
      </c>
      <c r="V38" s="301" t="str">
        <f t="shared" si="22"/>
        <v>--</v>
      </c>
      <c r="W38" s="438" t="str">
        <f t="shared" si="23"/>
        <v>--</v>
      </c>
      <c r="X38" s="902" t="str">
        <f t="shared" si="24"/>
        <v>--</v>
      </c>
      <c r="Y38" s="223">
        <f t="shared" si="25"/>
      </c>
      <c r="Z38" s="383">
        <f t="shared" si="26"/>
      </c>
      <c r="AA38" s="6"/>
    </row>
    <row r="39" spans="2:27" s="5" customFormat="1" ht="16.5" customHeight="1">
      <c r="B39" s="50"/>
      <c r="C39" s="276"/>
      <c r="D39" s="276"/>
      <c r="E39" s="276"/>
      <c r="F39" s="440"/>
      <c r="G39" s="378"/>
      <c r="H39" s="441"/>
      <c r="I39" s="293">
        <f t="shared" si="27"/>
        <v>0</v>
      </c>
      <c r="J39" s="380"/>
      <c r="K39" s="185"/>
      <c r="L39" s="381">
        <f t="shared" si="13"/>
      </c>
      <c r="M39" s="382">
        <f t="shared" si="14"/>
      </c>
      <c r="N39" s="222"/>
      <c r="O39" s="518">
        <f t="shared" si="15"/>
      </c>
      <c r="P39" s="223">
        <f t="shared" si="16"/>
      </c>
      <c r="Q39" s="905">
        <f t="shared" si="17"/>
        <v>20</v>
      </c>
      <c r="R39" s="906" t="str">
        <f t="shared" si="18"/>
        <v>--</v>
      </c>
      <c r="S39" s="436" t="str">
        <f t="shared" si="19"/>
        <v>--</v>
      </c>
      <c r="T39" s="437" t="str">
        <f t="shared" si="20"/>
        <v>--</v>
      </c>
      <c r="U39" s="300" t="str">
        <f t="shared" si="21"/>
        <v>--</v>
      </c>
      <c r="V39" s="301" t="str">
        <f t="shared" si="22"/>
        <v>--</v>
      </c>
      <c r="W39" s="438" t="str">
        <f t="shared" si="23"/>
        <v>--</v>
      </c>
      <c r="X39" s="902" t="str">
        <f t="shared" si="24"/>
        <v>--</v>
      </c>
      <c r="Y39" s="223">
        <f t="shared" si="25"/>
      </c>
      <c r="Z39" s="383">
        <f t="shared" si="26"/>
      </c>
      <c r="AA39" s="6"/>
    </row>
    <row r="40" spans="2:27" s="5" customFormat="1" ht="16.5" customHeight="1">
      <c r="B40" s="50"/>
      <c r="C40" s="276"/>
      <c r="D40" s="276"/>
      <c r="E40" s="152"/>
      <c r="F40" s="440"/>
      <c r="G40" s="378"/>
      <c r="H40" s="441"/>
      <c r="I40" s="293">
        <f t="shared" si="27"/>
        <v>0</v>
      </c>
      <c r="J40" s="380"/>
      <c r="K40" s="185"/>
      <c r="L40" s="381">
        <f t="shared" si="13"/>
      </c>
      <c r="M40" s="382">
        <f t="shared" si="14"/>
      </c>
      <c r="N40" s="222"/>
      <c r="O40" s="518">
        <f t="shared" si="15"/>
      </c>
      <c r="P40" s="223">
        <f t="shared" si="16"/>
      </c>
      <c r="Q40" s="905">
        <f t="shared" si="17"/>
        <v>20</v>
      </c>
      <c r="R40" s="906" t="str">
        <f t="shared" si="18"/>
        <v>--</v>
      </c>
      <c r="S40" s="436" t="str">
        <f t="shared" si="19"/>
        <v>--</v>
      </c>
      <c r="T40" s="437" t="str">
        <f t="shared" si="20"/>
        <v>--</v>
      </c>
      <c r="U40" s="300" t="str">
        <f t="shared" si="21"/>
        <v>--</v>
      </c>
      <c r="V40" s="301" t="str">
        <f t="shared" si="22"/>
        <v>--</v>
      </c>
      <c r="W40" s="438" t="str">
        <f t="shared" si="23"/>
        <v>--</v>
      </c>
      <c r="X40" s="902" t="str">
        <f t="shared" si="24"/>
        <v>--</v>
      </c>
      <c r="Y40" s="223">
        <f t="shared" si="25"/>
      </c>
      <c r="Z40" s="383">
        <f t="shared" si="26"/>
      </c>
      <c r="AA40" s="6"/>
    </row>
    <row r="41" spans="2:27" s="5" customFormat="1" ht="16.5" customHeight="1">
      <c r="B41" s="50"/>
      <c r="C41" s="276"/>
      <c r="D41" s="276"/>
      <c r="E41" s="276"/>
      <c r="F41" s="440"/>
      <c r="G41" s="378"/>
      <c r="H41" s="441"/>
      <c r="I41" s="293">
        <f t="shared" si="27"/>
        <v>0</v>
      </c>
      <c r="J41" s="380"/>
      <c r="K41" s="185"/>
      <c r="L41" s="381">
        <f t="shared" si="13"/>
      </c>
      <c r="M41" s="382">
        <f t="shared" si="14"/>
      </c>
      <c r="N41" s="222"/>
      <c r="O41" s="518">
        <f t="shared" si="15"/>
      </c>
      <c r="P41" s="223">
        <f t="shared" si="16"/>
      </c>
      <c r="Q41" s="905">
        <f t="shared" si="17"/>
        <v>20</v>
      </c>
      <c r="R41" s="906" t="str">
        <f t="shared" si="18"/>
        <v>--</v>
      </c>
      <c r="S41" s="436" t="str">
        <f t="shared" si="19"/>
        <v>--</v>
      </c>
      <c r="T41" s="437" t="str">
        <f t="shared" si="20"/>
        <v>--</v>
      </c>
      <c r="U41" s="300" t="str">
        <f t="shared" si="21"/>
        <v>--</v>
      </c>
      <c r="V41" s="301" t="str">
        <f t="shared" si="22"/>
        <v>--</v>
      </c>
      <c r="W41" s="438" t="str">
        <f t="shared" si="23"/>
        <v>--</v>
      </c>
      <c r="X41" s="902" t="str">
        <f t="shared" si="24"/>
        <v>--</v>
      </c>
      <c r="Y41" s="223">
        <f t="shared" si="25"/>
      </c>
      <c r="Z41" s="383">
        <f t="shared" si="26"/>
      </c>
      <c r="AA41" s="6"/>
    </row>
    <row r="42" spans="2:27" s="5" customFormat="1" ht="16.5" customHeight="1" thickBot="1">
      <c r="B42" s="50"/>
      <c r="C42" s="444"/>
      <c r="D42" s="444"/>
      <c r="E42" s="444"/>
      <c r="F42" s="444"/>
      <c r="G42" s="444"/>
      <c r="H42" s="444"/>
      <c r="I42" s="131"/>
      <c r="J42" s="384"/>
      <c r="K42" s="384"/>
      <c r="L42" s="385"/>
      <c r="M42" s="385"/>
      <c r="N42" s="384"/>
      <c r="O42" s="190"/>
      <c r="P42" s="151"/>
      <c r="Q42" s="445"/>
      <c r="R42" s="446"/>
      <c r="S42" s="447"/>
      <c r="T42" s="448"/>
      <c r="U42" s="318"/>
      <c r="V42" s="319"/>
      <c r="W42" s="449"/>
      <c r="X42" s="449"/>
      <c r="Y42" s="151"/>
      <c r="Z42" s="450"/>
      <c r="AA42" s="6"/>
    </row>
    <row r="43" spans="2:27" s="5" customFormat="1" ht="16.5" customHeight="1" thickBot="1" thickTop="1">
      <c r="B43" s="50"/>
      <c r="C43" s="127" t="s">
        <v>25</v>
      </c>
      <c r="D43" s="73" t="s">
        <v>256</v>
      </c>
      <c r="E43" s="127"/>
      <c r="F43" s="128"/>
      <c r="I43" s="4"/>
      <c r="J43" s="4"/>
      <c r="K43" s="4"/>
      <c r="L43" s="4"/>
      <c r="M43" s="4"/>
      <c r="N43" s="4"/>
      <c r="O43" s="4"/>
      <c r="P43" s="4"/>
      <c r="Q43" s="4"/>
      <c r="R43" s="451">
        <f aca="true" t="shared" si="28" ref="R43:X43">SUM(R20:R42)</f>
        <v>980.9888000000001</v>
      </c>
      <c r="S43" s="452">
        <f t="shared" si="28"/>
        <v>0</v>
      </c>
      <c r="T43" s="453">
        <f t="shared" si="28"/>
        <v>0</v>
      </c>
      <c r="U43" s="328">
        <f t="shared" si="28"/>
        <v>0</v>
      </c>
      <c r="V43" s="329">
        <f t="shared" si="28"/>
        <v>0</v>
      </c>
      <c r="W43" s="454">
        <f t="shared" si="28"/>
        <v>0</v>
      </c>
      <c r="X43" s="454">
        <f t="shared" si="28"/>
        <v>0</v>
      </c>
      <c r="Z43" s="100">
        <f>ROUND(SUM(Z20:Z42),2)</f>
        <v>980.99</v>
      </c>
      <c r="AA43" s="455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74"/>
      <c r="G45" s="174"/>
      <c r="H45" s="174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</row>
    <row r="46" spans="6:29" ht="16.5" customHeight="1">
      <c r="F46" s="174"/>
      <c r="G46" s="174"/>
      <c r="H46" s="174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</row>
    <row r="47" spans="6:29" ht="16.5" customHeight="1">
      <c r="F47" s="174"/>
      <c r="G47" s="174"/>
      <c r="H47" s="174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</row>
    <row r="48" spans="6:29" ht="16.5" customHeight="1">
      <c r="F48" s="174"/>
      <c r="G48" s="174"/>
      <c r="H48" s="174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</row>
    <row r="49" spans="6:29" ht="16.5" customHeight="1">
      <c r="F49" s="174"/>
      <c r="G49" s="174"/>
      <c r="H49" s="174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</row>
    <row r="50" spans="6:29" ht="16.5" customHeight="1">
      <c r="F50" s="174"/>
      <c r="G50" s="174"/>
      <c r="H50" s="174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</row>
    <row r="51" spans="6:29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</row>
    <row r="52" spans="6:29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</row>
    <row r="53" spans="6:29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</row>
    <row r="54" spans="6:29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</row>
    <row r="55" spans="6:29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</row>
    <row r="56" spans="6:29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</row>
    <row r="57" spans="6:29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</row>
    <row r="58" spans="6:29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</row>
    <row r="59" spans="6:29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</row>
    <row r="60" spans="6:29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</row>
    <row r="61" spans="6:29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</row>
    <row r="62" spans="6:29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6:29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</row>
    <row r="64" spans="6:29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</row>
    <row r="65" spans="6:29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</row>
    <row r="66" spans="6:29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</row>
    <row r="67" spans="6:29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</row>
    <row r="68" spans="6:29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</row>
    <row r="69" spans="6:29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</row>
    <row r="70" spans="6:29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</row>
    <row r="71" spans="6:29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</row>
    <row r="72" spans="6:29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</row>
    <row r="73" spans="6:29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</row>
    <row r="74" spans="6:29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</row>
    <row r="75" spans="6:29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</row>
    <row r="76" spans="6:29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</row>
    <row r="77" spans="6:29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</row>
    <row r="78" spans="6:29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</row>
    <row r="79" spans="6:29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</row>
    <row r="80" spans="6:29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</row>
    <row r="81" spans="6:29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6:29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</row>
    <row r="83" spans="6:29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</row>
    <row r="84" spans="6:29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</row>
    <row r="85" spans="6:29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</row>
    <row r="86" spans="6:29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</row>
    <row r="87" spans="6:29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</row>
    <row r="88" spans="6:29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</row>
    <row r="89" spans="6:29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</row>
    <row r="90" spans="6:29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</row>
    <row r="91" spans="6:29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</row>
    <row r="92" spans="6:29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</row>
    <row r="93" spans="6:29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</row>
    <row r="94" spans="6:29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</row>
    <row r="95" spans="6:29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</row>
    <row r="96" spans="6:29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</row>
    <row r="97" spans="6:29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</row>
    <row r="98" spans="6:29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</row>
    <row r="99" spans="6:29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</row>
    <row r="100" spans="6:29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</row>
    <row r="101" spans="6:29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</row>
    <row r="102" spans="6:29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</row>
    <row r="103" spans="6:29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</row>
    <row r="104" spans="6:29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</row>
    <row r="105" spans="6:29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</row>
    <row r="106" spans="6:29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</row>
    <row r="107" spans="6:29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</row>
    <row r="108" spans="6:29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</row>
    <row r="109" spans="6:29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</row>
    <row r="110" spans="6:29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</row>
    <row r="111" spans="6:29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</row>
    <row r="112" spans="6:29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</row>
    <row r="113" spans="6:29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</row>
    <row r="114" spans="6:29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</row>
    <row r="115" spans="6:29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</row>
    <row r="116" spans="6:29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</row>
    <row r="117" spans="6:29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</row>
    <row r="118" spans="6:29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</row>
    <row r="119" spans="6:29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</row>
    <row r="120" spans="6:29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</row>
    <row r="121" spans="6:29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</row>
    <row r="122" spans="6:29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</row>
    <row r="123" spans="6:29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</row>
    <row r="124" spans="6:29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</row>
    <row r="125" spans="6:29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</row>
    <row r="126" spans="6:29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</row>
    <row r="127" spans="6:29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</row>
    <row r="128" spans="6:29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</row>
    <row r="129" spans="6:29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</row>
    <row r="130" spans="6:29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</row>
    <row r="131" spans="6:29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</row>
    <row r="132" spans="6:29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</row>
    <row r="133" spans="6:29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</row>
    <row r="134" spans="6:29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</row>
    <row r="135" spans="6:29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</row>
    <row r="136" spans="6:29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</row>
    <row r="137" spans="6:29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</row>
    <row r="138" spans="6:29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</row>
    <row r="139" spans="6:29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</row>
    <row r="140" spans="6:29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</row>
    <row r="141" spans="6:29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</row>
    <row r="142" spans="6:29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</row>
    <row r="143" spans="6:29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</row>
    <row r="144" spans="6:29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</row>
    <row r="145" spans="6:29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</row>
    <row r="146" spans="6:29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</row>
    <row r="147" spans="6:29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</row>
    <row r="148" spans="6:29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</row>
    <row r="149" spans="6:29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</row>
    <row r="150" spans="6:29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</row>
    <row r="151" spans="6:29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</row>
    <row r="152" spans="6:29" ht="16.5" customHeight="1">
      <c r="F152" s="172"/>
      <c r="G152" s="172"/>
      <c r="H152" s="172"/>
      <c r="AB152" s="172"/>
      <c r="AC152" s="172"/>
    </row>
    <row r="153" spans="6:8" ht="16.5" customHeight="1">
      <c r="F153" s="172"/>
      <c r="G153" s="172"/>
      <c r="H153" s="172"/>
    </row>
    <row r="154" spans="6:8" ht="16.5" customHeight="1">
      <c r="F154" s="172"/>
      <c r="G154" s="172"/>
      <c r="H154" s="172"/>
    </row>
    <row r="155" spans="6:8" ht="16.5" customHeight="1">
      <c r="F155" s="172"/>
      <c r="G155" s="172"/>
      <c r="H155" s="172"/>
    </row>
    <row r="156" spans="6:8" ht="16.5" customHeight="1">
      <c r="F156" s="172"/>
      <c r="G156" s="172"/>
      <c r="H156" s="172"/>
    </row>
    <row r="157" spans="6:8" ht="16.5" customHeight="1">
      <c r="F157" s="172"/>
      <c r="G157" s="172"/>
      <c r="H157" s="17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3"/>
  <dimension ref="A1:AG60"/>
  <sheetViews>
    <sheetView zoomScale="75" zoomScaleNormal="75" workbookViewId="0" topLeftCell="A13">
      <selection activeCell="D73" sqref="D73"/>
    </sheetView>
  </sheetViews>
  <sheetFormatPr defaultColWidth="11.421875" defaultRowHeight="12.75"/>
  <cols>
    <col min="1" max="1" width="31.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8515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4.7109375" style="0" hidden="1" customWidth="1"/>
    <col min="19" max="19" width="12.140625" style="0" hidden="1" customWidth="1"/>
    <col min="20" max="20" width="12.7109375" style="0" hidden="1" customWidth="1"/>
    <col min="21" max="21" width="8.7109375" style="0" hidden="1" customWidth="1"/>
    <col min="22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3" customFormat="1" ht="30.75">
      <c r="A3" s="460"/>
      <c r="B3" s="461" t="str">
        <f>'TOT-0110'!B2</f>
        <v>ANEXO II al Memorandum D.T.E.E. N°    679       / 2011           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AB3" s="462"/>
      <c r="AC3" s="462"/>
      <c r="AD3" s="462"/>
    </row>
    <row r="4" spans="1:2" s="25" customFormat="1" ht="11.25">
      <c r="A4" s="696" t="s">
        <v>2</v>
      </c>
      <c r="B4" s="697"/>
    </row>
    <row r="5" spans="1:2" s="25" customFormat="1" ht="12" thickBot="1">
      <c r="A5" s="696" t="s">
        <v>3</v>
      </c>
      <c r="B5" s="696"/>
    </row>
    <row r="6" spans="1:30" ht="16.5" customHeight="1" thickTop="1">
      <c r="A6" s="5"/>
      <c r="B6" s="69"/>
      <c r="C6" s="70"/>
      <c r="D6" s="70"/>
      <c r="E6" s="19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3"/>
      <c r="X6" s="173"/>
      <c r="Y6" s="173"/>
      <c r="Z6" s="173"/>
      <c r="AA6" s="173"/>
      <c r="AB6" s="173"/>
      <c r="AC6" s="173"/>
      <c r="AD6" s="94"/>
    </row>
    <row r="7" spans="1:30" ht="20.25">
      <c r="A7" s="5"/>
      <c r="B7" s="50"/>
      <c r="C7" s="4"/>
      <c r="D7" s="171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1" t="s">
        <v>82</v>
      </c>
      <c r="E9" s="43"/>
      <c r="F9" s="43"/>
      <c r="G9" s="43"/>
      <c r="H9" s="43"/>
      <c r="N9" s="43"/>
      <c r="O9" s="43"/>
      <c r="P9" s="196"/>
      <c r="Q9" s="196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7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1" t="s">
        <v>262</v>
      </c>
      <c r="E11" s="43"/>
      <c r="F11" s="43"/>
      <c r="G11" s="43"/>
      <c r="H11" s="43"/>
      <c r="N11" s="43"/>
      <c r="O11" s="43"/>
      <c r="P11" s="196"/>
      <c r="Q11" s="196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7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'TOT-0110'!B14</f>
        <v>Desde el 01 al 31 de enero de 2010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464"/>
      <c r="Y13" s="464"/>
      <c r="Z13" s="464"/>
      <c r="AA13" s="464"/>
      <c r="AB13" s="126"/>
      <c r="AC13" s="169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9" t="s">
        <v>83</v>
      </c>
      <c r="D17" s="54" t="s">
        <v>84</v>
      </c>
      <c r="E17" s="66"/>
      <c r="F17" s="66"/>
      <c r="G17" s="4"/>
      <c r="H17" s="4"/>
      <c r="I17" s="4"/>
      <c r="J17" s="46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66"/>
      <c r="C18" s="33"/>
      <c r="D18" s="467"/>
      <c r="E18" s="468"/>
      <c r="F18" s="469"/>
      <c r="G18" s="33"/>
      <c r="H18" s="33"/>
      <c r="I18" s="33"/>
      <c r="J18" s="470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71"/>
    </row>
    <row r="19" spans="2:30" s="32" customFormat="1" ht="16.5" customHeight="1">
      <c r="B19" s="466"/>
      <c r="C19" s="33"/>
      <c r="D19" s="472" t="s">
        <v>85</v>
      </c>
      <c r="F19" s="473">
        <v>153.49</v>
      </c>
      <c r="G19" s="472" t="s">
        <v>86</v>
      </c>
      <c r="H19" s="33"/>
      <c r="I19" s="33"/>
      <c r="J19" s="474"/>
      <c r="K19" s="475" t="s">
        <v>40</v>
      </c>
      <c r="L19" s="476">
        <v>0.04</v>
      </c>
      <c r="R19" s="33"/>
      <c r="S19" s="33"/>
      <c r="T19" s="33"/>
      <c r="U19" s="33"/>
      <c r="V19" s="33"/>
      <c r="W19"/>
      <c r="AD19" s="471"/>
    </row>
    <row r="20" spans="2:30" s="32" customFormat="1" ht="16.5" customHeight="1">
      <c r="B20" s="466"/>
      <c r="C20" s="33"/>
      <c r="D20" s="472" t="s">
        <v>102</v>
      </c>
      <c r="F20" s="473">
        <v>0.418</v>
      </c>
      <c r="G20" s="472" t="s">
        <v>103</v>
      </c>
      <c r="H20" s="33"/>
      <c r="I20" s="33"/>
      <c r="J20" s="33"/>
      <c r="K20" s="467" t="s">
        <v>38</v>
      </c>
      <c r="L20" s="33">
        <v>744</v>
      </c>
      <c r="M20" s="33" t="s">
        <v>39</v>
      </c>
      <c r="N20" s="33"/>
      <c r="O20" s="33"/>
      <c r="P20" s="698"/>
      <c r="Q20" s="33"/>
      <c r="R20" s="33"/>
      <c r="S20" s="33"/>
      <c r="T20" s="33"/>
      <c r="U20" s="33"/>
      <c r="V20" s="33"/>
      <c r="W20"/>
      <c r="AD20" s="471"/>
    </row>
    <row r="21" spans="2:30" s="32" customFormat="1" ht="16.5" customHeight="1">
      <c r="B21" s="466"/>
      <c r="C21" s="33"/>
      <c r="D21" s="472"/>
      <c r="F21" s="473"/>
      <c r="G21" s="472"/>
      <c r="H21" s="33"/>
      <c r="I21" s="33"/>
      <c r="J21" s="33"/>
      <c r="K21" s="201"/>
      <c r="L21" s="202"/>
      <c r="M21" s="33"/>
      <c r="N21" s="33"/>
      <c r="O21" s="33"/>
      <c r="P21" s="698"/>
      <c r="Q21" s="33"/>
      <c r="R21" s="33"/>
      <c r="S21" s="33"/>
      <c r="T21" s="33"/>
      <c r="U21" s="33"/>
      <c r="V21" s="33"/>
      <c r="W21"/>
      <c r="AD21" s="471"/>
    </row>
    <row r="22" spans="2:30" s="32" customFormat="1" ht="8.25" customHeight="1">
      <c r="B22" s="466"/>
      <c r="C22" s="33"/>
      <c r="D22" s="33"/>
      <c r="E22" s="47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/>
      <c r="AD22" s="471"/>
    </row>
    <row r="23" spans="1:30" ht="16.5" customHeight="1">
      <c r="A23" s="5"/>
      <c r="B23" s="50"/>
      <c r="C23" s="159" t="s">
        <v>87</v>
      </c>
      <c r="D23" s="3" t="s">
        <v>124</v>
      </c>
      <c r="I23" s="4"/>
      <c r="J23" s="32"/>
      <c r="O23" s="4"/>
      <c r="P23" s="4"/>
      <c r="Q23" s="4"/>
      <c r="R23" s="4"/>
      <c r="S23" s="4"/>
      <c r="T23" s="4"/>
      <c r="V23" s="4"/>
      <c r="X23" s="4"/>
      <c r="Y23" s="4"/>
      <c r="Z23" s="4"/>
      <c r="AA23" s="4"/>
      <c r="AB23" s="4"/>
      <c r="AC23" s="4"/>
      <c r="AD23" s="17"/>
    </row>
    <row r="24" spans="1:30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2:30" s="32" customFormat="1" ht="16.5" customHeight="1" thickBot="1" thickTop="1">
      <c r="B25" s="466"/>
      <c r="C25" s="469"/>
      <c r="D25"/>
      <c r="E25"/>
      <c r="F25"/>
      <c r="G25"/>
      <c r="H25"/>
      <c r="I25"/>
      <c r="J25" s="480" t="s">
        <v>45</v>
      </c>
      <c r="K25" s="481">
        <f>L19*AC57</f>
        <v>9970.0992</v>
      </c>
      <c r="L25"/>
      <c r="S25"/>
      <c r="T25"/>
      <c r="U25"/>
      <c r="W25"/>
      <c r="AD25" s="471"/>
    </row>
    <row r="26" spans="2:30" s="32" customFormat="1" ht="11.25" customHeight="1" thickTop="1">
      <c r="B26" s="466"/>
      <c r="C26" s="469"/>
      <c r="D26" s="33"/>
      <c r="E26" s="47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/>
      <c r="AD26" s="471"/>
    </row>
    <row r="27" spans="1:30" ht="16.5" customHeight="1">
      <c r="A27" s="5"/>
      <c r="B27" s="50"/>
      <c r="C27" s="159" t="s">
        <v>88</v>
      </c>
      <c r="D27" s="3" t="s">
        <v>125</v>
      </c>
      <c r="E27" s="20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D27" s="17"/>
    </row>
    <row r="28" spans="1:30" ht="21.75" customHeight="1" thickBot="1">
      <c r="A28" s="5"/>
      <c r="B28" s="50"/>
      <c r="C28" s="4"/>
      <c r="D28" s="4"/>
      <c r="E28" s="20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2:31" s="5" customFormat="1" ht="33.75" customHeight="1" thickBot="1" thickTop="1">
      <c r="B29" s="50"/>
      <c r="C29" s="84" t="s">
        <v>13</v>
      </c>
      <c r="D29" s="204" t="s">
        <v>0</v>
      </c>
      <c r="E29" s="175" t="s">
        <v>14</v>
      </c>
      <c r="F29" s="87" t="s">
        <v>15</v>
      </c>
      <c r="G29" s="205" t="s">
        <v>60</v>
      </c>
      <c r="H29" s="206" t="s">
        <v>37</v>
      </c>
      <c r="I29" s="135" t="s">
        <v>16</v>
      </c>
      <c r="J29" s="85" t="s">
        <v>17</v>
      </c>
      <c r="K29" s="176" t="s">
        <v>18</v>
      </c>
      <c r="L29" s="88" t="s">
        <v>36</v>
      </c>
      <c r="M29" s="86" t="s">
        <v>31</v>
      </c>
      <c r="N29" s="88" t="s">
        <v>89</v>
      </c>
      <c r="O29" s="88" t="s">
        <v>46</v>
      </c>
      <c r="P29" s="176" t="s">
        <v>47</v>
      </c>
      <c r="Q29" s="85" t="s">
        <v>32</v>
      </c>
      <c r="R29" s="137" t="s">
        <v>20</v>
      </c>
      <c r="S29" s="482" t="s">
        <v>21</v>
      </c>
      <c r="T29" s="483" t="s">
        <v>61</v>
      </c>
      <c r="U29" s="484"/>
      <c r="V29" s="485"/>
      <c r="W29" s="486" t="s">
        <v>90</v>
      </c>
      <c r="X29" s="487"/>
      <c r="Y29" s="488"/>
      <c r="Z29" s="489" t="s">
        <v>22</v>
      </c>
      <c r="AA29" s="490" t="s">
        <v>23</v>
      </c>
      <c r="AB29" s="89" t="s">
        <v>63</v>
      </c>
      <c r="AC29" s="121" t="s">
        <v>24</v>
      </c>
      <c r="AD29" s="212"/>
      <c r="AE29"/>
    </row>
    <row r="30" spans="1:30" ht="16.5" customHeight="1" thickTop="1">
      <c r="A30" s="5"/>
      <c r="B30" s="50"/>
      <c r="C30" s="7"/>
      <c r="D30" s="491"/>
      <c r="E30" s="492"/>
      <c r="F30" s="493"/>
      <c r="G30" s="494"/>
      <c r="H30" s="495"/>
      <c r="I30" s="496"/>
      <c r="J30" s="497"/>
      <c r="K30" s="498"/>
      <c r="L30" s="7"/>
      <c r="M30" s="7"/>
      <c r="N30" s="182"/>
      <c r="O30" s="182"/>
      <c r="P30" s="7"/>
      <c r="Q30" s="179"/>
      <c r="R30" s="499"/>
      <c r="S30" s="500"/>
      <c r="T30" s="501"/>
      <c r="U30" s="502"/>
      <c r="V30" s="503"/>
      <c r="W30" s="504"/>
      <c r="X30" s="505"/>
      <c r="Y30" s="506"/>
      <c r="Z30" s="507"/>
      <c r="AA30" s="508"/>
      <c r="AB30" s="509"/>
      <c r="AC30" s="510"/>
      <c r="AD30" s="17"/>
    </row>
    <row r="31" spans="1:30" ht="16.5" customHeight="1">
      <c r="A31" s="5"/>
      <c r="B31" s="50"/>
      <c r="C31" s="7" t="s">
        <v>137</v>
      </c>
      <c r="D31" s="778" t="s">
        <v>267</v>
      </c>
      <c r="E31" s="779">
        <v>500</v>
      </c>
      <c r="F31" s="821">
        <v>202.17</v>
      </c>
      <c r="G31" s="512" t="s">
        <v>185</v>
      </c>
      <c r="H31" s="513">
        <f>IF(G31="A",200,IF(G31="B",60,20))</f>
        <v>20</v>
      </c>
      <c r="I31" s="514">
        <f>IF(F31&gt;100,F31,100)*$F$19/100</f>
        <v>310.310733</v>
      </c>
      <c r="J31" s="515">
        <v>40181.470138888886</v>
      </c>
      <c r="K31" s="459">
        <v>40181.75069444445</v>
      </c>
      <c r="L31" s="516">
        <f>IF(D31="","",(K31-J31)*24)</f>
        <v>6.733333333453629</v>
      </c>
      <c r="M31" s="382">
        <f>IF(D31="","",ROUND((K31-J31)*24*60,0))</f>
        <v>404</v>
      </c>
      <c r="N31" s="517" t="s">
        <v>191</v>
      </c>
      <c r="O31" s="518" t="str">
        <f>IF(D31="","","--")</f>
        <v>--</v>
      </c>
      <c r="P31" s="223" t="str">
        <f>IF(D31="","","NO")</f>
        <v>NO</v>
      </c>
      <c r="Q31" s="223" t="str">
        <f>IF(D31="","",IF(OR(N31="P",N31="RP"),"--","NO"))</f>
        <v>--</v>
      </c>
      <c r="R31" s="519">
        <f>IF(N31="P",+I31*H31*ROUND(M31/60,2)/100,"--")</f>
        <v>417.67824661800006</v>
      </c>
      <c r="S31" s="520" t="str">
        <f>IF(N31="RP",I31*H31*ROUND(M31/60,2)*0.01*O31/100,"--")</f>
        <v>--</v>
      </c>
      <c r="T31" s="521" t="str">
        <f>IF(AND(N31="F",Q31="NO"),IF(P31="SI",1.2,1)*I31*H31,"--")</f>
        <v>--</v>
      </c>
      <c r="U31" s="522" t="str">
        <f>IF(AND(M31&gt;10,N31="F"),IF(M31&lt;=300,ROUND(M31/60,2),5)*I31*H31*IF(P31="SI",1.2,1),"--")</f>
        <v>--</v>
      </c>
      <c r="V31" s="523" t="str">
        <f>IF(AND(N31="F",M31&gt;300),IF(P31="SI",1.2,1)*(ROUND(M31/60,2)-5)*I31*H31*0.1,"--")</f>
        <v>--</v>
      </c>
      <c r="W31" s="524" t="str">
        <f>IF(AND(N31="R",Q31="NO"),IF(P31="SI",1.2,1)*I31*H31*O31/100,"--")</f>
        <v>--</v>
      </c>
      <c r="X31" s="525" t="str">
        <f>IF(AND(M31&gt;10,N31="R"),IF(M31&lt;=300,ROUND(M31/60,2),5)*I31*H31*O31/100*IF(P31="SI",1.2,1),"--")</f>
        <v>--</v>
      </c>
      <c r="Y31" s="526" t="str">
        <f>IF(AND(N31="R",M31&gt;300),IF(P31="SI",1.2,1)*(ROUND(M31/60,2)-5)*I31*H31*O31/100*0.1,"--")</f>
        <v>--</v>
      </c>
      <c r="Z31" s="527" t="str">
        <f>IF(N31="RF",IF(P31="SI",1.2,1)*ROUND(M31/60,2)*I31*H31*0.1,"--")</f>
        <v>--</v>
      </c>
      <c r="AA31" s="528" t="str">
        <f>IF(N31="RR",IF(P31="SI",1.2,1)*ROUND(M31/60,2)*I31*H31*O31/100*0.1,"--")</f>
        <v>--</v>
      </c>
      <c r="AB31" s="529" t="str">
        <f>IF(D31="","","SI")</f>
        <v>SI</v>
      </c>
      <c r="AC31" s="16">
        <f>IF(D31="","",SUM(R31:AA31)*IF(AB31="SI",1,2))</f>
        <v>417.67824661800006</v>
      </c>
      <c r="AD31" s="17"/>
    </row>
    <row r="32" spans="1:30" ht="15" customHeight="1">
      <c r="A32" s="5"/>
      <c r="B32" s="50"/>
      <c r="C32" s="823" t="s">
        <v>138</v>
      </c>
      <c r="D32" s="778" t="s">
        <v>267</v>
      </c>
      <c r="E32" s="779">
        <v>500</v>
      </c>
      <c r="F32" s="821">
        <v>202.17</v>
      </c>
      <c r="G32" s="512" t="s">
        <v>185</v>
      </c>
      <c r="H32" s="513">
        <f>IF(G32="A",200,IF(G32="B",60,20))</f>
        <v>20</v>
      </c>
      <c r="I32" s="514">
        <f>IF(F32&gt;100,F32,100)*$F$19/100</f>
        <v>310.310733</v>
      </c>
      <c r="J32" s="515">
        <v>40190.11041666667</v>
      </c>
      <c r="K32" s="459">
        <v>40190.11597222222</v>
      </c>
      <c r="L32" s="516">
        <f>IF(D32="","",(K32-J32)*24)</f>
        <v>0.1333333332440816</v>
      </c>
      <c r="M32" s="382">
        <f>IF(D32="","",ROUND((K32-J32)*24*60,0))</f>
        <v>8</v>
      </c>
      <c r="N32" s="517" t="s">
        <v>186</v>
      </c>
      <c r="O32" s="518" t="str">
        <f>IF(D32="","","--")</f>
        <v>--</v>
      </c>
      <c r="P32" s="223" t="str">
        <f>IF(D32="","","NO")</f>
        <v>NO</v>
      </c>
      <c r="Q32" s="223" t="str">
        <f>IF(D32="","",IF(OR(N32="P",N32="RP"),"--","NO"))</f>
        <v>NO</v>
      </c>
      <c r="R32" s="519" t="str">
        <f>IF(N32="P",+I32*H32*ROUND(M32/60,2)/100,"--")</f>
        <v>--</v>
      </c>
      <c r="S32" s="520" t="str">
        <f>IF(N32="RP",I32*H32*ROUND(M32/60,2)*0.01*O32/100,"--")</f>
        <v>--</v>
      </c>
      <c r="T32" s="521">
        <f>IF(AND(N32="F",Q32="NO"),IF(P32="SI",1.2,1)*I32*H32,"--")</f>
        <v>6206.214660000001</v>
      </c>
      <c r="U32" s="522" t="str">
        <f>IF(AND(M32&gt;10,N32="F"),IF(M32&lt;=300,ROUND(M32/60,2),5)*I32*H32*IF(P32="SI",1.2,1),"--")</f>
        <v>--</v>
      </c>
      <c r="V32" s="523" t="str">
        <f>IF(AND(N32="F",M32&gt;300),IF(P32="SI",1.2,1)*(ROUND(M32/60,2)-5)*I32*H32*0.1,"--")</f>
        <v>--</v>
      </c>
      <c r="W32" s="524" t="str">
        <f>IF(AND(N32="R",Q32="NO"),IF(P32="SI",1.2,1)*I32*H32*O32/100,"--")</f>
        <v>--</v>
      </c>
      <c r="X32" s="525" t="str">
        <f>IF(AND(M32&gt;10,N32="R"),IF(M32&lt;=300,ROUND(M32/60,2),5)*I32*H32*O32/100*IF(P32="SI",1.2,1),"--")</f>
        <v>--</v>
      </c>
      <c r="Y32" s="526" t="str">
        <f>IF(AND(N32="R",M32&gt;300),IF(P32="SI",1.2,1)*(ROUND(M32/60,2)-5)*I32*H32*O32/100*0.1,"--")</f>
        <v>--</v>
      </c>
      <c r="Z32" s="527" t="str">
        <f>IF(N32="RF",IF(P32="SI",1.2,1)*ROUND(M32/60,2)*I32*H32*0.1,"--")</f>
        <v>--</v>
      </c>
      <c r="AA32" s="528" t="str">
        <f>IF(N32="RR",IF(P32="SI",1.2,1)*ROUND(M32/60,2)*I32*H32*O32/100*0.1,"--")</f>
        <v>--</v>
      </c>
      <c r="AB32" s="529" t="str">
        <f>IF(D32="","","SI")</f>
        <v>SI</v>
      </c>
      <c r="AC32" s="16">
        <f>IF(D32="","",SUM(R32:AA32)*IF(AB32="SI",1,2))</f>
        <v>6206.214660000001</v>
      </c>
      <c r="AD32" s="17"/>
    </row>
    <row r="33" spans="1:30" ht="15" customHeight="1">
      <c r="A33" s="5"/>
      <c r="B33" s="50"/>
      <c r="C33" s="823" t="s">
        <v>138</v>
      </c>
      <c r="D33" s="778" t="s">
        <v>267</v>
      </c>
      <c r="E33" s="950">
        <v>500</v>
      </c>
      <c r="F33" s="821">
        <v>202.17</v>
      </c>
      <c r="G33" s="512" t="s">
        <v>185</v>
      </c>
      <c r="H33" s="513">
        <f>IF(G33="A",200,IF(G33="B",60,20))</f>
        <v>20</v>
      </c>
      <c r="I33" s="514">
        <f>IF(F33&gt;100,F33,100)*$F$19/100</f>
        <v>310.310733</v>
      </c>
      <c r="J33" s="515">
        <v>40190.381944444445</v>
      </c>
      <c r="K33" s="459">
        <v>40190.501388888886</v>
      </c>
      <c r="L33" s="516">
        <f>IF(D33="","",(K33-J33)*24)</f>
        <v>2.8666666665812954</v>
      </c>
      <c r="M33" s="382">
        <f>IF(D33="","",ROUND((K33-J33)*24*60,0))</f>
        <v>172</v>
      </c>
      <c r="N33" s="517" t="s">
        <v>186</v>
      </c>
      <c r="O33" s="518" t="str">
        <f>IF(D33="","","--")</f>
        <v>--</v>
      </c>
      <c r="P33" s="223" t="str">
        <f>IF(D33="","","NO")</f>
        <v>NO</v>
      </c>
      <c r="Q33" s="223" t="str">
        <f>IF(D33="","",IF(OR(N33="P",N33="RP"),"--","NO"))</f>
        <v>NO</v>
      </c>
      <c r="R33" s="519" t="str">
        <f>IF(N33="P",+I33*H33*ROUND(M33/60,2)/100,"--")</f>
        <v>--</v>
      </c>
      <c r="S33" s="520" t="str">
        <f>IF(N33="RP",I33*H33*ROUND(M33/60,2)*0.01*O33/100,"--")</f>
        <v>--</v>
      </c>
      <c r="T33" s="521">
        <f>IF(AND(N33="F",Q33="NO"),IF(P33="SI",1.2,1)*I33*H33,"--")</f>
        <v>6206.214660000001</v>
      </c>
      <c r="U33" s="522">
        <f>IF(AND(M33&gt;10,N33="F"),IF(M33&lt;=300,ROUND(M33/60,2),5)*I33*H33*IF(P33="SI",1.2,1),"--")</f>
        <v>17811.836074200004</v>
      </c>
      <c r="V33" s="523" t="str">
        <f>IF(AND(N33="F",M33&gt;300),IF(P33="SI",1.2,1)*(ROUND(M33/60,2)-5)*I33*H33*0.1,"--")</f>
        <v>--</v>
      </c>
      <c r="W33" s="524" t="str">
        <f>IF(AND(N33="R",Q33="NO"),IF(P33="SI",1.2,1)*I33*H33*O33/100,"--")</f>
        <v>--</v>
      </c>
      <c r="X33" s="525" t="str">
        <f>IF(AND(M33&gt;10,N33="R"),IF(M33&lt;=300,ROUND(M33/60,2),5)*I33*H33*O33/100*IF(P33="SI",1.2,1),"--")</f>
        <v>--</v>
      </c>
      <c r="Y33" s="526" t="str">
        <f>IF(AND(N33="R",M33&gt;300),IF(P33="SI",1.2,1)*(ROUND(M33/60,2)-5)*I33*H33*O33/100*0.1,"--")</f>
        <v>--</v>
      </c>
      <c r="Z33" s="527" t="str">
        <f>IF(N33="RF",IF(P33="SI",1.2,1)*ROUND(M33/60,2)*I33*H33*0.1,"--")</f>
        <v>--</v>
      </c>
      <c r="AA33" s="528" t="str">
        <f>IF(N33="RR",IF(P33="SI",1.2,1)*ROUND(M33/60,2)*I33*H33*O33/100*0.1,"--")</f>
        <v>--</v>
      </c>
      <c r="AB33" s="529" t="str">
        <f>IF(D33="","","SI")</f>
        <v>SI</v>
      </c>
      <c r="AC33" s="16">
        <f>IF(D33="","",SUM(R33:AA33)*IF(AB33="SI",1,2))</f>
        <v>24018.050734200006</v>
      </c>
      <c r="AD33" s="17"/>
    </row>
    <row r="34" spans="1:30" ht="16.5" customHeight="1">
      <c r="A34" s="5"/>
      <c r="B34" s="50"/>
      <c r="C34" s="823" t="s">
        <v>140</v>
      </c>
      <c r="D34" s="7" t="s">
        <v>267</v>
      </c>
      <c r="E34" s="458">
        <v>500</v>
      </c>
      <c r="F34" s="511">
        <v>202.17</v>
      </c>
      <c r="G34" s="512" t="s">
        <v>185</v>
      </c>
      <c r="H34" s="513">
        <f>IF(G34="A",200,IF(G34="B",60,20))</f>
        <v>20</v>
      </c>
      <c r="I34" s="514">
        <f>IF(F34&gt;100,F34,100)*$F$19/100</f>
        <v>310.310733</v>
      </c>
      <c r="J34" s="515">
        <v>40195.35833333333</v>
      </c>
      <c r="K34" s="459">
        <v>40195.70625</v>
      </c>
      <c r="L34" s="516">
        <f>IF(D34="","",(K34-J34)*24)</f>
        <v>8.35000000015134</v>
      </c>
      <c r="M34" s="382">
        <f>IF(D34="","",ROUND((K34-J34)*24*60,0))</f>
        <v>501</v>
      </c>
      <c r="N34" s="517" t="s">
        <v>191</v>
      </c>
      <c r="O34" s="518" t="str">
        <f>IF(D34="","","--")</f>
        <v>--</v>
      </c>
      <c r="P34" s="223" t="str">
        <f>IF(D34="","","NO")</f>
        <v>NO</v>
      </c>
      <c r="Q34" s="223" t="str">
        <f>IF(D34="","",IF(OR(N34="P",N34="RP"),"--","NO"))</f>
        <v>--</v>
      </c>
      <c r="R34" s="519">
        <f>IF(N34="P",+I34*H34*ROUND(M34/60,2)/100,"--")</f>
        <v>518.21892411</v>
      </c>
      <c r="S34" s="520" t="str">
        <f>IF(N34="RP",I34*H34*ROUND(M34/60,2)*0.01*O34/100,"--")</f>
        <v>--</v>
      </c>
      <c r="T34" s="521" t="str">
        <f>IF(AND(N34="F",Q34="NO"),IF(P34="SI",1.2,1)*I34*H34,"--")</f>
        <v>--</v>
      </c>
      <c r="U34" s="522" t="str">
        <f>IF(AND(M34&gt;10,N34="F"),IF(M34&lt;=300,ROUND(M34/60,2),5)*I34*H34*IF(P34="SI",1.2,1),"--")</f>
        <v>--</v>
      </c>
      <c r="V34" s="523" t="str">
        <f>IF(AND(N34="F",M34&gt;300),IF(P34="SI",1.2,1)*(ROUND(M34/60,2)-5)*I34*H34*0.1,"--")</f>
        <v>--</v>
      </c>
      <c r="W34" s="524" t="str">
        <f>IF(AND(N34="R",Q34="NO"),IF(P34="SI",1.2,1)*I34*H34*O34/100,"--")</f>
        <v>--</v>
      </c>
      <c r="X34" s="525" t="str">
        <f>IF(AND(M34&gt;10,N34="R"),IF(M34&lt;=300,ROUND(M34/60,2),5)*I34*H34*O34/100*IF(P34="SI",1.2,1),"--")</f>
        <v>--</v>
      </c>
      <c r="Y34" s="526" t="str">
        <f>IF(AND(N34="R",M34&gt;300),IF(P34="SI",1.2,1)*(ROUND(M34/60,2)-5)*I34*H34*O34/100*0.1,"--")</f>
        <v>--</v>
      </c>
      <c r="Z34" s="527" t="str">
        <f>IF(N34="RF",IF(P34="SI",1.2,1)*ROUND(M34/60,2)*I34*H34*0.1,"--")</f>
        <v>--</v>
      </c>
      <c r="AA34" s="528" t="str">
        <f>IF(N34="RR",IF(P34="SI",1.2,1)*ROUND(M34/60,2)*I34*H34*O34/100*0.1,"--")</f>
        <v>--</v>
      </c>
      <c r="AB34" s="529" t="str">
        <f>IF(D34="","","SI")</f>
        <v>SI</v>
      </c>
      <c r="AC34" s="16">
        <f>IF(D34="","",SUM(R34:AA34)*IF(AB34="SI",1,2))</f>
        <v>518.21892411</v>
      </c>
      <c r="AD34" s="17"/>
    </row>
    <row r="35" spans="1:30" ht="16.5" customHeight="1" thickBot="1">
      <c r="A35" s="32"/>
      <c r="B35" s="50"/>
      <c r="C35" s="608"/>
      <c r="D35" s="530"/>
      <c r="E35" s="531"/>
      <c r="F35" s="532"/>
      <c r="G35" s="533"/>
      <c r="H35" s="534"/>
      <c r="I35" s="535"/>
      <c r="J35" s="536"/>
      <c r="K35" s="536"/>
      <c r="L35" s="9"/>
      <c r="M35" s="9"/>
      <c r="N35" s="9"/>
      <c r="O35" s="537"/>
      <c r="P35" s="9"/>
      <c r="Q35" s="9"/>
      <c r="R35" s="538"/>
      <c r="S35" s="539"/>
      <c r="T35" s="540"/>
      <c r="U35" s="541"/>
      <c r="V35" s="542"/>
      <c r="W35" s="543"/>
      <c r="X35" s="544"/>
      <c r="Y35" s="545"/>
      <c r="Z35" s="546"/>
      <c r="AA35" s="547"/>
      <c r="AB35" s="548"/>
      <c r="AC35" s="549"/>
      <c r="AD35" s="229"/>
    </row>
    <row r="36" spans="1:30" ht="16.5" customHeight="1" thickBot="1" thickTop="1">
      <c r="A36" s="32"/>
      <c r="B36" s="50"/>
      <c r="C36" s="469"/>
      <c r="D36" s="469"/>
      <c r="E36" s="550"/>
      <c r="F36" s="479"/>
      <c r="G36" s="551"/>
      <c r="H36" s="551"/>
      <c r="I36" s="552"/>
      <c r="J36" s="552"/>
      <c r="K36" s="552"/>
      <c r="L36" s="552"/>
      <c r="M36" s="552"/>
      <c r="N36" s="552"/>
      <c r="O36" s="553"/>
      <c r="P36" s="552"/>
      <c r="Q36" s="552"/>
      <c r="R36" s="554">
        <f aca="true" t="shared" si="0" ref="R36:AA36">SUM(R30:R35)</f>
        <v>935.897170728</v>
      </c>
      <c r="S36" s="555">
        <f t="shared" si="0"/>
        <v>0</v>
      </c>
      <c r="T36" s="556">
        <f t="shared" si="0"/>
        <v>12412.429320000001</v>
      </c>
      <c r="U36" s="556">
        <f t="shared" si="0"/>
        <v>17811.836074200004</v>
      </c>
      <c r="V36" s="556">
        <f t="shared" si="0"/>
        <v>0</v>
      </c>
      <c r="W36" s="557">
        <f t="shared" si="0"/>
        <v>0</v>
      </c>
      <c r="X36" s="557">
        <f t="shared" si="0"/>
        <v>0</v>
      </c>
      <c r="Y36" s="557">
        <f t="shared" si="0"/>
        <v>0</v>
      </c>
      <c r="Z36" s="558">
        <f t="shared" si="0"/>
        <v>0</v>
      </c>
      <c r="AA36" s="559">
        <f t="shared" si="0"/>
        <v>0</v>
      </c>
      <c r="AB36" s="560"/>
      <c r="AC36" s="561">
        <f>SUM(AC30:AC35)</f>
        <v>31160.162564928003</v>
      </c>
      <c r="AD36" s="229"/>
    </row>
    <row r="37" spans="1:30" ht="13.5" customHeight="1" thickBot="1" thickTop="1">
      <c r="A37" s="32"/>
      <c r="B37" s="50"/>
      <c r="C37" s="469"/>
      <c r="D37" s="469"/>
      <c r="E37" s="550"/>
      <c r="F37" s="479"/>
      <c r="G37" s="551"/>
      <c r="H37" s="551"/>
      <c r="I37" s="552"/>
      <c r="J37" s="552"/>
      <c r="K37" s="552"/>
      <c r="L37" s="552"/>
      <c r="M37" s="552"/>
      <c r="N37" s="552"/>
      <c r="O37" s="553"/>
      <c r="P37" s="552"/>
      <c r="Q37" s="552"/>
      <c r="R37" s="562"/>
      <c r="S37" s="563"/>
      <c r="T37" s="564"/>
      <c r="U37" s="564"/>
      <c r="V37" s="564"/>
      <c r="W37" s="562"/>
      <c r="X37" s="562"/>
      <c r="Y37" s="562"/>
      <c r="Z37" s="562"/>
      <c r="AA37" s="562"/>
      <c r="AB37" s="565"/>
      <c r="AC37" s="566"/>
      <c r="AD37" s="229"/>
    </row>
    <row r="38" spans="1:33" s="5" customFormat="1" ht="33.75" customHeight="1" thickBot="1" thickTop="1">
      <c r="A38" s="90"/>
      <c r="B38" s="95"/>
      <c r="C38" s="123" t="s">
        <v>13</v>
      </c>
      <c r="D38" s="119" t="s">
        <v>27</v>
      </c>
      <c r="E38" s="118" t="s">
        <v>28</v>
      </c>
      <c r="F38" s="120" t="s">
        <v>29</v>
      </c>
      <c r="G38" s="121" t="s">
        <v>14</v>
      </c>
      <c r="H38" s="129" t="s">
        <v>16</v>
      </c>
      <c r="I38" s="567"/>
      <c r="J38" s="118" t="s">
        <v>17</v>
      </c>
      <c r="K38" s="118" t="s">
        <v>18</v>
      </c>
      <c r="L38" s="119" t="s">
        <v>30</v>
      </c>
      <c r="M38" s="119" t="s">
        <v>31</v>
      </c>
      <c r="N38" s="88" t="s">
        <v>91</v>
      </c>
      <c r="O38" s="118" t="s">
        <v>32</v>
      </c>
      <c r="P38" s="568" t="s">
        <v>33</v>
      </c>
      <c r="Q38" s="569"/>
      <c r="R38" s="129" t="s">
        <v>34</v>
      </c>
      <c r="S38" s="570" t="s">
        <v>20</v>
      </c>
      <c r="T38" s="571" t="s">
        <v>92</v>
      </c>
      <c r="U38" s="572"/>
      <c r="V38" s="573" t="s">
        <v>22</v>
      </c>
      <c r="W38" s="574"/>
      <c r="X38" s="575"/>
      <c r="Y38" s="575"/>
      <c r="Z38" s="575"/>
      <c r="AA38" s="576"/>
      <c r="AB38" s="132" t="s">
        <v>63</v>
      </c>
      <c r="AC38" s="121" t="s">
        <v>24</v>
      </c>
      <c r="AD38" s="17"/>
      <c r="AF38"/>
      <c r="AG38"/>
    </row>
    <row r="39" spans="1:30" ht="16.5" customHeight="1" thickTop="1">
      <c r="A39" s="5"/>
      <c r="B39" s="50"/>
      <c r="C39" s="7"/>
      <c r="D39" s="10"/>
      <c r="E39" s="10"/>
      <c r="F39" s="10"/>
      <c r="G39" s="577"/>
      <c r="H39" s="578"/>
      <c r="I39" s="579"/>
      <c r="J39" s="10"/>
      <c r="K39" s="10"/>
      <c r="L39" s="10"/>
      <c r="M39" s="10"/>
      <c r="N39" s="10"/>
      <c r="O39" s="580"/>
      <c r="P39" s="581"/>
      <c r="Q39" s="582"/>
      <c r="R39" s="133"/>
      <c r="S39" s="583"/>
      <c r="T39" s="584"/>
      <c r="U39" s="585"/>
      <c r="V39" s="586"/>
      <c r="W39" s="587"/>
      <c r="X39" s="588"/>
      <c r="Y39" s="588"/>
      <c r="Z39" s="588"/>
      <c r="AA39" s="589"/>
      <c r="AB39" s="580"/>
      <c r="AC39" s="590"/>
      <c r="AD39" s="17"/>
    </row>
    <row r="40" spans="1:30" ht="16.5" customHeight="1">
      <c r="A40" s="5"/>
      <c r="B40" s="50"/>
      <c r="C40" s="823" t="s">
        <v>137</v>
      </c>
      <c r="D40" s="276"/>
      <c r="E40" s="276"/>
      <c r="F40" s="276"/>
      <c r="G40" s="277"/>
      <c r="H40" s="595">
        <f>F40*$F$20</f>
        <v>0</v>
      </c>
      <c r="I40" s="596"/>
      <c r="J40" s="597"/>
      <c r="K40" s="597"/>
      <c r="L40" s="294">
        <f>IF(D40="","",(K40-J40)*24)</f>
      </c>
      <c r="M40" s="14">
        <f>IF(D40="","",(K40-J40)*24*60)</f>
      </c>
      <c r="N40" s="13"/>
      <c r="O40" s="8">
        <f>IF(D40="","",IF(OR(N40="P",N40="RP"),"--","NO"))</f>
      </c>
      <c r="P40" s="598">
        <f>IF(D40="","","NO")</f>
      </c>
      <c r="Q40" s="599"/>
      <c r="R40" s="600">
        <f>200*IF(P40="SI",1,0.1)*IF(N40="P",0.1,1)</f>
        <v>20</v>
      </c>
      <c r="S40" s="601" t="str">
        <f>IF(N40="P",H40*R40*ROUND(M40/60,2),"--")</f>
        <v>--</v>
      </c>
      <c r="T40" s="602" t="str">
        <f>IF(AND(N40="F",O40="NO"),H40*R40,"--")</f>
        <v>--</v>
      </c>
      <c r="U40" s="603" t="str">
        <f>IF(N40="F",H40*R40*ROUND(M40/60,2),"--")</f>
        <v>--</v>
      </c>
      <c r="V40" s="376" t="str">
        <f>IF(N40="RF",H40*R40*ROUND(M40/60,2),"--")</f>
        <v>--</v>
      </c>
      <c r="W40" s="604"/>
      <c r="X40" s="605"/>
      <c r="Y40" s="605"/>
      <c r="Z40" s="605"/>
      <c r="AA40" s="606"/>
      <c r="AB40" s="304">
        <f>IF(D40="","","SI")</f>
      </c>
      <c r="AC40" s="305">
        <f>IF(D40="","",SUM(S40:V40)*IF(AB40="SI",1,2))</f>
      </c>
      <c r="AD40" s="17"/>
    </row>
    <row r="41" spans="1:30" ht="16.5" customHeight="1">
      <c r="A41" s="5"/>
      <c r="B41" s="50"/>
      <c r="C41" s="823" t="s">
        <v>138</v>
      </c>
      <c r="D41" s="591"/>
      <c r="E41" s="592"/>
      <c r="F41" s="593"/>
      <c r="G41" s="594"/>
      <c r="H41" s="595">
        <f>F41*$F$20</f>
        <v>0</v>
      </c>
      <c r="I41" s="596"/>
      <c r="J41" s="597"/>
      <c r="K41" s="597"/>
      <c r="L41" s="294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598">
        <f>IF(D41="","","NO")</f>
      </c>
      <c r="Q41" s="599"/>
      <c r="R41" s="600">
        <f>200*IF(P41="SI",1,0.1)*IF(N41="P",0.1,1)</f>
        <v>20</v>
      </c>
      <c r="S41" s="601" t="str">
        <f>IF(N41="P",H41*R41*ROUND(M41/60,2),"--")</f>
        <v>--</v>
      </c>
      <c r="T41" s="602" t="str">
        <f>IF(AND(N41="F",O41="NO"),H41*R41,"--")</f>
        <v>--</v>
      </c>
      <c r="U41" s="603" t="str">
        <f>IF(N41="F",H41*R41*ROUND(M41/60,2),"--")</f>
        <v>--</v>
      </c>
      <c r="V41" s="376" t="str">
        <f>IF(N41="RF",H41*R41*ROUND(M41/60,2),"--")</f>
        <v>--</v>
      </c>
      <c r="W41" s="604"/>
      <c r="X41" s="605"/>
      <c r="Y41" s="605"/>
      <c r="Z41" s="605"/>
      <c r="AA41" s="606"/>
      <c r="AB41" s="304">
        <f>IF(D41="","","SI")</f>
      </c>
      <c r="AC41" s="305">
        <f>IF(D41="","",SUM(S41:V41)*IF(AB41="SI",1,2))</f>
      </c>
      <c r="AD41" s="17"/>
    </row>
    <row r="42" spans="1:30" ht="16.5" customHeight="1" thickBot="1">
      <c r="A42" s="32"/>
      <c r="B42" s="50"/>
      <c r="C42" s="608"/>
      <c r="D42" s="609"/>
      <c r="E42" s="610"/>
      <c r="F42" s="611"/>
      <c r="G42" s="612"/>
      <c r="H42" s="613"/>
      <c r="I42" s="614"/>
      <c r="J42" s="615"/>
      <c r="K42" s="616"/>
      <c r="L42" s="617"/>
      <c r="M42" s="618"/>
      <c r="N42" s="619"/>
      <c r="O42" s="9"/>
      <c r="P42" s="620"/>
      <c r="Q42" s="621"/>
      <c r="R42" s="622"/>
      <c r="S42" s="623"/>
      <c r="T42" s="624"/>
      <c r="U42" s="625"/>
      <c r="V42" s="626"/>
      <c r="W42" s="627"/>
      <c r="X42" s="628"/>
      <c r="Y42" s="628"/>
      <c r="Z42" s="628"/>
      <c r="AA42" s="629"/>
      <c r="AB42" s="630"/>
      <c r="AC42" s="631"/>
      <c r="AD42" s="229"/>
    </row>
    <row r="43" spans="1:30" ht="18" customHeight="1" thickBot="1" thickTop="1">
      <c r="A43" s="32"/>
      <c r="B43" s="50"/>
      <c r="C43" s="98"/>
      <c r="D43" s="203"/>
      <c r="E43" s="203"/>
      <c r="F43" s="407"/>
      <c r="G43" s="632"/>
      <c r="H43" s="911"/>
      <c r="I43" s="912"/>
      <c r="J43" s="948"/>
      <c r="K43" s="949"/>
      <c r="L43" s="636"/>
      <c r="M43" s="637"/>
      <c r="N43" s="633"/>
      <c r="O43" s="192"/>
      <c r="P43" s="644"/>
      <c r="Q43" s="644"/>
      <c r="R43" s="913"/>
      <c r="S43" s="914"/>
      <c r="T43" s="915"/>
      <c r="U43" s="915"/>
      <c r="V43" s="916"/>
      <c r="W43" s="917"/>
      <c r="X43" s="917"/>
      <c r="Y43" s="917"/>
      <c r="Z43" s="917"/>
      <c r="AA43" s="917"/>
      <c r="AB43" s="193"/>
      <c r="AC43" s="561">
        <f>SUM(AC39:AC42)</f>
        <v>0</v>
      </c>
      <c r="AD43" s="229"/>
    </row>
    <row r="44" spans="1:30" ht="16.5" customHeight="1" thickBot="1" thickTop="1">
      <c r="A44" s="32"/>
      <c r="B44" s="50"/>
      <c r="C44" s="98"/>
      <c r="D44" s="203"/>
      <c r="E44" s="203"/>
      <c r="F44" s="407"/>
      <c r="G44" s="632"/>
      <c r="H44" s="633"/>
      <c r="I44" s="634"/>
      <c r="J44" s="480" t="s">
        <v>42</v>
      </c>
      <c r="K44" s="481">
        <f>+AC43+AC36</f>
        <v>31160.162564928003</v>
      </c>
      <c r="L44" s="637"/>
      <c r="M44" s="633"/>
      <c r="N44" s="643"/>
      <c r="O44" s="644"/>
      <c r="P44" s="639"/>
      <c r="Q44" s="640"/>
      <c r="R44" s="641"/>
      <c r="S44" s="641"/>
      <c r="T44" s="641"/>
      <c r="U44" s="193"/>
      <c r="V44" s="193"/>
      <c r="W44" s="193"/>
      <c r="X44" s="193"/>
      <c r="Y44" s="193"/>
      <c r="Z44" s="193"/>
      <c r="AA44" s="193"/>
      <c r="AB44" s="193"/>
      <c r="AC44" s="645"/>
      <c r="AD44" s="229"/>
    </row>
    <row r="45" spans="1:30" ht="13.5" customHeight="1" thickTop="1">
      <c r="A45" s="32"/>
      <c r="B45" s="466"/>
      <c r="C45" s="469"/>
      <c r="D45" s="646"/>
      <c r="E45" s="647"/>
      <c r="F45" s="648"/>
      <c r="G45" s="649"/>
      <c r="H45" s="649"/>
      <c r="I45" s="647"/>
      <c r="J45" s="457"/>
      <c r="K45" s="457"/>
      <c r="L45" s="647"/>
      <c r="M45" s="647"/>
      <c r="N45" s="647"/>
      <c r="O45" s="650"/>
      <c r="P45" s="647"/>
      <c r="Q45" s="647"/>
      <c r="R45" s="651"/>
      <c r="S45" s="652"/>
      <c r="T45" s="652"/>
      <c r="U45" s="653"/>
      <c r="AC45" s="653"/>
      <c r="AD45" s="654"/>
    </row>
    <row r="46" spans="1:30" ht="16.5" customHeight="1">
      <c r="A46" s="32"/>
      <c r="B46" s="466"/>
      <c r="C46" s="655" t="s">
        <v>93</v>
      </c>
      <c r="D46" s="656" t="s">
        <v>126</v>
      </c>
      <c r="E46" s="647"/>
      <c r="F46" s="648"/>
      <c r="G46" s="649"/>
      <c r="H46" s="649"/>
      <c r="I46" s="647"/>
      <c r="J46" s="457"/>
      <c r="K46" s="457"/>
      <c r="L46" s="647"/>
      <c r="M46" s="647"/>
      <c r="N46" s="647"/>
      <c r="O46" s="650"/>
      <c r="P46" s="647"/>
      <c r="Q46" s="647"/>
      <c r="R46" s="651"/>
      <c r="S46" s="652"/>
      <c r="T46" s="652"/>
      <c r="U46" s="653"/>
      <c r="AC46" s="653"/>
      <c r="AD46" s="654"/>
    </row>
    <row r="47" spans="1:30" ht="16.5" customHeight="1">
      <c r="A47" s="32"/>
      <c r="B47" s="466"/>
      <c r="C47" s="655"/>
      <c r="D47" s="646"/>
      <c r="E47" s="647"/>
      <c r="F47" s="648"/>
      <c r="G47" s="649"/>
      <c r="H47" s="649"/>
      <c r="I47" s="647"/>
      <c r="J47" s="457"/>
      <c r="K47" s="457"/>
      <c r="L47" s="647"/>
      <c r="M47" s="647"/>
      <c r="N47" s="647"/>
      <c r="O47" s="650"/>
      <c r="P47" s="647"/>
      <c r="Q47" s="647"/>
      <c r="R47" s="647"/>
      <c r="S47" s="651"/>
      <c r="T47" s="652"/>
      <c r="AD47" s="654"/>
    </row>
    <row r="48" spans="2:30" s="32" customFormat="1" ht="16.5" customHeight="1">
      <c r="B48" s="466"/>
      <c r="C48" s="469"/>
      <c r="D48" s="657" t="s">
        <v>0</v>
      </c>
      <c r="E48" s="552" t="s">
        <v>94</v>
      </c>
      <c r="F48" s="552" t="s">
        <v>43</v>
      </c>
      <c r="G48" s="658" t="s">
        <v>127</v>
      </c>
      <c r="H48" s="553"/>
      <c r="I48" s="552"/>
      <c r="J48"/>
      <c r="K48"/>
      <c r="L48" s="659" t="s">
        <v>128</v>
      </c>
      <c r="M48"/>
      <c r="N48"/>
      <c r="O48"/>
      <c r="P48"/>
      <c r="Q48" s="662"/>
      <c r="R48" s="662"/>
      <c r="S48" s="33"/>
      <c r="T48"/>
      <c r="U48"/>
      <c r="V48"/>
      <c r="W48"/>
      <c r="X48" s="33"/>
      <c r="Y48" s="33"/>
      <c r="Z48" s="33"/>
      <c r="AA48" s="33"/>
      <c r="AB48" s="33"/>
      <c r="AC48" s="663" t="s">
        <v>130</v>
      </c>
      <c r="AD48" s="654"/>
    </row>
    <row r="49" spans="2:30" s="32" customFormat="1" ht="16.5" customHeight="1">
      <c r="B49" s="466"/>
      <c r="C49" s="469"/>
      <c r="D49" s="552" t="s">
        <v>158</v>
      </c>
      <c r="E49" s="665">
        <v>354</v>
      </c>
      <c r="F49" s="665">
        <v>500</v>
      </c>
      <c r="G49" s="666">
        <f>E49*$F$19*$L$20/100</f>
        <v>404255.8224</v>
      </c>
      <c r="H49" s="666"/>
      <c r="I49" s="666"/>
      <c r="J49" s="169"/>
      <c r="K49"/>
      <c r="L49" s="667">
        <v>0</v>
      </c>
      <c r="M49" s="169"/>
      <c r="N49" s="1109" t="s">
        <v>316</v>
      </c>
      <c r="O49"/>
      <c r="P49"/>
      <c r="Q49" s="662"/>
      <c r="R49" s="662"/>
      <c r="S49" s="33"/>
      <c r="T49"/>
      <c r="U49"/>
      <c r="V49"/>
      <c r="W49"/>
      <c r="X49" s="33"/>
      <c r="Y49" s="33"/>
      <c r="Z49" s="33"/>
      <c r="AA49" s="33"/>
      <c r="AB49" s="669"/>
      <c r="AC49" s="478">
        <f>L49+G49</f>
        <v>404255.8224</v>
      </c>
      <c r="AD49" s="654"/>
    </row>
    <row r="50" spans="2:30" s="32" customFormat="1" ht="16.5" customHeight="1">
      <c r="B50" s="466"/>
      <c r="C50" s="469"/>
      <c r="D50" s="670"/>
      <c r="E50" s="665"/>
      <c r="F50" s="665"/>
      <c r="G50" s="666"/>
      <c r="H50" s="670"/>
      <c r="I50" s="671"/>
      <c r="J50" s="169"/>
      <c r="K50"/>
      <c r="L50" s="666"/>
      <c r="M50" s="169"/>
      <c r="N50" s="668"/>
      <c r="O50" s="672"/>
      <c r="P50"/>
      <c r="Q50" s="662"/>
      <c r="R50" s="662"/>
      <c r="S50" s="33"/>
      <c r="T50"/>
      <c r="U50"/>
      <c r="V50"/>
      <c r="W50"/>
      <c r="X50" s="33"/>
      <c r="Y50" s="33"/>
      <c r="Z50" s="33"/>
      <c r="AA50" s="33"/>
      <c r="AB50" s="33"/>
      <c r="AC50" s="478">
        <f>L50+G50</f>
        <v>0</v>
      </c>
      <c r="AD50" s="654"/>
    </row>
    <row r="51" spans="2:30" s="32" customFormat="1" ht="16.5" customHeight="1">
      <c r="B51" s="466"/>
      <c r="C51" s="469"/>
      <c r="E51" s="474"/>
      <c r="F51" s="552"/>
      <c r="G51" s="553"/>
      <c r="H51"/>
      <c r="I51" s="552"/>
      <c r="J51" s="552"/>
      <c r="K51"/>
      <c r="L51" s="478"/>
      <c r="M51" s="661"/>
      <c r="N51" s="661"/>
      <c r="O51" s="662"/>
      <c r="P51" s="662"/>
      <c r="Q51" s="662"/>
      <c r="R51" s="662"/>
      <c r="S51" s="33"/>
      <c r="T51"/>
      <c r="U51"/>
      <c r="V51"/>
      <c r="W51"/>
      <c r="X51" s="33"/>
      <c r="Y51" s="33"/>
      <c r="Z51" s="33"/>
      <c r="AA51" s="33"/>
      <c r="AB51" s="33"/>
      <c r="AC51" s="478"/>
      <c r="AD51" s="654"/>
    </row>
    <row r="52" spans="1:30" ht="16.5" customHeight="1">
      <c r="A52" s="32"/>
      <c r="B52" s="466"/>
      <c r="C52" s="469"/>
      <c r="D52" s="657" t="s">
        <v>106</v>
      </c>
      <c r="E52" s="552" t="s">
        <v>107</v>
      </c>
      <c r="F52" s="552" t="s">
        <v>43</v>
      </c>
      <c r="G52" s="658" t="s">
        <v>131</v>
      </c>
      <c r="I52" s="660"/>
      <c r="J52" s="552"/>
      <c r="L52" s="659" t="s">
        <v>129</v>
      </c>
      <c r="M52" s="660"/>
      <c r="N52" s="661"/>
      <c r="O52" s="662"/>
      <c r="P52" s="662"/>
      <c r="Q52" s="662"/>
      <c r="R52" s="662"/>
      <c r="S52" s="662"/>
      <c r="AC52" s="478">
        <f>+L53</f>
        <v>0</v>
      </c>
      <c r="AD52" s="654"/>
    </row>
    <row r="53" spans="1:30" ht="16.5" customHeight="1">
      <c r="A53" s="32"/>
      <c r="B53" s="466"/>
      <c r="C53" s="469"/>
      <c r="D53" s="552" t="s">
        <v>159</v>
      </c>
      <c r="E53" s="665">
        <v>450</v>
      </c>
      <c r="F53" s="665" t="s">
        <v>157</v>
      </c>
      <c r="G53" s="666">
        <f>E53*F20*L20</f>
        <v>139946.4</v>
      </c>
      <c r="H53" s="169"/>
      <c r="I53" s="169"/>
      <c r="J53" s="667"/>
      <c r="L53" s="666">
        <v>0</v>
      </c>
      <c r="M53" s="169"/>
      <c r="N53" s="1109" t="s">
        <v>316</v>
      </c>
      <c r="O53" s="699"/>
      <c r="P53" s="699"/>
      <c r="Q53" s="699"/>
      <c r="R53" s="699"/>
      <c r="S53" s="699"/>
      <c r="AC53" s="700">
        <f>G53</f>
        <v>139946.4</v>
      </c>
      <c r="AD53" s="654"/>
    </row>
    <row r="54" spans="1:30" ht="16.5" customHeight="1" thickBot="1">
      <c r="A54" s="32"/>
      <c r="B54" s="466"/>
      <c r="C54" s="469"/>
      <c r="D54" s="552"/>
      <c r="E54" s="665"/>
      <c r="F54" s="665"/>
      <c r="G54" s="666"/>
      <c r="H54" s="169"/>
      <c r="I54" s="169"/>
      <c r="J54" s="667"/>
      <c r="L54" s="667"/>
      <c r="M54" s="169"/>
      <c r="N54" s="668"/>
      <c r="O54" s="699"/>
      <c r="P54" s="699"/>
      <c r="Q54" s="699"/>
      <c r="R54" s="699"/>
      <c r="S54" s="699"/>
      <c r="AC54" s="700">
        <f>G54</f>
        <v>0</v>
      </c>
      <c r="AD54" s="654"/>
    </row>
    <row r="55" spans="1:30" ht="16.5" customHeight="1" thickBot="1">
      <c r="A55" s="32"/>
      <c r="B55" s="466"/>
      <c r="C55" s="469"/>
      <c r="D55" s="457"/>
      <c r="E55" s="474"/>
      <c r="F55" s="552"/>
      <c r="G55" s="552"/>
      <c r="H55" s="553"/>
      <c r="J55" s="552"/>
      <c r="L55" s="673"/>
      <c r="M55" s="661"/>
      <c r="N55" s="661"/>
      <c r="O55" s="662"/>
      <c r="P55" s="662"/>
      <c r="Q55" s="662"/>
      <c r="R55" s="662"/>
      <c r="S55" s="662"/>
      <c r="AB55" s="1117" t="s">
        <v>317</v>
      </c>
      <c r="AC55" s="1119">
        <f>SUM(AC49:AC54)</f>
        <v>544202.2224</v>
      </c>
      <c r="AD55" s="654"/>
    </row>
    <row r="56" spans="2:30" ht="16.5" customHeight="1" thickBot="1">
      <c r="B56" s="466"/>
      <c r="C56" s="655" t="s">
        <v>97</v>
      </c>
      <c r="D56" s="674" t="s">
        <v>98</v>
      </c>
      <c r="E56" s="552"/>
      <c r="F56" s="675"/>
      <c r="G56" s="551"/>
      <c r="H56" s="457"/>
      <c r="I56" s="457"/>
      <c r="J56" s="457"/>
      <c r="K56" s="552"/>
      <c r="L56" s="552"/>
      <c r="M56" s="457"/>
      <c r="N56" s="552"/>
      <c r="O56" s="457"/>
      <c r="P56" s="457"/>
      <c r="Q56" s="457"/>
      <c r="R56" s="457"/>
      <c r="S56" s="457"/>
      <c r="T56" s="457"/>
      <c r="U56" s="457"/>
      <c r="AC56" s="457"/>
      <c r="AD56" s="654"/>
    </row>
    <row r="57" spans="2:30" s="32" customFormat="1" ht="16.5" customHeight="1" thickBot="1">
      <c r="B57" s="466"/>
      <c r="C57" s="469"/>
      <c r="D57" s="657" t="s">
        <v>99</v>
      </c>
      <c r="E57" s="676">
        <f>10*K44*K25/AC55</f>
        <v>5708.721851417024</v>
      </c>
      <c r="G57" s="551"/>
      <c r="L57" s="552"/>
      <c r="N57" s="552"/>
      <c r="O57" s="553"/>
      <c r="V57"/>
      <c r="W57"/>
      <c r="AB57" s="1117" t="s">
        <v>318</v>
      </c>
      <c r="AC57" s="1119">
        <v>249252.48</v>
      </c>
      <c r="AD57" s="654"/>
    </row>
    <row r="58" spans="2:30" s="32" customFormat="1" ht="16.5" customHeight="1" thickBot="1">
      <c r="B58" s="466"/>
      <c r="C58" s="469"/>
      <c r="D58" s="679" t="s">
        <v>149</v>
      </c>
      <c r="E58" s="677"/>
      <c r="F58" s="479"/>
      <c r="G58" s="551"/>
      <c r="J58" s="551"/>
      <c r="K58" s="566"/>
      <c r="L58" s="552"/>
      <c r="M58" s="552"/>
      <c r="N58" s="552"/>
      <c r="O58" s="553"/>
      <c r="P58" s="552"/>
      <c r="Q58" s="552"/>
      <c r="R58" s="565"/>
      <c r="S58" s="565"/>
      <c r="T58" s="565"/>
      <c r="U58" s="678"/>
      <c r="V58"/>
      <c r="W58"/>
      <c r="AB58" s="32" t="s">
        <v>319</v>
      </c>
      <c r="AC58" s="678"/>
      <c r="AD58" s="654"/>
    </row>
    <row r="59" spans="2:30" ht="16.5" customHeight="1" thickBot="1" thickTop="1">
      <c r="B59" s="466"/>
      <c r="C59" s="469"/>
      <c r="E59" s="680"/>
      <c r="F59" s="479"/>
      <c r="G59" s="551"/>
      <c r="H59" s="457"/>
      <c r="I59" s="457"/>
      <c r="J59" s="1120" t="s">
        <v>101</v>
      </c>
      <c r="K59" s="1121">
        <f>IF(E57&gt;3*K25,K25*3,E57)</f>
        <v>5708.721851417024</v>
      </c>
      <c r="N59" s="552"/>
      <c r="O59" s="553"/>
      <c r="P59" s="552"/>
      <c r="Q59" s="552"/>
      <c r="R59" s="660"/>
      <c r="S59" s="660"/>
      <c r="T59" s="660"/>
      <c r="U59" s="661"/>
      <c r="AC59" s="661"/>
      <c r="AD59" s="654"/>
    </row>
    <row r="60" spans="2:30" ht="16.5" customHeight="1" thickTop="1">
      <c r="B60" s="34"/>
      <c r="C60" s="1122"/>
      <c r="D60" s="1123"/>
      <c r="E60" s="1124"/>
      <c r="F60" s="1125"/>
      <c r="G60" s="1126"/>
      <c r="H60" s="1127"/>
      <c r="I60" s="1127"/>
      <c r="J60" s="173"/>
      <c r="K60" s="173"/>
      <c r="L60" s="173"/>
      <c r="M60" s="173"/>
      <c r="N60" s="1128"/>
      <c r="O60" s="1129"/>
      <c r="P60" s="1128"/>
      <c r="Q60" s="1128"/>
      <c r="R60" s="1130"/>
      <c r="S60" s="1130"/>
      <c r="T60" s="1130"/>
      <c r="U60" s="1131"/>
      <c r="V60" s="173"/>
      <c r="W60" s="173"/>
      <c r="X60" s="173"/>
      <c r="Y60" s="173"/>
      <c r="Z60" s="173"/>
      <c r="AA60" s="173"/>
      <c r="AB60" s="173"/>
      <c r="AC60" s="1131"/>
      <c r="AD60" s="1132"/>
    </row>
  </sheetData>
  <sheetProtection password="CC12"/>
  <printOptions horizontalCentered="1"/>
  <pageMargins left="0.2755905511811024" right="0.1968503937007874" top="0.6299212598425197" bottom="0.43" header="0.3937007874015748" footer="0.28"/>
  <pageSetup orientation="landscape" paperSize="9" scale="40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/>
  <dimension ref="A1:AD72"/>
  <sheetViews>
    <sheetView zoomScale="75" zoomScaleNormal="75" workbookViewId="0" topLeftCell="D37">
      <selection activeCell="G81" sqref="G81"/>
    </sheetView>
  </sheetViews>
  <sheetFormatPr defaultColWidth="11.421875" defaultRowHeight="12.75"/>
  <cols>
    <col min="1" max="1" width="23.851562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10.140625" style="0" hidden="1" customWidth="1"/>
    <col min="9" max="9" width="18.7109375" style="0" customWidth="1"/>
    <col min="10" max="10" width="20.71093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4"/>
      <c r="AD1" s="703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3" customFormat="1" ht="30.75">
      <c r="A3" s="460"/>
      <c r="B3" s="461" t="str">
        <f>+'TOT-0110'!B2</f>
        <v>ANEXO II al Memorandum D.T.E.E. N°    679       / 2011           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AB3" s="462"/>
      <c r="AC3" s="462"/>
      <c r="AD3" s="462"/>
    </row>
    <row r="4" spans="1:2" s="25" customFormat="1" ht="11.25">
      <c r="A4" s="696" t="s">
        <v>2</v>
      </c>
      <c r="B4" s="697"/>
    </row>
    <row r="5" spans="1:2" s="25" customFormat="1" ht="12" thickBot="1">
      <c r="A5" s="696" t="s">
        <v>3</v>
      </c>
      <c r="B5" s="696"/>
    </row>
    <row r="6" spans="1:23" ht="16.5" customHeight="1" thickTop="1">
      <c r="A6" s="5"/>
      <c r="B6" s="69"/>
      <c r="C6" s="70"/>
      <c r="D6" s="70"/>
      <c r="E6" s="19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1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1" t="s">
        <v>82</v>
      </c>
      <c r="E9" s="43"/>
      <c r="F9" s="43"/>
      <c r="G9" s="43"/>
      <c r="H9" s="43"/>
      <c r="N9" s="43"/>
      <c r="O9" s="43"/>
      <c r="P9" s="196"/>
      <c r="Q9" s="196"/>
      <c r="R9" s="43"/>
      <c r="S9" s="43"/>
      <c r="T9" s="43"/>
      <c r="U9" s="43"/>
      <c r="V9" s="43"/>
      <c r="W9" s="197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1" t="s">
        <v>263</v>
      </c>
      <c r="E11" s="43"/>
      <c r="F11" s="43"/>
      <c r="G11" s="43"/>
      <c r="H11" s="43"/>
      <c r="N11" s="43"/>
      <c r="O11" s="43"/>
      <c r="P11" s="196"/>
      <c r="Q11" s="196"/>
      <c r="R11" s="43"/>
      <c r="S11" s="43"/>
      <c r="T11" s="43"/>
      <c r="U11" s="43"/>
      <c r="V11" s="43"/>
      <c r="W11" s="197"/>
    </row>
    <row r="12" spans="2:23" s="36" customFormat="1" ht="19.5">
      <c r="B12" s="37" t="str">
        <f>'TOT-0110'!B14</f>
        <v>Desde el 01 al 31 de enero de 2010</v>
      </c>
      <c r="C12" s="38"/>
      <c r="D12" s="40"/>
      <c r="E12" s="40"/>
      <c r="F12" s="40"/>
      <c r="G12" s="40"/>
      <c r="H12" s="40"/>
      <c r="I12" s="41"/>
      <c r="J12" s="169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26"/>
      <c r="V12" s="126"/>
      <c r="W12" s="42"/>
    </row>
    <row r="13" spans="1:23" ht="16.5" customHeight="1">
      <c r="A13" s="5"/>
      <c r="B13" s="50"/>
      <c r="C13" s="4"/>
      <c r="D13" s="4"/>
      <c r="E13" s="66"/>
      <c r="F13" s="66"/>
      <c r="G13" s="4"/>
      <c r="H13" s="4"/>
      <c r="I13" s="4"/>
      <c r="J13" s="465"/>
      <c r="K13" s="4"/>
      <c r="L13" s="4"/>
      <c r="M13" s="4"/>
      <c r="N13" s="5"/>
      <c r="O13" s="5"/>
      <c r="P13" s="4"/>
      <c r="Q13" s="4"/>
      <c r="R13" s="4"/>
      <c r="S13" s="4"/>
      <c r="T13" s="4"/>
      <c r="U13" s="4"/>
      <c r="V13" s="4"/>
      <c r="W13" s="17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140"/>
      <c r="J14" s="4"/>
      <c r="K14" s="1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 thickBot="1">
      <c r="A16" s="5"/>
      <c r="B16" s="50"/>
      <c r="C16" s="159" t="s">
        <v>83</v>
      </c>
      <c r="D16" s="54" t="s">
        <v>84</v>
      </c>
      <c r="E16" s="66"/>
      <c r="F16" s="66"/>
      <c r="G16" s="4"/>
      <c r="H16" s="4"/>
      <c r="I16" s="4"/>
      <c r="J16" s="465"/>
      <c r="K16" s="4"/>
      <c r="L16" s="4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2:23" s="32" customFormat="1" ht="16.5" customHeight="1" thickBot="1">
      <c r="B17" s="466"/>
      <c r="C17" s="33"/>
      <c r="D17" s="467"/>
      <c r="E17" s="475" t="s">
        <v>167</v>
      </c>
      <c r="F17" s="666">
        <v>499447</v>
      </c>
      <c r="G17" s="1109" t="s">
        <v>320</v>
      </c>
      <c r="H17" s="33"/>
      <c r="I17" s="33"/>
      <c r="J17" s="470"/>
      <c r="K17" s="33"/>
      <c r="L17" s="33"/>
      <c r="M17" s="33"/>
      <c r="N17" s="704" t="s">
        <v>37</v>
      </c>
      <c r="P17" s="33"/>
      <c r="Q17" s="33"/>
      <c r="R17" s="33"/>
      <c r="S17" s="33"/>
      <c r="T17" s="33"/>
      <c r="U17" s="33"/>
      <c r="V17" s="33"/>
      <c r="W17" s="471"/>
    </row>
    <row r="18" spans="2:23" s="32" customFormat="1" ht="16.5" customHeight="1">
      <c r="B18" s="466"/>
      <c r="C18" s="33"/>
      <c r="D18" s="883"/>
      <c r="E18" s="475" t="s">
        <v>40</v>
      </c>
      <c r="F18" s="476">
        <v>0.025</v>
      </c>
      <c r="G18" s="473"/>
      <c r="H18" s="33"/>
      <c r="I18" s="201"/>
      <c r="J18" s="202"/>
      <c r="K18" s="705" t="s">
        <v>108</v>
      </c>
      <c r="L18" s="706"/>
      <c r="M18" s="707">
        <v>83.706</v>
      </c>
      <c r="N18" s="708">
        <v>200</v>
      </c>
      <c r="R18" s="33"/>
      <c r="S18" s="33"/>
      <c r="T18" s="33"/>
      <c r="U18" s="33"/>
      <c r="V18" s="33"/>
      <c r="W18" s="471"/>
    </row>
    <row r="19" spans="2:23" s="32" customFormat="1" ht="16.5" customHeight="1">
      <c r="B19" s="466"/>
      <c r="C19" s="33"/>
      <c r="D19" s="883"/>
      <c r="E19" s="467" t="s">
        <v>38</v>
      </c>
      <c r="F19" s="33">
        <v>744</v>
      </c>
      <c r="G19" s="33" t="s">
        <v>39</v>
      </c>
      <c r="H19" s="33"/>
      <c r="I19" s="33"/>
      <c r="J19" s="33"/>
      <c r="K19" s="709" t="s">
        <v>71</v>
      </c>
      <c r="L19" s="710"/>
      <c r="M19" s="711">
        <v>75.332</v>
      </c>
      <c r="N19" s="712">
        <v>100</v>
      </c>
      <c r="O19" s="33"/>
      <c r="P19" s="698"/>
      <c r="Q19" s="33"/>
      <c r="R19" s="33"/>
      <c r="S19" s="33"/>
      <c r="T19" s="33"/>
      <c r="U19" s="33"/>
      <c r="V19" s="33"/>
      <c r="W19" s="471"/>
    </row>
    <row r="20" spans="2:23" s="32" customFormat="1" ht="16.5" customHeight="1" thickBot="1">
      <c r="B20" s="466"/>
      <c r="C20" s="33"/>
      <c r="D20" s="883"/>
      <c r="E20" s="467" t="s">
        <v>41</v>
      </c>
      <c r="F20" s="33">
        <v>0.418</v>
      </c>
      <c r="G20" s="32" t="s">
        <v>103</v>
      </c>
      <c r="H20" s="33"/>
      <c r="I20" s="33"/>
      <c r="J20" s="33"/>
      <c r="K20" s="713" t="s">
        <v>109</v>
      </c>
      <c r="L20" s="714"/>
      <c r="M20" s="715">
        <v>66.969</v>
      </c>
      <c r="N20" s="716">
        <v>40</v>
      </c>
      <c r="O20" s="33"/>
      <c r="P20" s="698"/>
      <c r="Q20" s="33"/>
      <c r="R20" s="33"/>
      <c r="S20" s="33"/>
      <c r="T20" s="33"/>
      <c r="U20" s="33"/>
      <c r="V20" s="33"/>
      <c r="W20" s="471"/>
    </row>
    <row r="21" spans="2:23" s="32" customFormat="1" ht="16.5" customHeight="1">
      <c r="B21" s="466"/>
      <c r="C21" s="33"/>
      <c r="D21" s="33"/>
      <c r="E21" s="479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1"/>
    </row>
    <row r="22" spans="1:23" ht="16.5" customHeight="1">
      <c r="A22" s="5"/>
      <c r="B22" s="50"/>
      <c r="C22" s="159" t="s">
        <v>87</v>
      </c>
      <c r="D22" s="3" t="s">
        <v>124</v>
      </c>
      <c r="I22" s="4"/>
      <c r="J22" s="32"/>
      <c r="O22" s="4"/>
      <c r="P22" s="4"/>
      <c r="Q22" s="4"/>
      <c r="R22" s="4"/>
      <c r="S22" s="4"/>
      <c r="T22" s="4"/>
      <c r="V22" s="4"/>
      <c r="W22" s="17"/>
    </row>
    <row r="23" spans="1:23" ht="10.5" customHeight="1" thickBot="1">
      <c r="A23" s="5"/>
      <c r="B23" s="50"/>
      <c r="C23" s="66"/>
      <c r="D23" s="3"/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2:23" s="32" customFormat="1" ht="16.5" customHeight="1" thickBot="1" thickTop="1">
      <c r="B24" s="466"/>
      <c r="C24" s="469"/>
      <c r="D24"/>
      <c r="E24"/>
      <c r="F24"/>
      <c r="G24"/>
      <c r="H24"/>
      <c r="I24" s="480" t="s">
        <v>45</v>
      </c>
      <c r="J24" s="717">
        <f>+F17*F18</f>
        <v>12486.175000000001</v>
      </c>
      <c r="L24"/>
      <c r="S24"/>
      <c r="T24"/>
      <c r="U24"/>
      <c r="W24" s="471"/>
    </row>
    <row r="25" spans="2:23" s="32" customFormat="1" ht="11.25" customHeight="1" thickTop="1">
      <c r="B25" s="466"/>
      <c r="C25" s="469"/>
      <c r="D25" s="33"/>
      <c r="E25" s="479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/>
      <c r="W25" s="471"/>
    </row>
    <row r="26" spans="1:23" ht="16.5" customHeight="1">
      <c r="A26" s="5"/>
      <c r="B26" s="50"/>
      <c r="C26" s="159" t="s">
        <v>88</v>
      </c>
      <c r="D26" s="3" t="s">
        <v>125</v>
      </c>
      <c r="E26" s="20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7"/>
    </row>
    <row r="27" spans="1:23" ht="13.5" customHeight="1" thickBot="1">
      <c r="A27" s="32"/>
      <c r="B27" s="50"/>
      <c r="C27" s="469"/>
      <c r="D27" s="469"/>
      <c r="E27" s="550"/>
      <c r="F27" s="479"/>
      <c r="G27" s="551"/>
      <c r="H27" s="551"/>
      <c r="I27" s="552"/>
      <c r="J27" s="552"/>
      <c r="K27" s="552"/>
      <c r="L27" s="552"/>
      <c r="M27" s="552"/>
      <c r="N27" s="552"/>
      <c r="O27" s="553"/>
      <c r="P27" s="552"/>
      <c r="Q27" s="552"/>
      <c r="R27" s="718"/>
      <c r="S27" s="719"/>
      <c r="T27" s="720"/>
      <c r="U27" s="720"/>
      <c r="V27" s="720"/>
      <c r="W27" s="229"/>
    </row>
    <row r="28" spans="1:26" s="5" customFormat="1" ht="33.75" customHeight="1" thickBot="1" thickTop="1">
      <c r="A28" s="90"/>
      <c r="B28" s="95"/>
      <c r="C28" s="123" t="s">
        <v>13</v>
      </c>
      <c r="D28" s="119" t="s">
        <v>27</v>
      </c>
      <c r="E28" s="118" t="s">
        <v>28</v>
      </c>
      <c r="F28" s="120" t="s">
        <v>29</v>
      </c>
      <c r="G28" s="121" t="s">
        <v>14</v>
      </c>
      <c r="H28" s="129" t="s">
        <v>16</v>
      </c>
      <c r="I28" s="118" t="s">
        <v>17</v>
      </c>
      <c r="J28" s="118" t="s">
        <v>18</v>
      </c>
      <c r="K28" s="119" t="s">
        <v>30</v>
      </c>
      <c r="L28" s="119" t="s">
        <v>31</v>
      </c>
      <c r="M28" s="88" t="s">
        <v>91</v>
      </c>
      <c r="N28" s="118" t="s">
        <v>32</v>
      </c>
      <c r="O28" s="568" t="s">
        <v>33</v>
      </c>
      <c r="P28" s="129" t="s">
        <v>34</v>
      </c>
      <c r="Q28" s="570" t="s">
        <v>20</v>
      </c>
      <c r="R28" s="571" t="s">
        <v>92</v>
      </c>
      <c r="S28" s="572"/>
      <c r="T28" s="573" t="s">
        <v>22</v>
      </c>
      <c r="U28" s="132" t="s">
        <v>63</v>
      </c>
      <c r="V28" s="121" t="s">
        <v>24</v>
      </c>
      <c r="W28" s="17"/>
      <c r="Y28"/>
      <c r="Z28"/>
    </row>
    <row r="29" spans="1:23" ht="16.5" customHeight="1" thickTop="1">
      <c r="A29" s="5"/>
      <c r="B29" s="50"/>
      <c r="C29" s="10"/>
      <c r="D29" s="10"/>
      <c r="E29" s="10"/>
      <c r="F29" s="10"/>
      <c r="G29" s="577"/>
      <c r="H29" s="578"/>
      <c r="I29" s="10"/>
      <c r="J29" s="10"/>
      <c r="K29" s="10"/>
      <c r="L29" s="10"/>
      <c r="M29" s="10"/>
      <c r="N29" s="580"/>
      <c r="O29" s="721"/>
      <c r="P29" s="133"/>
      <c r="Q29" s="583"/>
      <c r="R29" s="584"/>
      <c r="S29" s="585"/>
      <c r="T29" s="586"/>
      <c r="U29" s="580"/>
      <c r="V29" s="590"/>
      <c r="W29" s="17"/>
    </row>
    <row r="30" spans="1:23" ht="16.5" customHeight="1">
      <c r="A30" s="5"/>
      <c r="B30" s="50"/>
      <c r="C30" s="823" t="s">
        <v>137</v>
      </c>
      <c r="D30" s="591" t="s">
        <v>211</v>
      </c>
      <c r="E30" s="592" t="s">
        <v>212</v>
      </c>
      <c r="F30" s="593">
        <v>300</v>
      </c>
      <c r="G30" s="594" t="s">
        <v>202</v>
      </c>
      <c r="H30" s="595">
        <f>F30*$F$20</f>
        <v>125.39999999999999</v>
      </c>
      <c r="I30" s="597">
        <v>40198.36041666667</v>
      </c>
      <c r="J30" s="597">
        <v>40198.65069444444</v>
      </c>
      <c r="K30" s="294">
        <f>IF(D30="","",(J30-I30)*24)</f>
        <v>6.966666666499805</v>
      </c>
      <c r="L30" s="14">
        <f>IF(D30="","",(J30-I30)*24*60)</f>
        <v>417.9999999899883</v>
      </c>
      <c r="M30" s="13" t="s">
        <v>191</v>
      </c>
      <c r="N30" s="8" t="str">
        <f>IF(D30="","",IF(OR(M30="P",M30="RP"),"--","NO"))</f>
        <v>--</v>
      </c>
      <c r="O30" s="722" t="str">
        <f>IF(D30="","","NO")</f>
        <v>NO</v>
      </c>
      <c r="P30" s="600">
        <f>200*IF(O30="SI",1,0.1)*IF(M30="P",0.1,1)</f>
        <v>2</v>
      </c>
      <c r="Q30" s="601">
        <f>IF(M30="P",H30*P30*ROUND(L30/60,2),"--")</f>
        <v>1748.0759999999998</v>
      </c>
      <c r="R30" s="602" t="str">
        <f>IF(AND(M30="F",N30="NO"),H30*P30,"--")</f>
        <v>--</v>
      </c>
      <c r="S30" s="603" t="str">
        <f>IF(M30="F",H30*P30*ROUND(L30/60,2),"--")</f>
        <v>--</v>
      </c>
      <c r="T30" s="376" t="str">
        <f>IF(M30="RF",H30*P30*ROUND(L30/60,2),"--")</f>
        <v>--</v>
      </c>
      <c r="U30" s="304" t="str">
        <f>IF(D30="","","SI")</f>
        <v>SI</v>
      </c>
      <c r="V30" s="305">
        <f>IF(D30="","",SUM(Q30:T30)*IF(U30="SI",1,2))</f>
        <v>1748.0759999999998</v>
      </c>
      <c r="W30" s="229"/>
    </row>
    <row r="31" spans="1:23" ht="16.5" customHeight="1">
      <c r="A31" s="5"/>
      <c r="B31" s="50"/>
      <c r="C31" s="823" t="s">
        <v>138</v>
      </c>
      <c r="D31" s="591" t="s">
        <v>211</v>
      </c>
      <c r="E31" s="592" t="s">
        <v>212</v>
      </c>
      <c r="F31" s="593">
        <v>300</v>
      </c>
      <c r="G31" s="594" t="s">
        <v>202</v>
      </c>
      <c r="H31" s="595">
        <f>F31*$F$20</f>
        <v>125.39999999999999</v>
      </c>
      <c r="I31" s="597">
        <v>40199.36319444444</v>
      </c>
      <c r="J31" s="597">
        <v>40199.61875</v>
      </c>
      <c r="K31" s="294">
        <f>IF(D31="","",(J31-I31)*24)</f>
        <v>6.133333333418705</v>
      </c>
      <c r="L31" s="14">
        <f>IF(D31="","",(J31-I31)*24*60)</f>
        <v>368.0000000051223</v>
      </c>
      <c r="M31" s="13" t="s">
        <v>191</v>
      </c>
      <c r="N31" s="8" t="str">
        <f>IF(D31="","",IF(OR(M31="P",M31="RP"),"--","NO"))</f>
        <v>--</v>
      </c>
      <c r="O31" s="722" t="str">
        <f>IF(D31="","","NO")</f>
        <v>NO</v>
      </c>
      <c r="P31" s="600">
        <f>200*IF(O31="SI",1,0.1)*IF(M31="P",0.1,1)</f>
        <v>2</v>
      </c>
      <c r="Q31" s="601">
        <f>IF(M31="P",H31*P31*ROUND(L31/60,2),"--")</f>
        <v>1537.4039999999998</v>
      </c>
      <c r="R31" s="602" t="str">
        <f>IF(AND(M31="F",N31="NO"),H31*P31,"--")</f>
        <v>--</v>
      </c>
      <c r="S31" s="603" t="str">
        <f>IF(M31="F",H31*P31*ROUND(L31/60,2),"--")</f>
        <v>--</v>
      </c>
      <c r="T31" s="376" t="str">
        <f>IF(M31="RF",H31*P31*ROUND(L31/60,2),"--")</f>
        <v>--</v>
      </c>
      <c r="U31" s="304" t="str">
        <f>IF(D31="","","SI")</f>
        <v>SI</v>
      </c>
      <c r="V31" s="305">
        <f>IF(D31="","",SUM(Q31:T31)*IF(U31="SI",1,2))</f>
        <v>1537.4039999999998</v>
      </c>
      <c r="W31" s="229"/>
    </row>
    <row r="32" spans="1:23" ht="16.5" customHeight="1">
      <c r="A32" s="5"/>
      <c r="B32" s="50"/>
      <c r="C32" s="823" t="s">
        <v>139</v>
      </c>
      <c r="D32" s="591"/>
      <c r="E32" s="592"/>
      <c r="F32" s="593"/>
      <c r="G32" s="594"/>
      <c r="H32" s="595">
        <f>F32*$F$20</f>
        <v>0</v>
      </c>
      <c r="I32" s="597"/>
      <c r="J32" s="597"/>
      <c r="K32" s="294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722">
        <f>IF(D32="","","NO")</f>
      </c>
      <c r="P32" s="600">
        <f>200*IF(O32="SI",1,0.1)*IF(M32="P",0.1,1)</f>
        <v>20</v>
      </c>
      <c r="Q32" s="601" t="str">
        <f>IF(M32="P",H32*P32*ROUND(L32/60,2),"--")</f>
        <v>--</v>
      </c>
      <c r="R32" s="602" t="str">
        <f>IF(AND(M32="F",N32="NO"),H32*P32,"--")</f>
        <v>--</v>
      </c>
      <c r="S32" s="603" t="str">
        <f>IF(M32="F",H32*P32*ROUND(L32/60,2),"--")</f>
        <v>--</v>
      </c>
      <c r="T32" s="376" t="str">
        <f>IF(M32="RF",H32*P32*ROUND(L32/60,2),"--")</f>
        <v>--</v>
      </c>
      <c r="U32" s="304">
        <f>IF(D32="","","SI")</f>
      </c>
      <c r="V32" s="305">
        <f>IF(D32="","",SUM(Q32:T32)*IF(U32="SI",1,2))</f>
      </c>
      <c r="W32" s="229"/>
    </row>
    <row r="33" spans="1:23" ht="16.5" customHeight="1">
      <c r="A33" s="5"/>
      <c r="B33" s="50"/>
      <c r="C33" s="823" t="s">
        <v>140</v>
      </c>
      <c r="D33" s="591"/>
      <c r="E33" s="592"/>
      <c r="F33" s="593"/>
      <c r="G33" s="594"/>
      <c r="H33" s="595">
        <f>F33*$F$20</f>
        <v>0</v>
      </c>
      <c r="I33" s="597"/>
      <c r="J33" s="597"/>
      <c r="K33" s="294">
        <f>IF(D33="","",(J33-I33)*24)</f>
      </c>
      <c r="L33" s="14">
        <f>IF(D33="","",(J33-I33)*24*60)</f>
      </c>
      <c r="M33" s="13"/>
      <c r="N33" s="8">
        <f>IF(D33="","",IF(OR(M33="P",M33="RP"),"--","NO"))</f>
      </c>
      <c r="O33" s="722">
        <f>IF(D33="","","NO")</f>
      </c>
      <c r="P33" s="600">
        <f>200*IF(O33="SI",1,0.1)*IF(M33="P",0.1,1)</f>
        <v>20</v>
      </c>
      <c r="Q33" s="601" t="str">
        <f>IF(M33="P",H33*P33*ROUND(L33/60,2),"--")</f>
        <v>--</v>
      </c>
      <c r="R33" s="602" t="str">
        <f>IF(AND(M33="F",N33="NO"),H33*P33,"--")</f>
        <v>--</v>
      </c>
      <c r="S33" s="603" t="str">
        <f>IF(M33="F",H33*P33*ROUND(L33/60,2),"--")</f>
        <v>--</v>
      </c>
      <c r="T33" s="376" t="str">
        <f>IF(M33="RF",H33*P33*ROUND(L33/60,2),"--")</f>
        <v>--</v>
      </c>
      <c r="U33" s="304">
        <f>IF(D33="","","SI")</f>
      </c>
      <c r="V33" s="305">
        <f>IF(D33="","",SUM(Q33:T33)*IF(U33="SI",1,2))</f>
      </c>
      <c r="W33" s="229"/>
    </row>
    <row r="34" spans="1:23" ht="16.5" customHeight="1" thickBot="1">
      <c r="A34" s="32"/>
      <c r="B34" s="50"/>
      <c r="C34" s="608"/>
      <c r="D34" s="609"/>
      <c r="E34" s="610"/>
      <c r="F34" s="611"/>
      <c r="G34" s="612"/>
      <c r="H34" s="613"/>
      <c r="I34" s="615"/>
      <c r="J34" s="616"/>
      <c r="K34" s="617"/>
      <c r="L34" s="618"/>
      <c r="M34" s="619"/>
      <c r="N34" s="9"/>
      <c r="O34" s="723"/>
      <c r="P34" s="622"/>
      <c r="Q34" s="623"/>
      <c r="R34" s="624"/>
      <c r="S34" s="625"/>
      <c r="T34" s="626"/>
      <c r="U34" s="630"/>
      <c r="V34" s="631"/>
      <c r="W34" s="229"/>
    </row>
    <row r="35" spans="1:23" ht="16.5" customHeight="1" thickBot="1" thickTop="1">
      <c r="A35" s="32"/>
      <c r="B35" s="50"/>
      <c r="C35" s="98"/>
      <c r="D35" s="203"/>
      <c r="E35" s="203"/>
      <c r="F35" s="407"/>
      <c r="G35" s="632"/>
      <c r="H35" s="633"/>
      <c r="I35" s="634"/>
      <c r="J35" s="635"/>
      <c r="K35" s="636"/>
      <c r="L35" s="637"/>
      <c r="M35" s="633"/>
      <c r="N35" s="638"/>
      <c r="O35" s="192"/>
      <c r="P35" s="639"/>
      <c r="Q35" s="640"/>
      <c r="R35" s="641"/>
      <c r="S35" s="641"/>
      <c r="T35" s="641"/>
      <c r="U35" s="193"/>
      <c r="V35" s="642">
        <f>SUM(V29:V34)</f>
        <v>3285.4799999999996</v>
      </c>
      <c r="W35" s="229"/>
    </row>
    <row r="36" spans="1:23" ht="16.5" customHeight="1" thickBot="1" thickTop="1">
      <c r="A36" s="32"/>
      <c r="B36" s="50"/>
      <c r="C36" s="98"/>
      <c r="D36" s="203"/>
      <c r="E36" s="203"/>
      <c r="F36" s="407"/>
      <c r="G36" s="632"/>
      <c r="H36" s="633"/>
      <c r="I36" s="634"/>
      <c r="L36" s="637"/>
      <c r="M36" s="633"/>
      <c r="N36" s="643"/>
      <c r="O36" s="644"/>
      <c r="P36" s="639"/>
      <c r="Q36" s="640"/>
      <c r="R36" s="641"/>
      <c r="S36" s="641"/>
      <c r="T36" s="641"/>
      <c r="U36" s="193"/>
      <c r="V36" s="193"/>
      <c r="W36" s="229"/>
    </row>
    <row r="37" spans="2:23" s="5" customFormat="1" ht="33.75" customHeight="1" thickBot="1" thickTop="1">
      <c r="B37" s="50"/>
      <c r="C37" s="84" t="s">
        <v>13</v>
      </c>
      <c r="D37" s="86" t="s">
        <v>27</v>
      </c>
      <c r="E37" s="1139" t="s">
        <v>28</v>
      </c>
      <c r="F37" s="1141"/>
      <c r="G37" s="132" t="s">
        <v>14</v>
      </c>
      <c r="H37" s="129" t="s">
        <v>16</v>
      </c>
      <c r="I37" s="85" t="s">
        <v>17</v>
      </c>
      <c r="J37" s="359" t="s">
        <v>18</v>
      </c>
      <c r="K37" s="361" t="s">
        <v>36</v>
      </c>
      <c r="L37" s="361" t="s">
        <v>31</v>
      </c>
      <c r="M37" s="88" t="s">
        <v>19</v>
      </c>
      <c r="N37" s="1139" t="s">
        <v>32</v>
      </c>
      <c r="O37" s="1140"/>
      <c r="P37" s="135" t="s">
        <v>37</v>
      </c>
      <c r="Q37" s="362" t="s">
        <v>59</v>
      </c>
      <c r="R37" s="177" t="s">
        <v>35</v>
      </c>
      <c r="S37" s="363"/>
      <c r="T37" s="134" t="s">
        <v>22</v>
      </c>
      <c r="U37" s="132" t="s">
        <v>63</v>
      </c>
      <c r="V37" s="121" t="s">
        <v>24</v>
      </c>
      <c r="W37" s="6"/>
    </row>
    <row r="38" spans="2:23" s="5" customFormat="1" ht="16.5" customHeight="1" thickTop="1">
      <c r="B38" s="50"/>
      <c r="C38" s="7"/>
      <c r="D38" s="371"/>
      <c r="E38" s="1142"/>
      <c r="F38" s="1143"/>
      <c r="G38" s="371"/>
      <c r="H38" s="372"/>
      <c r="I38" s="371"/>
      <c r="J38" s="371"/>
      <c r="K38" s="371"/>
      <c r="L38" s="371"/>
      <c r="M38" s="371"/>
      <c r="N38" s="371"/>
      <c r="O38" s="724"/>
      <c r="P38" s="373"/>
      <c r="Q38" s="374"/>
      <c r="R38" s="188"/>
      <c r="S38" s="375"/>
      <c r="T38" s="376"/>
      <c r="U38" s="371"/>
      <c r="V38" s="377"/>
      <c r="W38" s="6"/>
    </row>
    <row r="39" spans="2:23" s="5" customFormat="1" ht="16.5" customHeight="1">
      <c r="B39" s="50"/>
      <c r="C39" s="823" t="s">
        <v>137</v>
      </c>
      <c r="D39" s="955" t="s">
        <v>238</v>
      </c>
      <c r="E39" s="1133" t="s">
        <v>239</v>
      </c>
      <c r="F39" s="1134"/>
      <c r="G39" s="956">
        <v>132</v>
      </c>
      <c r="H39" s="130">
        <f>IF(G39=500,$M$18,IF(G39=220,$M$19,$M$20))</f>
        <v>66.969</v>
      </c>
      <c r="I39" s="725">
        <v>40182.381944444445</v>
      </c>
      <c r="J39" s="726">
        <v>40182.79861111111</v>
      </c>
      <c r="K39" s="381">
        <f>IF(D39="","",(J39-I39)*24)</f>
        <v>9.999999999941792</v>
      </c>
      <c r="L39" s="382">
        <f>IF(D39="","",ROUND((J39-I39)*24*60,0))</f>
        <v>600</v>
      </c>
      <c r="M39" s="517" t="s">
        <v>191</v>
      </c>
      <c r="N39" s="456" t="str">
        <f>IF(D39="","",IF(OR(M39="P",M39="RP"),"--","NO"))</f>
        <v>--</v>
      </c>
      <c r="O39" s="432"/>
      <c r="P39" s="727">
        <f>IF(G39=500,$N$18,IF(G39=220,$N$19,$N$20))</f>
        <v>40</v>
      </c>
      <c r="Q39" s="728">
        <f>IF(M39="P",H39*P39*ROUND(L39/60,2)*0.1,"--")</f>
        <v>2678.76</v>
      </c>
      <c r="R39" s="188" t="str">
        <f>IF(AND(M39="F",N39="NO"),H39*P39,"--")</f>
        <v>--</v>
      </c>
      <c r="S39" s="375" t="str">
        <f>IF(M39="F",H39*P39*ROUND(L39/60,2),"--")</f>
        <v>--</v>
      </c>
      <c r="T39" s="376" t="str">
        <f>IF(M39="RF",H39*P39*ROUND(L39/60,2),"--")</f>
        <v>--</v>
      </c>
      <c r="U39" s="729" t="str">
        <f>IF(D39="","","SI")</f>
        <v>SI</v>
      </c>
      <c r="V39" s="383">
        <f>IF(D39="","",SUM(Q39:T39)*IF(U39="SI",1,2))</f>
        <v>2678.76</v>
      </c>
      <c r="W39" s="6"/>
    </row>
    <row r="40" spans="2:23" s="5" customFormat="1" ht="16.5" customHeight="1">
      <c r="B40" s="50"/>
      <c r="C40" s="823" t="s">
        <v>138</v>
      </c>
      <c r="D40" s="955" t="s">
        <v>240</v>
      </c>
      <c r="E40" s="1133" t="s">
        <v>241</v>
      </c>
      <c r="F40" s="1134"/>
      <c r="G40" s="956">
        <v>132</v>
      </c>
      <c r="H40" s="130">
        <f aca="true" t="shared" si="0" ref="H40:H49">IF(G40=500,$M$18,IF(G40=220,$M$19,$M$20))</f>
        <v>66.969</v>
      </c>
      <c r="I40" s="725">
        <v>40182.42013888889</v>
      </c>
      <c r="J40" s="726">
        <v>40182.6125</v>
      </c>
      <c r="K40" s="381">
        <f aca="true" t="shared" si="1" ref="K40:K49">IF(D40="","",(J40-I40)*24)</f>
        <v>4.616666666697711</v>
      </c>
      <c r="L40" s="382">
        <f aca="true" t="shared" si="2" ref="L40:L49">IF(D40="","",ROUND((J40-I40)*24*60,0))</f>
        <v>277</v>
      </c>
      <c r="M40" s="517" t="s">
        <v>191</v>
      </c>
      <c r="N40" s="456" t="str">
        <f aca="true" t="shared" si="3" ref="N40:N49">IF(D40="","",IF(OR(M40="P",M40="RP"),"--","NO"))</f>
        <v>--</v>
      </c>
      <c r="O40" s="432"/>
      <c r="P40" s="727">
        <f aca="true" t="shared" si="4" ref="P40:P49">IF(G40=500,$N$18,IF(G40=220,$N$19,$N$20))</f>
        <v>40</v>
      </c>
      <c r="Q40" s="728">
        <f aca="true" t="shared" si="5" ref="Q40:Q49">IF(M40="P",H40*P40*ROUND(L40/60,2)*0.1,"--")</f>
        <v>1237.5871200000001</v>
      </c>
      <c r="R40" s="188" t="str">
        <f aca="true" t="shared" si="6" ref="R40:R49">IF(AND(M40="F",N40="NO"),H40*P40,"--")</f>
        <v>--</v>
      </c>
      <c r="S40" s="375" t="str">
        <f aca="true" t="shared" si="7" ref="S40:S49">IF(M40="F",H40*P40*ROUND(L40/60,2),"--")</f>
        <v>--</v>
      </c>
      <c r="T40" s="376" t="str">
        <f aca="true" t="shared" si="8" ref="T40:T49">IF(M40="RF",H40*P40*ROUND(L40/60,2),"--")</f>
        <v>--</v>
      </c>
      <c r="U40" s="729" t="str">
        <f aca="true" t="shared" si="9" ref="U40:U49">IF(D40="","","SI")</f>
        <v>SI</v>
      </c>
      <c r="V40" s="383">
        <f aca="true" t="shared" si="10" ref="V40:V49">IF(D40="","",SUM(Q40:T40)*IF(U40="SI",1,2))</f>
        <v>1237.5871200000001</v>
      </c>
      <c r="W40" s="6"/>
    </row>
    <row r="41" spans="2:23" s="5" customFormat="1" ht="16.5" customHeight="1">
      <c r="B41" s="50"/>
      <c r="C41" s="823" t="s">
        <v>139</v>
      </c>
      <c r="D41" s="955" t="s">
        <v>240</v>
      </c>
      <c r="E41" s="1133" t="s">
        <v>242</v>
      </c>
      <c r="F41" s="1134"/>
      <c r="G41" s="956">
        <v>132</v>
      </c>
      <c r="H41" s="130">
        <f t="shared" si="0"/>
        <v>66.969</v>
      </c>
      <c r="I41" s="725">
        <v>40182.46944444445</v>
      </c>
      <c r="J41" s="726">
        <v>40182.62777777778</v>
      </c>
      <c r="K41" s="381">
        <f t="shared" si="1"/>
        <v>3.7999999999883585</v>
      </c>
      <c r="L41" s="382">
        <f t="shared" si="2"/>
        <v>228</v>
      </c>
      <c r="M41" s="517" t="s">
        <v>191</v>
      </c>
      <c r="N41" s="456" t="str">
        <f t="shared" si="3"/>
        <v>--</v>
      </c>
      <c r="O41" s="432"/>
      <c r="P41" s="727">
        <f t="shared" si="4"/>
        <v>40</v>
      </c>
      <c r="Q41" s="728">
        <f t="shared" si="5"/>
        <v>1017.9287999999999</v>
      </c>
      <c r="R41" s="188" t="str">
        <f t="shared" si="6"/>
        <v>--</v>
      </c>
      <c r="S41" s="375" t="str">
        <f t="shared" si="7"/>
        <v>--</v>
      </c>
      <c r="T41" s="376" t="str">
        <f t="shared" si="8"/>
        <v>--</v>
      </c>
      <c r="U41" s="729" t="str">
        <f t="shared" si="9"/>
        <v>SI</v>
      </c>
      <c r="V41" s="383">
        <f t="shared" si="10"/>
        <v>1017.9287999999999</v>
      </c>
      <c r="W41" s="6"/>
    </row>
    <row r="42" spans="2:23" s="5" customFormat="1" ht="16.5" customHeight="1">
      <c r="B42" s="50"/>
      <c r="C42" s="823" t="s">
        <v>140</v>
      </c>
      <c r="D42" s="955" t="s">
        <v>240</v>
      </c>
      <c r="E42" s="1133" t="s">
        <v>241</v>
      </c>
      <c r="F42" s="1134"/>
      <c r="G42" s="956">
        <v>132</v>
      </c>
      <c r="H42" s="130">
        <f t="shared" si="0"/>
        <v>66.969</v>
      </c>
      <c r="I42" s="725">
        <v>40183.39375</v>
      </c>
      <c r="J42" s="726">
        <v>40183.64236111111</v>
      </c>
      <c r="K42" s="381">
        <f t="shared" si="1"/>
        <v>5.966666666558012</v>
      </c>
      <c r="L42" s="382">
        <f t="shared" si="2"/>
        <v>358</v>
      </c>
      <c r="M42" s="517" t="s">
        <v>191</v>
      </c>
      <c r="N42" s="456" t="str">
        <f t="shared" si="3"/>
        <v>--</v>
      </c>
      <c r="O42" s="432"/>
      <c r="P42" s="727">
        <f t="shared" si="4"/>
        <v>40</v>
      </c>
      <c r="Q42" s="728">
        <f t="shared" si="5"/>
        <v>1599.21972</v>
      </c>
      <c r="R42" s="188" t="str">
        <f t="shared" si="6"/>
        <v>--</v>
      </c>
      <c r="S42" s="375" t="str">
        <f t="shared" si="7"/>
        <v>--</v>
      </c>
      <c r="T42" s="376" t="str">
        <f t="shared" si="8"/>
        <v>--</v>
      </c>
      <c r="U42" s="729" t="str">
        <f t="shared" si="9"/>
        <v>SI</v>
      </c>
      <c r="V42" s="383">
        <f t="shared" si="10"/>
        <v>1599.21972</v>
      </c>
      <c r="W42" s="6"/>
    </row>
    <row r="43" spans="2:23" s="5" customFormat="1" ht="16.5" customHeight="1">
      <c r="B43" s="50"/>
      <c r="C43" s="823" t="s">
        <v>141</v>
      </c>
      <c r="D43" s="955" t="s">
        <v>240</v>
      </c>
      <c r="E43" s="1133" t="s">
        <v>241</v>
      </c>
      <c r="F43" s="1134"/>
      <c r="G43" s="956">
        <v>132</v>
      </c>
      <c r="H43" s="130">
        <f t="shared" si="0"/>
        <v>66.969</v>
      </c>
      <c r="I43" s="725">
        <v>40184.39513888889</v>
      </c>
      <c r="J43" s="726">
        <v>40184.64236111111</v>
      </c>
      <c r="K43" s="381">
        <f t="shared" si="1"/>
        <v>5.933333333290648</v>
      </c>
      <c r="L43" s="382">
        <f t="shared" si="2"/>
        <v>356</v>
      </c>
      <c r="M43" s="517" t="s">
        <v>191</v>
      </c>
      <c r="N43" s="456" t="str">
        <f t="shared" si="3"/>
        <v>--</v>
      </c>
      <c r="O43" s="432"/>
      <c r="P43" s="727">
        <f t="shared" si="4"/>
        <v>40</v>
      </c>
      <c r="Q43" s="728">
        <f t="shared" si="5"/>
        <v>1588.50468</v>
      </c>
      <c r="R43" s="188" t="str">
        <f t="shared" si="6"/>
        <v>--</v>
      </c>
      <c r="S43" s="375" t="str">
        <f t="shared" si="7"/>
        <v>--</v>
      </c>
      <c r="T43" s="376" t="str">
        <f t="shared" si="8"/>
        <v>--</v>
      </c>
      <c r="U43" s="729" t="str">
        <f t="shared" si="9"/>
        <v>SI</v>
      </c>
      <c r="V43" s="383">
        <f>IF(D43="","",SUM(Q43:T43)*IF(U43="SI",1,2))</f>
        <v>1588.50468</v>
      </c>
      <c r="W43" s="6"/>
    </row>
    <row r="44" spans="2:23" s="5" customFormat="1" ht="16.5" customHeight="1">
      <c r="B44" s="50"/>
      <c r="C44" s="823" t="s">
        <v>142</v>
      </c>
      <c r="D44" s="955" t="s">
        <v>240</v>
      </c>
      <c r="E44" s="1133" t="s">
        <v>241</v>
      </c>
      <c r="F44" s="1134"/>
      <c r="G44" s="956">
        <v>132</v>
      </c>
      <c r="H44" s="130">
        <f t="shared" si="0"/>
        <v>66.969</v>
      </c>
      <c r="I44" s="725">
        <v>40185.40694444445</v>
      </c>
      <c r="J44" s="726">
        <v>40185.61944444444</v>
      </c>
      <c r="K44" s="381">
        <f t="shared" si="1"/>
        <v>5.099999999860302</v>
      </c>
      <c r="L44" s="382">
        <f t="shared" si="2"/>
        <v>306</v>
      </c>
      <c r="M44" s="517" t="s">
        <v>191</v>
      </c>
      <c r="N44" s="456" t="str">
        <f t="shared" si="3"/>
        <v>--</v>
      </c>
      <c r="O44" s="432"/>
      <c r="P44" s="727">
        <f t="shared" si="4"/>
        <v>40</v>
      </c>
      <c r="Q44" s="728">
        <f t="shared" si="5"/>
        <v>1366.1675999999998</v>
      </c>
      <c r="R44" s="188" t="str">
        <f t="shared" si="6"/>
        <v>--</v>
      </c>
      <c r="S44" s="375" t="str">
        <f t="shared" si="7"/>
        <v>--</v>
      </c>
      <c r="T44" s="376" t="str">
        <f t="shared" si="8"/>
        <v>--</v>
      </c>
      <c r="U44" s="729" t="str">
        <f t="shared" si="9"/>
        <v>SI</v>
      </c>
      <c r="V44" s="383">
        <f t="shared" si="10"/>
        <v>1366.1675999999998</v>
      </c>
      <c r="W44" s="6"/>
    </row>
    <row r="45" spans="2:23" s="5" customFormat="1" ht="16.5" customHeight="1">
      <c r="B45" s="50"/>
      <c r="C45" s="823" t="s">
        <v>143</v>
      </c>
      <c r="D45" s="955" t="s">
        <v>240</v>
      </c>
      <c r="E45" s="1133" t="s">
        <v>241</v>
      </c>
      <c r="F45" s="1134"/>
      <c r="G45" s="956">
        <v>132</v>
      </c>
      <c r="H45" s="130">
        <f t="shared" si="0"/>
        <v>66.969</v>
      </c>
      <c r="I45" s="725">
        <v>40186.40555555555</v>
      </c>
      <c r="J45" s="726">
        <v>40186.56736111111</v>
      </c>
      <c r="K45" s="381">
        <f t="shared" si="1"/>
        <v>3.8833333334187046</v>
      </c>
      <c r="L45" s="382">
        <f t="shared" si="2"/>
        <v>233</v>
      </c>
      <c r="M45" s="517" t="s">
        <v>191</v>
      </c>
      <c r="N45" s="456" t="str">
        <f t="shared" si="3"/>
        <v>--</v>
      </c>
      <c r="O45" s="432"/>
      <c r="P45" s="727">
        <f t="shared" si="4"/>
        <v>40</v>
      </c>
      <c r="Q45" s="728">
        <f t="shared" si="5"/>
        <v>1039.35888</v>
      </c>
      <c r="R45" s="188" t="str">
        <f t="shared" si="6"/>
        <v>--</v>
      </c>
      <c r="S45" s="375" t="str">
        <f t="shared" si="7"/>
        <v>--</v>
      </c>
      <c r="T45" s="376" t="str">
        <f t="shared" si="8"/>
        <v>--</v>
      </c>
      <c r="U45" s="729" t="str">
        <f t="shared" si="9"/>
        <v>SI</v>
      </c>
      <c r="V45" s="383">
        <f t="shared" si="10"/>
        <v>1039.35888</v>
      </c>
      <c r="W45" s="6"/>
    </row>
    <row r="46" spans="2:23" s="5" customFormat="1" ht="16.5" customHeight="1">
      <c r="B46" s="50"/>
      <c r="C46" s="823" t="s">
        <v>144</v>
      </c>
      <c r="D46" s="955" t="s">
        <v>238</v>
      </c>
      <c r="E46" s="1133" t="s">
        <v>243</v>
      </c>
      <c r="F46" s="1134"/>
      <c r="G46" s="956">
        <v>132</v>
      </c>
      <c r="H46" s="130">
        <f t="shared" si="0"/>
        <v>66.969</v>
      </c>
      <c r="I46" s="725">
        <v>40189.43194444444</v>
      </c>
      <c r="J46" s="726">
        <v>40189.69513888889</v>
      </c>
      <c r="K46" s="381">
        <f t="shared" si="1"/>
        <v>6.316666666825768</v>
      </c>
      <c r="L46" s="382">
        <f t="shared" si="2"/>
        <v>379</v>
      </c>
      <c r="M46" s="517" t="s">
        <v>191</v>
      </c>
      <c r="N46" s="456" t="str">
        <f t="shared" si="3"/>
        <v>--</v>
      </c>
      <c r="O46" s="432"/>
      <c r="P46" s="727">
        <f t="shared" si="4"/>
        <v>40</v>
      </c>
      <c r="Q46" s="728">
        <f t="shared" si="5"/>
        <v>1692.9763199999998</v>
      </c>
      <c r="R46" s="188" t="str">
        <f t="shared" si="6"/>
        <v>--</v>
      </c>
      <c r="S46" s="375" t="str">
        <f t="shared" si="7"/>
        <v>--</v>
      </c>
      <c r="T46" s="376" t="str">
        <f t="shared" si="8"/>
        <v>--</v>
      </c>
      <c r="U46" s="729" t="str">
        <f t="shared" si="9"/>
        <v>SI</v>
      </c>
      <c r="V46" s="383">
        <f t="shared" si="10"/>
        <v>1692.9763199999998</v>
      </c>
      <c r="W46" s="6"/>
    </row>
    <row r="47" spans="2:23" s="5" customFormat="1" ht="16.5" customHeight="1">
      <c r="B47" s="50"/>
      <c r="C47" s="823" t="s">
        <v>145</v>
      </c>
      <c r="D47" s="955" t="s">
        <v>238</v>
      </c>
      <c r="E47" s="1133" t="s">
        <v>243</v>
      </c>
      <c r="F47" s="1134"/>
      <c r="G47" s="956">
        <v>132</v>
      </c>
      <c r="H47" s="130">
        <f t="shared" si="0"/>
        <v>66.969</v>
      </c>
      <c r="I47" s="725">
        <v>40190.36597222222</v>
      </c>
      <c r="J47" s="726">
        <v>40190.74444444444</v>
      </c>
      <c r="K47" s="381">
        <f t="shared" si="1"/>
        <v>9.083333333255723</v>
      </c>
      <c r="L47" s="382">
        <f t="shared" si="2"/>
        <v>545</v>
      </c>
      <c r="M47" s="517" t="s">
        <v>191</v>
      </c>
      <c r="N47" s="456" t="str">
        <f t="shared" si="3"/>
        <v>--</v>
      </c>
      <c r="O47" s="432"/>
      <c r="P47" s="727">
        <f t="shared" si="4"/>
        <v>40</v>
      </c>
      <c r="Q47" s="728">
        <f t="shared" si="5"/>
        <v>2432.3140799999996</v>
      </c>
      <c r="R47" s="188" t="str">
        <f t="shared" si="6"/>
        <v>--</v>
      </c>
      <c r="S47" s="375" t="str">
        <f t="shared" si="7"/>
        <v>--</v>
      </c>
      <c r="T47" s="376" t="str">
        <f t="shared" si="8"/>
        <v>--</v>
      </c>
      <c r="U47" s="729" t="str">
        <f t="shared" si="9"/>
        <v>SI</v>
      </c>
      <c r="V47" s="383">
        <f t="shared" si="10"/>
        <v>2432.3140799999996</v>
      </c>
      <c r="W47" s="6"/>
    </row>
    <row r="48" spans="2:23" s="5" customFormat="1" ht="16.5" customHeight="1">
      <c r="B48" s="50"/>
      <c r="C48" s="823" t="s">
        <v>146</v>
      </c>
      <c r="D48" s="955" t="s">
        <v>244</v>
      </c>
      <c r="E48" s="1133" t="s">
        <v>245</v>
      </c>
      <c r="F48" s="1134"/>
      <c r="G48" s="956">
        <v>132</v>
      </c>
      <c r="H48" s="130">
        <f t="shared" si="0"/>
        <v>66.969</v>
      </c>
      <c r="I48" s="725">
        <v>40190.37986111111</v>
      </c>
      <c r="J48" s="726">
        <v>40190.53472222222</v>
      </c>
      <c r="K48" s="381">
        <f t="shared" si="1"/>
        <v>3.7166666665580124</v>
      </c>
      <c r="L48" s="382">
        <f t="shared" si="2"/>
        <v>223</v>
      </c>
      <c r="M48" s="517" t="s">
        <v>191</v>
      </c>
      <c r="N48" s="456" t="str">
        <f t="shared" si="3"/>
        <v>--</v>
      </c>
      <c r="O48" s="432"/>
      <c r="P48" s="727">
        <f t="shared" si="4"/>
        <v>40</v>
      </c>
      <c r="Q48" s="728">
        <f t="shared" si="5"/>
        <v>996.49872</v>
      </c>
      <c r="R48" s="188" t="str">
        <f t="shared" si="6"/>
        <v>--</v>
      </c>
      <c r="S48" s="375" t="str">
        <f t="shared" si="7"/>
        <v>--</v>
      </c>
      <c r="T48" s="376" t="str">
        <f t="shared" si="8"/>
        <v>--</v>
      </c>
      <c r="U48" s="729" t="str">
        <f t="shared" si="9"/>
        <v>SI</v>
      </c>
      <c r="V48" s="383">
        <f t="shared" si="10"/>
        <v>996.49872</v>
      </c>
      <c r="W48" s="6"/>
    </row>
    <row r="49" spans="2:23" s="5" customFormat="1" ht="16.5" customHeight="1">
      <c r="B49" s="50"/>
      <c r="C49" s="823" t="s">
        <v>147</v>
      </c>
      <c r="D49" s="955" t="s">
        <v>240</v>
      </c>
      <c r="E49" s="1133" t="s">
        <v>246</v>
      </c>
      <c r="F49" s="1134"/>
      <c r="G49" s="956">
        <v>132</v>
      </c>
      <c r="H49" s="130">
        <f t="shared" si="0"/>
        <v>66.969</v>
      </c>
      <c r="I49" s="725">
        <v>40190.40694444445</v>
      </c>
      <c r="J49" s="726">
        <v>40190.5875</v>
      </c>
      <c r="K49" s="381">
        <f t="shared" si="1"/>
        <v>4.333333333313931</v>
      </c>
      <c r="L49" s="382">
        <f t="shared" si="2"/>
        <v>260</v>
      </c>
      <c r="M49" s="517" t="s">
        <v>191</v>
      </c>
      <c r="N49" s="456" t="str">
        <f t="shared" si="3"/>
        <v>--</v>
      </c>
      <c r="O49" s="432"/>
      <c r="P49" s="727">
        <f t="shared" si="4"/>
        <v>40</v>
      </c>
      <c r="Q49" s="728">
        <f t="shared" si="5"/>
        <v>1159.9030799999998</v>
      </c>
      <c r="R49" s="188" t="str">
        <f t="shared" si="6"/>
        <v>--</v>
      </c>
      <c r="S49" s="375" t="str">
        <f t="shared" si="7"/>
        <v>--</v>
      </c>
      <c r="T49" s="376" t="str">
        <f t="shared" si="8"/>
        <v>--</v>
      </c>
      <c r="U49" s="729" t="str">
        <f t="shared" si="9"/>
        <v>SI</v>
      </c>
      <c r="V49" s="383">
        <f t="shared" si="10"/>
        <v>1159.9030799999998</v>
      </c>
      <c r="W49" s="6"/>
    </row>
    <row r="50" spans="2:28" s="5" customFormat="1" ht="16.5" customHeight="1" thickBot="1">
      <c r="B50" s="50"/>
      <c r="C50" s="608"/>
      <c r="D50" s="731"/>
      <c r="E50" s="1137"/>
      <c r="F50" s="1138"/>
      <c r="G50" s="732"/>
      <c r="H50" s="733"/>
      <c r="I50" s="734"/>
      <c r="J50" s="735"/>
      <c r="K50" s="736"/>
      <c r="L50" s="737"/>
      <c r="M50" s="738"/>
      <c r="N50" s="739"/>
      <c r="O50" s="738"/>
      <c r="P50" s="740"/>
      <c r="Q50" s="741"/>
      <c r="R50" s="742"/>
      <c r="S50" s="743"/>
      <c r="T50" s="744"/>
      <c r="U50" s="745"/>
      <c r="V50" s="746"/>
      <c r="W50" s="6"/>
      <c r="X50"/>
      <c r="Y50"/>
      <c r="Z50"/>
      <c r="AA50"/>
      <c r="AB50"/>
    </row>
    <row r="51" spans="1:23" ht="17.25" thickBot="1" thickTop="1">
      <c r="A51" s="32"/>
      <c r="B51" s="466"/>
      <c r="C51" s="469"/>
      <c r="D51" s="646"/>
      <c r="E51" s="647"/>
      <c r="F51" s="648"/>
      <c r="G51" s="649"/>
      <c r="H51" s="649"/>
      <c r="I51" s="647"/>
      <c r="J51" s="457"/>
      <c r="K51" s="457"/>
      <c r="L51" s="647"/>
      <c r="M51" s="647"/>
      <c r="N51" s="647"/>
      <c r="O51" s="650"/>
      <c r="P51" s="647"/>
      <c r="Q51" s="647"/>
      <c r="R51" s="651"/>
      <c r="S51" s="652"/>
      <c r="T51" s="652"/>
      <c r="U51" s="653"/>
      <c r="V51" s="642">
        <f>SUM(V39:V50)</f>
        <v>16809.218999999997</v>
      </c>
      <c r="W51" s="654"/>
    </row>
    <row r="52" spans="1:23" ht="17.25" thickBot="1" thickTop="1">
      <c r="A52" s="32"/>
      <c r="B52" s="466"/>
      <c r="C52" s="469"/>
      <c r="D52" s="646"/>
      <c r="E52" s="647"/>
      <c r="F52" s="648"/>
      <c r="G52" s="649"/>
      <c r="H52" s="649"/>
      <c r="I52" s="480" t="s">
        <v>42</v>
      </c>
      <c r="J52" s="717">
        <f>+V51+V35</f>
        <v>20094.698999999997</v>
      </c>
      <c r="L52" s="647"/>
      <c r="M52" s="647"/>
      <c r="N52" s="647"/>
      <c r="O52" s="650"/>
      <c r="P52" s="647"/>
      <c r="Q52" s="647"/>
      <c r="R52" s="651"/>
      <c r="S52" s="652"/>
      <c r="T52" s="652"/>
      <c r="U52" s="653"/>
      <c r="W52" s="654"/>
    </row>
    <row r="53" spans="1:23" ht="13.5" customHeight="1" thickTop="1">
      <c r="A53" s="32"/>
      <c r="B53" s="466"/>
      <c r="C53" s="469"/>
      <c r="D53" s="646"/>
      <c r="E53" s="647"/>
      <c r="F53" s="648"/>
      <c r="G53" s="649"/>
      <c r="H53" s="649"/>
      <c r="I53" s="647"/>
      <c r="J53" s="457"/>
      <c r="K53" s="457"/>
      <c r="L53" s="647"/>
      <c r="M53" s="647"/>
      <c r="N53" s="647"/>
      <c r="O53" s="650"/>
      <c r="P53" s="647"/>
      <c r="Q53" s="647"/>
      <c r="R53" s="651"/>
      <c r="S53" s="652"/>
      <c r="T53" s="652"/>
      <c r="U53" s="653"/>
      <c r="W53" s="654"/>
    </row>
    <row r="54" spans="1:23" ht="16.5" customHeight="1">
      <c r="A54" s="32"/>
      <c r="B54" s="466"/>
      <c r="C54" s="655" t="s">
        <v>93</v>
      </c>
      <c r="D54" s="656" t="s">
        <v>126</v>
      </c>
      <c r="E54" s="647"/>
      <c r="F54" s="648"/>
      <c r="G54" s="649"/>
      <c r="H54" s="649"/>
      <c r="I54" s="647"/>
      <c r="J54" s="457"/>
      <c r="K54" s="457"/>
      <c r="L54" s="647"/>
      <c r="M54" s="647"/>
      <c r="N54" s="647"/>
      <c r="O54" s="650"/>
      <c r="P54" s="647"/>
      <c r="Q54" s="647"/>
      <c r="R54" s="651"/>
      <c r="S54" s="652"/>
      <c r="T54" s="652"/>
      <c r="U54" s="653"/>
      <c r="W54" s="654"/>
    </row>
    <row r="55" spans="1:23" ht="16.5" customHeight="1">
      <c r="A55" s="32"/>
      <c r="B55" s="466"/>
      <c r="C55" s="655"/>
      <c r="D55" s="646"/>
      <c r="E55" s="647"/>
      <c r="F55" s="648"/>
      <c r="G55" s="649"/>
      <c r="H55" s="649"/>
      <c r="I55" s="647"/>
      <c r="J55" s="457"/>
      <c r="K55" s="457"/>
      <c r="L55" s="647"/>
      <c r="M55" s="647"/>
      <c r="N55" s="647"/>
      <c r="O55" s="650"/>
      <c r="P55" s="647"/>
      <c r="Q55" s="647"/>
      <c r="R55" s="647"/>
      <c r="S55" s="651"/>
      <c r="T55" s="652"/>
      <c r="W55" s="654"/>
    </row>
    <row r="56" spans="2:23" s="32" customFormat="1" ht="16.5" customHeight="1">
      <c r="B56" s="466"/>
      <c r="C56" s="469"/>
      <c r="D56" s="657" t="s">
        <v>106</v>
      </c>
      <c r="E56" s="552" t="s">
        <v>107</v>
      </c>
      <c r="F56" s="552" t="s">
        <v>43</v>
      </c>
      <c r="G56" s="658" t="s">
        <v>131</v>
      </c>
      <c r="H56"/>
      <c r="I56" s="139"/>
      <c r="J56" s="670" t="s">
        <v>49</v>
      </c>
      <c r="K56" s="670"/>
      <c r="L56" s="552" t="s">
        <v>43</v>
      </c>
      <c r="M56" t="s">
        <v>110</v>
      </c>
      <c r="O56" s="658" t="s">
        <v>133</v>
      </c>
      <c r="P56"/>
      <c r="Q56" s="662"/>
      <c r="R56" s="662"/>
      <c r="S56" s="33"/>
      <c r="T56"/>
      <c r="U56"/>
      <c r="V56"/>
      <c r="W56" s="654"/>
    </row>
    <row r="57" spans="2:23" s="32" customFormat="1" ht="16.5" customHeight="1">
      <c r="B57" s="466"/>
      <c r="C57" s="469"/>
      <c r="D57" s="143" t="s">
        <v>111</v>
      </c>
      <c r="E57" s="143">
        <v>300</v>
      </c>
      <c r="F57" s="747">
        <v>500</v>
      </c>
      <c r="G57" s="1136">
        <f>+E57*$F$19*$F$20</f>
        <v>93297.59999999999</v>
      </c>
      <c r="H57" s="1136"/>
      <c r="I57" s="1136"/>
      <c r="J57" s="748" t="s">
        <v>112</v>
      </c>
      <c r="K57" s="748"/>
      <c r="L57" s="143">
        <v>500</v>
      </c>
      <c r="M57" s="143">
        <v>2</v>
      </c>
      <c r="O57" s="1136">
        <f>+M57*$F$19*$M$18</f>
        <v>124554.528</v>
      </c>
      <c r="P57" s="1136"/>
      <c r="Q57" s="1136"/>
      <c r="R57" s="1136"/>
      <c r="S57" s="1136"/>
      <c r="T57" s="1136"/>
      <c r="U57" s="1136"/>
      <c r="V57"/>
      <c r="W57" s="654"/>
    </row>
    <row r="58" spans="2:23" s="32" customFormat="1" ht="16.5" customHeight="1">
      <c r="B58" s="466"/>
      <c r="C58" s="469"/>
      <c r="D58" s="143" t="s">
        <v>113</v>
      </c>
      <c r="E58" s="142">
        <v>300</v>
      </c>
      <c r="F58" s="747">
        <v>500</v>
      </c>
      <c r="G58" s="1136">
        <f>+E58*$F$19*$F$20</f>
        <v>93297.59999999999</v>
      </c>
      <c r="H58" s="1136"/>
      <c r="I58" s="1136"/>
      <c r="J58" s="748" t="s">
        <v>112</v>
      </c>
      <c r="K58" s="748"/>
      <c r="L58" s="143">
        <v>132</v>
      </c>
      <c r="M58" s="143">
        <v>9</v>
      </c>
      <c r="O58" s="1136">
        <f>+M58*$F$19*$M$18</f>
        <v>560495.376</v>
      </c>
      <c r="P58" s="1136"/>
      <c r="Q58" s="1136"/>
      <c r="R58" s="1136"/>
      <c r="S58" s="1136"/>
      <c r="T58" s="1136"/>
      <c r="U58" s="1136"/>
      <c r="V58"/>
      <c r="W58" s="654"/>
    </row>
    <row r="59" spans="2:23" s="32" customFormat="1" ht="16.5" customHeight="1">
      <c r="B59" s="466"/>
      <c r="C59" s="469"/>
      <c r="D59" s="141" t="s">
        <v>114</v>
      </c>
      <c r="E59" s="142">
        <v>300</v>
      </c>
      <c r="F59" s="747">
        <v>500</v>
      </c>
      <c r="G59" s="1136">
        <f>+E59*$F$19*$F$20</f>
        <v>93297.59999999999</v>
      </c>
      <c r="H59" s="1136"/>
      <c r="I59" s="1136"/>
      <c r="J59" s="748" t="s">
        <v>115</v>
      </c>
      <c r="K59" s="748"/>
      <c r="L59" s="143">
        <v>132</v>
      </c>
      <c r="M59" s="143">
        <v>8</v>
      </c>
      <c r="O59" s="1136">
        <f>+M59*$F$19*$M$18</f>
        <v>498218.112</v>
      </c>
      <c r="P59" s="1136"/>
      <c r="Q59" s="1136"/>
      <c r="R59" s="1136"/>
      <c r="S59" s="1136"/>
      <c r="T59" s="1136"/>
      <c r="U59" s="1136"/>
      <c r="V59"/>
      <c r="W59" s="654"/>
    </row>
    <row r="60" spans="1:23" ht="16.5" customHeight="1">
      <c r="A60" s="32"/>
      <c r="B60" s="466"/>
      <c r="C60" s="469"/>
      <c r="D60" s="141" t="s">
        <v>116</v>
      </c>
      <c r="E60" s="142">
        <v>300</v>
      </c>
      <c r="F60" s="747">
        <v>500</v>
      </c>
      <c r="G60" s="1136">
        <f>+E60*$F$19*$F$20</f>
        <v>93297.59999999999</v>
      </c>
      <c r="H60" s="1136"/>
      <c r="I60" s="1136"/>
      <c r="J60" s="748" t="s">
        <v>117</v>
      </c>
      <c r="K60" s="748"/>
      <c r="L60" s="143">
        <v>132</v>
      </c>
      <c r="M60" s="143">
        <v>5</v>
      </c>
      <c r="O60" s="1135">
        <f>+M60*$F$19*$M$18</f>
        <v>311386.32</v>
      </c>
      <c r="P60" s="1135"/>
      <c r="Q60" s="1135"/>
      <c r="R60" s="1135"/>
      <c r="S60" s="1135"/>
      <c r="T60" s="1135"/>
      <c r="U60" s="1135"/>
      <c r="W60" s="654"/>
    </row>
    <row r="61" spans="1:23" ht="16.5" customHeight="1">
      <c r="A61" s="32"/>
      <c r="B61" s="466"/>
      <c r="C61" s="469"/>
      <c r="D61" s="141" t="s">
        <v>168</v>
      </c>
      <c r="E61" s="142">
        <v>600</v>
      </c>
      <c r="F61" s="747">
        <v>500</v>
      </c>
      <c r="G61" s="1135">
        <f>+E61*$F$19*$F$20</f>
        <v>186595.19999999998</v>
      </c>
      <c r="H61" s="1135"/>
      <c r="I61" s="1135"/>
      <c r="M61" s="143"/>
      <c r="O61" s="1136">
        <f>SUM(O57:P60)</f>
        <v>1494654.3360000001</v>
      </c>
      <c r="P61" s="1136"/>
      <c r="Q61" s="1136"/>
      <c r="R61" s="1136"/>
      <c r="S61" s="1136"/>
      <c r="T61" s="1136"/>
      <c r="U61" s="1136"/>
      <c r="W61" s="654"/>
    </row>
    <row r="62" spans="1:23" ht="16.5" customHeight="1">
      <c r="A62" s="32"/>
      <c r="B62" s="466"/>
      <c r="C62" s="469"/>
      <c r="D62" s="141"/>
      <c r="E62" s="142"/>
      <c r="F62" s="747"/>
      <c r="G62" s="1136">
        <f>SUM(G57:G61)</f>
        <v>559785.6</v>
      </c>
      <c r="H62" s="1136"/>
      <c r="I62" s="1136"/>
      <c r="M62" s="143"/>
      <c r="N62" s="139"/>
      <c r="O62" s="139"/>
      <c r="P62" s="699"/>
      <c r="Q62" s="699"/>
      <c r="R62" s="699"/>
      <c r="S62" s="699"/>
      <c r="W62" s="654"/>
    </row>
    <row r="63" spans="1:23" ht="16.5" customHeight="1">
      <c r="A63" s="32"/>
      <c r="B63" s="466"/>
      <c r="C63" s="469"/>
      <c r="D63" s="469"/>
      <c r="E63" s="1077" t="s">
        <v>305</v>
      </c>
      <c r="F63" s="142" t="s">
        <v>306</v>
      </c>
      <c r="G63" s="1078">
        <v>5176</v>
      </c>
      <c r="H63" s="1039"/>
      <c r="I63" s="1039"/>
      <c r="M63" s="143"/>
      <c r="N63" s="139"/>
      <c r="O63" s="139"/>
      <c r="P63" s="699"/>
      <c r="Q63" s="699"/>
      <c r="R63" s="699"/>
      <c r="S63" s="699"/>
      <c r="W63" s="654"/>
    </row>
    <row r="64" spans="1:23" ht="16.5" customHeight="1">
      <c r="A64" s="32"/>
      <c r="B64" s="466"/>
      <c r="C64" s="469"/>
      <c r="D64" s="469"/>
      <c r="E64" s="657"/>
      <c r="F64" s="671"/>
      <c r="G64" s="671"/>
      <c r="H64" s="1039"/>
      <c r="I64" s="1039"/>
      <c r="M64" s="143"/>
      <c r="N64" s="139"/>
      <c r="O64" s="139"/>
      <c r="P64" s="699"/>
      <c r="Q64" s="699"/>
      <c r="R64" s="699"/>
      <c r="S64" s="699"/>
      <c r="W64" s="654"/>
    </row>
    <row r="65" spans="1:23" ht="16.5" customHeight="1" thickBot="1">
      <c r="A65" s="32"/>
      <c r="B65" s="466"/>
      <c r="C65" s="469"/>
      <c r="D65" s="467" t="s">
        <v>307</v>
      </c>
      <c r="E65" s="1079" t="s">
        <v>308</v>
      </c>
      <c r="F65" s="671"/>
      <c r="G65" s="671"/>
      <c r="H65" s="1039"/>
      <c r="I65" s="1039"/>
      <c r="M65" s="143"/>
      <c r="N65" s="139"/>
      <c r="O65" s="139"/>
      <c r="P65" s="699"/>
      <c r="Q65" s="699"/>
      <c r="R65" s="699"/>
      <c r="S65" s="699"/>
      <c r="W65" s="654"/>
    </row>
    <row r="66" spans="1:23" ht="16.5" customHeight="1" thickBot="1" thickTop="1">
      <c r="A66" s="32"/>
      <c r="B66" s="466"/>
      <c r="C66" s="469"/>
      <c r="D66" s="657"/>
      <c r="E66" s="671"/>
      <c r="F66" s="671"/>
      <c r="G66" s="552"/>
      <c r="I66" s="480" t="s">
        <v>44</v>
      </c>
      <c r="J66" s="717">
        <f>+G62+O61+G63</f>
        <v>2059615.9360000002</v>
      </c>
      <c r="L66" s="659"/>
      <c r="M66" s="660"/>
      <c r="N66" s="661"/>
      <c r="O66" s="662"/>
      <c r="P66" s="662"/>
      <c r="Q66" s="662"/>
      <c r="R66" s="662"/>
      <c r="S66" s="662"/>
      <c r="W66" s="654"/>
    </row>
    <row r="67" spans="1:23" ht="16.5" customHeight="1" thickTop="1">
      <c r="A67" s="32"/>
      <c r="B67" s="466"/>
      <c r="C67" s="655" t="s">
        <v>97</v>
      </c>
      <c r="D67" s="674" t="s">
        <v>98</v>
      </c>
      <c r="E67" s="552"/>
      <c r="F67" s="675"/>
      <c r="G67" s="551"/>
      <c r="H67" s="457"/>
      <c r="I67" s="457"/>
      <c r="J67" s="457"/>
      <c r="L67" s="673"/>
      <c r="M67" s="661"/>
      <c r="N67" s="661"/>
      <c r="O67" s="662"/>
      <c r="P67" s="662"/>
      <c r="Q67" s="662"/>
      <c r="R67" s="662"/>
      <c r="S67" s="662"/>
      <c r="W67" s="654"/>
    </row>
    <row r="68" spans="2:23" ht="16.5" customHeight="1">
      <c r="B68" s="466"/>
      <c r="C68" s="469"/>
      <c r="D68" s="657" t="s">
        <v>99</v>
      </c>
      <c r="E68" s="676">
        <f>10*J52*J24/J66</f>
        <v>1218.217066108023</v>
      </c>
      <c r="F68" s="32"/>
      <c r="G68" s="551"/>
      <c r="H68" s="32"/>
      <c r="I68" s="32"/>
      <c r="J68" s="32"/>
      <c r="K68" s="552"/>
      <c r="L68" s="552"/>
      <c r="M68" s="457"/>
      <c r="N68" s="552"/>
      <c r="O68" s="457"/>
      <c r="P68" s="457"/>
      <c r="Q68" s="457"/>
      <c r="R68" s="457"/>
      <c r="S68" s="457"/>
      <c r="T68" s="457"/>
      <c r="U68" s="457"/>
      <c r="W68" s="654"/>
    </row>
    <row r="69" spans="2:23" s="32" customFormat="1" ht="16.5" customHeight="1" thickBot="1">
      <c r="B69" s="466"/>
      <c r="C69" s="469"/>
      <c r="E69" s="677"/>
      <c r="F69" s="479"/>
      <c r="G69" s="551"/>
      <c r="J69" s="551"/>
      <c r="L69" s="552"/>
      <c r="N69" s="552"/>
      <c r="O69" s="553"/>
      <c r="V69"/>
      <c r="W69" s="654"/>
    </row>
    <row r="70" spans="2:23" s="32" customFormat="1" ht="20.25" thickBot="1" thickTop="1">
      <c r="B70" s="466"/>
      <c r="C70" s="469"/>
      <c r="D70" s="679" t="s">
        <v>118</v>
      </c>
      <c r="E70" s="680"/>
      <c r="F70" s="479"/>
      <c r="G70" s="551"/>
      <c r="H70" s="457"/>
      <c r="I70" s="688" t="s">
        <v>101</v>
      </c>
      <c r="J70" s="689">
        <f>IF(E68&gt;3*J24,J24*3,E68)</f>
        <v>1218.217066108023</v>
      </c>
      <c r="K70" s="566"/>
      <c r="L70" s="552"/>
      <c r="M70" s="552"/>
      <c r="N70" s="552"/>
      <c r="O70" s="553"/>
      <c r="P70" s="552"/>
      <c r="Q70" s="552"/>
      <c r="R70" s="565"/>
      <c r="S70" s="565"/>
      <c r="T70" s="565"/>
      <c r="U70" s="678"/>
      <c r="V70"/>
      <c r="W70" s="654"/>
    </row>
    <row r="71" spans="2:23" ht="16.5" customHeight="1" thickBot="1" thickTop="1">
      <c r="B71" s="5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194"/>
      <c r="W71" s="695"/>
    </row>
    <row r="72" spans="2:23" ht="16.5" customHeight="1" thickTop="1">
      <c r="B72" s="1"/>
      <c r="C72" s="73"/>
      <c r="W72" s="1"/>
    </row>
  </sheetData>
  <sheetProtection password="CC12"/>
  <mergeCells count="26">
    <mergeCell ref="O57:U57"/>
    <mergeCell ref="E50:F50"/>
    <mergeCell ref="N37:O37"/>
    <mergeCell ref="E37:F37"/>
    <mergeCell ref="E38:F38"/>
    <mergeCell ref="E39:F39"/>
    <mergeCell ref="E40:F40"/>
    <mergeCell ref="E41:F41"/>
    <mergeCell ref="E42:F42"/>
    <mergeCell ref="E43:F43"/>
    <mergeCell ref="O60:U60"/>
    <mergeCell ref="O61:U61"/>
    <mergeCell ref="O58:U58"/>
    <mergeCell ref="O59:U59"/>
    <mergeCell ref="G61:I61"/>
    <mergeCell ref="G62:I62"/>
    <mergeCell ref="G57:I57"/>
    <mergeCell ref="G58:I58"/>
    <mergeCell ref="G59:I59"/>
    <mergeCell ref="G60:I60"/>
    <mergeCell ref="E48:F48"/>
    <mergeCell ref="E49:F49"/>
    <mergeCell ref="E44:F44"/>
    <mergeCell ref="E45:F45"/>
    <mergeCell ref="E46:F46"/>
    <mergeCell ref="E47:F47"/>
  </mergeCells>
  <printOptions horizontalCentered="1"/>
  <pageMargins left="0.27" right="0.1968503937007874" top="0.44" bottom="0.33" header="0.38" footer="0.18"/>
  <pageSetup orientation="landscape" paperSize="9" scale="3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11"/>
  <dimension ref="A1:AI58"/>
  <sheetViews>
    <sheetView zoomScale="75" zoomScaleNormal="75" workbookViewId="0" topLeftCell="A16">
      <selection activeCell="E40" sqref="E40"/>
    </sheetView>
  </sheetViews>
  <sheetFormatPr defaultColWidth="11.421875" defaultRowHeight="12.75"/>
  <cols>
    <col min="1" max="1" width="26.851562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0.140625" style="0" hidden="1" customWidth="1"/>
    <col min="9" max="11" width="18.7109375" style="0" customWidth="1"/>
    <col min="12" max="13" width="10.7109375" style="0" customWidth="1"/>
    <col min="14" max="14" width="9.8515625" style="0" customWidth="1"/>
    <col min="15" max="15" width="9.7109375" style="0" customWidth="1"/>
    <col min="16" max="16" width="9.8515625" style="0" customWidth="1"/>
    <col min="17" max="17" width="10.7109375" style="0" hidden="1" customWidth="1"/>
    <col min="18" max="19" width="13.00390625" style="0" hidden="1" customWidth="1"/>
    <col min="20" max="20" width="13.57421875" style="0" hidden="1" customWidth="1"/>
    <col min="21" max="21" width="17.57421875" style="0" hidden="1" customWidth="1"/>
    <col min="22" max="22" width="15.8515625" style="0" hidden="1" customWidth="1"/>
    <col min="23" max="23" width="15.28125" style="0" hidden="1" customWidth="1"/>
    <col min="24" max="24" width="16.421875" style="0" hidden="1" customWidth="1"/>
    <col min="25" max="25" width="15.8515625" style="0" hidden="1" customWidth="1"/>
    <col min="26" max="26" width="14.8515625" style="0" customWidth="1"/>
    <col min="27" max="27" width="20.7109375" style="0" customWidth="1"/>
    <col min="28" max="28" width="21.57421875" style="0" customWidth="1"/>
    <col min="29" max="29" width="17.7109375" style="0" customWidth="1"/>
    <col min="30" max="30" width="12.8515625" style="0" customWidth="1"/>
    <col min="31" max="31" width="14.28125" style="0" customWidth="1"/>
    <col min="32" max="32" width="24.28125" style="0" customWidth="1"/>
    <col min="33" max="33" width="9.7109375" style="0" customWidth="1"/>
    <col min="34" max="34" width="17.28125" style="0" customWidth="1"/>
    <col min="35" max="35" width="25.7109375" style="0" customWidth="1"/>
    <col min="36" max="36" width="4.140625" style="0" customWidth="1"/>
    <col min="37" max="37" width="7.140625" style="0" customWidth="1"/>
    <col min="38" max="38" width="5.28125" style="0" customWidth="1"/>
    <col min="39" max="39" width="5.421875" style="0" customWidth="1"/>
    <col min="40" max="40" width="4.7109375" style="0" customWidth="1"/>
    <col min="41" max="41" width="5.28125" style="0" customWidth="1"/>
    <col min="42" max="43" width="13.28125" style="0" customWidth="1"/>
    <col min="44" max="44" width="6.57421875" style="0" customWidth="1"/>
    <col min="45" max="45" width="6.421875" style="0" customWidth="1"/>
    <col min="50" max="50" width="12.7109375" style="0" customWidth="1"/>
    <col min="54" max="54" width="21.00390625" style="0" customWidth="1"/>
  </cols>
  <sheetData>
    <row r="1" spans="1:35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44"/>
      <c r="AI1" s="703"/>
    </row>
    <row r="2" spans="1:28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35" s="463" customFormat="1" ht="30.75">
      <c r="A3" s="460"/>
      <c r="B3" s="461" t="str">
        <f>+'TOT-0110'!B2</f>
        <v>ANEXO II al Memorandum D.T.E.E. N°    679       / 2011           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G3" s="462"/>
      <c r="AH3" s="462"/>
      <c r="AI3" s="462"/>
    </row>
    <row r="4" spans="1:2" s="25" customFormat="1" ht="11.25">
      <c r="A4" s="696" t="s">
        <v>2</v>
      </c>
      <c r="B4" s="697"/>
    </row>
    <row r="5" spans="1:2" s="25" customFormat="1" ht="12" thickBot="1">
      <c r="A5" s="696" t="s">
        <v>3</v>
      </c>
      <c r="B5" s="696"/>
    </row>
    <row r="6" spans="1:28" ht="16.5" customHeight="1" thickTop="1">
      <c r="A6" s="5"/>
      <c r="B6" s="69"/>
      <c r="C6" s="70"/>
      <c r="D6" s="70"/>
      <c r="E6" s="19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94"/>
    </row>
    <row r="7" spans="1:28" ht="20.25">
      <c r="A7" s="5"/>
      <c r="B7" s="50"/>
      <c r="C7" s="4"/>
      <c r="D7" s="171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7"/>
      <c r="R7" s="77"/>
      <c r="S7" s="77"/>
      <c r="T7" s="4"/>
      <c r="U7" s="4"/>
      <c r="V7" s="4"/>
      <c r="W7" s="4"/>
      <c r="X7" s="4"/>
      <c r="Y7" s="4"/>
      <c r="Z7" s="4"/>
      <c r="AA7" s="4"/>
      <c r="AB7" s="17"/>
    </row>
    <row r="8" spans="1:28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7"/>
    </row>
    <row r="9" spans="2:28" s="36" customFormat="1" ht="20.25">
      <c r="B9" s="44"/>
      <c r="C9" s="43"/>
      <c r="D9" s="171" t="s">
        <v>82</v>
      </c>
      <c r="E9" s="43"/>
      <c r="F9" s="43"/>
      <c r="G9" s="43"/>
      <c r="H9" s="43"/>
      <c r="O9" s="43"/>
      <c r="P9" s="43"/>
      <c r="Q9" s="196"/>
      <c r="R9" s="196"/>
      <c r="S9" s="196"/>
      <c r="T9" s="43"/>
      <c r="U9" s="43"/>
      <c r="V9" s="43"/>
      <c r="W9" s="43"/>
      <c r="X9" s="43"/>
      <c r="Y9" s="43"/>
      <c r="Z9" s="43"/>
      <c r="AA9" s="43"/>
      <c r="AB9" s="197"/>
    </row>
    <row r="10" spans="1:28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7"/>
    </row>
    <row r="11" spans="2:28" s="36" customFormat="1" ht="20.25">
      <c r="B11" s="44"/>
      <c r="C11" s="43"/>
      <c r="D11" s="171" t="s">
        <v>264</v>
      </c>
      <c r="E11" s="43"/>
      <c r="F11" s="43"/>
      <c r="G11" s="43"/>
      <c r="H11" s="43"/>
      <c r="O11" s="43"/>
      <c r="P11" s="43"/>
      <c r="Q11" s="196"/>
      <c r="R11" s="196"/>
      <c r="S11" s="196"/>
      <c r="T11" s="43"/>
      <c r="U11" s="43"/>
      <c r="V11" s="43"/>
      <c r="W11" s="43"/>
      <c r="X11" s="43"/>
      <c r="Y11" s="43"/>
      <c r="Z11" s="43"/>
      <c r="AA11" s="43"/>
      <c r="AB11" s="197"/>
    </row>
    <row r="12" spans="1:28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4"/>
      <c r="U12" s="4"/>
      <c r="V12" s="4"/>
      <c r="W12" s="4"/>
      <c r="X12" s="4"/>
      <c r="Y12" s="4"/>
      <c r="Z12" s="4"/>
      <c r="AA12" s="4"/>
      <c r="AB12" s="17"/>
    </row>
    <row r="13" spans="2:28" s="36" customFormat="1" ht="19.5">
      <c r="B13" s="37" t="str">
        <f>'TOT-0110'!B14</f>
        <v>Desde el 01 al 31 de enero de 2010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26"/>
      <c r="AA13" s="126"/>
      <c r="AB13" s="42"/>
    </row>
    <row r="14" spans="1:28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5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17"/>
    </row>
    <row r="15" spans="1:28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4"/>
      <c r="O15" s="5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7"/>
    </row>
    <row r="16" spans="1:28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4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7"/>
    </row>
    <row r="17" spans="1:28" ht="16.5" customHeight="1" thickBot="1">
      <c r="A17" s="5"/>
      <c r="B17" s="50"/>
      <c r="C17" s="159" t="s">
        <v>83</v>
      </c>
      <c r="D17" s="54" t="s">
        <v>84</v>
      </c>
      <c r="E17" s="66"/>
      <c r="F17" s="66"/>
      <c r="G17" s="4"/>
      <c r="H17" s="4"/>
      <c r="I17" s="4"/>
      <c r="J17" s="465"/>
      <c r="K17" s="4"/>
      <c r="L17" s="4"/>
      <c r="M17" s="4"/>
      <c r="N17" s="4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7"/>
    </row>
    <row r="18" spans="2:28" s="32" customFormat="1" ht="16.5" customHeight="1" thickBot="1">
      <c r="B18" s="466"/>
      <c r="C18" s="33"/>
      <c r="D18" s="467"/>
      <c r="E18" s="468"/>
      <c r="F18" s="469"/>
      <c r="G18" s="33"/>
      <c r="H18" s="33"/>
      <c r="I18" s="33"/>
      <c r="J18" s="470"/>
      <c r="K18" s="33"/>
      <c r="L18" s="33"/>
      <c r="M18" s="33"/>
      <c r="N18" s="33"/>
      <c r="O18" s="704" t="s">
        <v>37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471"/>
    </row>
    <row r="19" spans="2:28" s="32" customFormat="1" ht="16.5" customHeight="1">
      <c r="B19" s="466"/>
      <c r="C19" s="33"/>
      <c r="E19" s="475" t="s">
        <v>40</v>
      </c>
      <c r="F19" s="476">
        <v>0.025</v>
      </c>
      <c r="G19" s="473"/>
      <c r="H19" s="33"/>
      <c r="I19" s="201" t="s">
        <v>119</v>
      </c>
      <c r="J19" s="202"/>
      <c r="K19" s="705" t="s">
        <v>108</v>
      </c>
      <c r="L19" s="706"/>
      <c r="M19" s="1148">
        <v>83.706</v>
      </c>
      <c r="N19" s="1149"/>
      <c r="O19" s="708">
        <v>200</v>
      </c>
      <c r="T19" s="33"/>
      <c r="U19" s="33"/>
      <c r="V19" s="33"/>
      <c r="W19" s="33"/>
      <c r="X19" s="33"/>
      <c r="Y19" s="33"/>
      <c r="Z19" s="33"/>
      <c r="AA19" s="33"/>
      <c r="AB19" s="471"/>
    </row>
    <row r="20" spans="2:28" s="32" customFormat="1" ht="16.5" customHeight="1">
      <c r="B20" s="466"/>
      <c r="C20" s="33"/>
      <c r="E20" s="467" t="s">
        <v>38</v>
      </c>
      <c r="F20" s="33">
        <v>744</v>
      </c>
      <c r="G20" s="33" t="s">
        <v>39</v>
      </c>
      <c r="H20" s="33"/>
      <c r="I20" s="33"/>
      <c r="J20" s="33"/>
      <c r="K20" s="709" t="s">
        <v>71</v>
      </c>
      <c r="L20" s="710"/>
      <c r="M20" s="1150">
        <v>75.332</v>
      </c>
      <c r="N20" s="1118"/>
      <c r="O20" s="712">
        <v>100</v>
      </c>
      <c r="P20" s="33"/>
      <c r="Q20" s="69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471"/>
    </row>
    <row r="21" spans="2:28" s="32" customFormat="1" ht="16.5" customHeight="1" thickBot="1">
      <c r="B21" s="466"/>
      <c r="C21" s="33"/>
      <c r="E21" s="467" t="s">
        <v>41</v>
      </c>
      <c r="F21" s="33">
        <v>0.418</v>
      </c>
      <c r="G21" s="32" t="s">
        <v>103</v>
      </c>
      <c r="H21" s="33"/>
      <c r="I21" s="33"/>
      <c r="J21" s="33"/>
      <c r="K21" s="713" t="s">
        <v>109</v>
      </c>
      <c r="L21" s="714"/>
      <c r="M21" s="1110">
        <v>66.969</v>
      </c>
      <c r="N21" s="1111"/>
      <c r="O21" s="716">
        <v>40</v>
      </c>
      <c r="P21" s="33"/>
      <c r="Q21" s="69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471"/>
    </row>
    <row r="22" spans="2:28" s="32" customFormat="1" ht="16.5" customHeight="1">
      <c r="B22" s="466"/>
      <c r="C22" s="33"/>
      <c r="D22" s="33"/>
      <c r="E22" s="47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471"/>
    </row>
    <row r="23" spans="1:28" ht="16.5" customHeight="1">
      <c r="A23" s="5"/>
      <c r="B23" s="50"/>
      <c r="C23" s="159" t="s">
        <v>87</v>
      </c>
      <c r="D23" s="3" t="s">
        <v>124</v>
      </c>
      <c r="I23" s="4"/>
      <c r="J23" s="32"/>
      <c r="P23" s="4"/>
      <c r="Q23" s="4"/>
      <c r="R23" s="4"/>
      <c r="S23" s="4"/>
      <c r="T23" s="4"/>
      <c r="U23" s="4"/>
      <c r="V23" s="4"/>
      <c r="W23" s="4"/>
      <c r="X23" s="4"/>
      <c r="Y23" s="4"/>
      <c r="AA23" s="4"/>
      <c r="AB23" s="17"/>
    </row>
    <row r="24" spans="1:28" ht="10.5" customHeight="1" thickBot="1">
      <c r="A24" s="5"/>
      <c r="B24" s="50"/>
      <c r="C24" s="66"/>
      <c r="D24" s="3"/>
      <c r="I24" s="4"/>
      <c r="J24" s="32"/>
      <c r="P24" s="4"/>
      <c r="Q24" s="4"/>
      <c r="R24" s="4"/>
      <c r="S24" s="4"/>
      <c r="T24" s="4"/>
      <c r="U24" s="4"/>
      <c r="V24" s="4"/>
      <c r="W24" s="4"/>
      <c r="X24" s="4"/>
      <c r="Y24" s="4"/>
      <c r="AA24" s="4"/>
      <c r="AB24" s="17"/>
    </row>
    <row r="25" spans="2:28" s="32" customFormat="1" ht="16.5" customHeight="1" thickBot="1" thickTop="1">
      <c r="B25" s="466"/>
      <c r="C25" s="469"/>
      <c r="D25"/>
      <c r="E25"/>
      <c r="F25"/>
      <c r="G25"/>
      <c r="H25"/>
      <c r="I25" s="480" t="s">
        <v>45</v>
      </c>
      <c r="J25" s="717">
        <f>+J51*F19</f>
        <v>3681.90725</v>
      </c>
      <c r="L25"/>
      <c r="U25"/>
      <c r="V25"/>
      <c r="W25"/>
      <c r="X25"/>
      <c r="Y25"/>
      <c r="Z25"/>
      <c r="AB25" s="471"/>
    </row>
    <row r="26" spans="2:28" s="32" customFormat="1" ht="11.25" customHeight="1" thickTop="1">
      <c r="B26" s="466"/>
      <c r="C26" s="469"/>
      <c r="D26" s="33"/>
      <c r="E26" s="47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/>
      <c r="AB26" s="471"/>
    </row>
    <row r="27" spans="1:28" ht="16.5" customHeight="1">
      <c r="A27" s="5"/>
      <c r="B27" s="50"/>
      <c r="C27" s="159" t="s">
        <v>88</v>
      </c>
      <c r="D27" s="3" t="s">
        <v>125</v>
      </c>
      <c r="E27" s="20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7"/>
    </row>
    <row r="28" spans="1:28" ht="13.5" customHeight="1" thickBot="1">
      <c r="A28" s="32"/>
      <c r="B28" s="50"/>
      <c r="C28" s="469"/>
      <c r="D28" s="469"/>
      <c r="E28" s="550"/>
      <c r="F28" s="479"/>
      <c r="G28" s="551"/>
      <c r="H28" s="551"/>
      <c r="I28" s="552"/>
      <c r="J28" s="552"/>
      <c r="K28" s="552"/>
      <c r="L28" s="552"/>
      <c r="M28" s="552"/>
      <c r="N28" s="552"/>
      <c r="O28" s="552"/>
      <c r="P28" s="553"/>
      <c r="Q28" s="552"/>
      <c r="R28" s="552"/>
      <c r="S28" s="552"/>
      <c r="T28" s="718"/>
      <c r="U28" s="719"/>
      <c r="V28" s="719"/>
      <c r="W28" s="719"/>
      <c r="X28" s="720"/>
      <c r="Y28" s="720"/>
      <c r="Z28" s="720"/>
      <c r="AA28" s="720"/>
      <c r="AB28" s="229"/>
    </row>
    <row r="29" spans="1:31" s="5" customFormat="1" ht="33.75" customHeight="1" thickBot="1" thickTop="1">
      <c r="A29" s="90"/>
      <c r="B29" s="95"/>
      <c r="C29" s="123" t="s">
        <v>13</v>
      </c>
      <c r="D29" s="119" t="s">
        <v>27</v>
      </c>
      <c r="E29" s="118" t="s">
        <v>28</v>
      </c>
      <c r="F29" s="120" t="s">
        <v>29</v>
      </c>
      <c r="G29" s="121" t="s">
        <v>14</v>
      </c>
      <c r="H29" s="129" t="s">
        <v>16</v>
      </c>
      <c r="I29" s="118" t="s">
        <v>17</v>
      </c>
      <c r="J29" s="118" t="s">
        <v>18</v>
      </c>
      <c r="K29" s="119" t="s">
        <v>30</v>
      </c>
      <c r="L29" s="119" t="s">
        <v>31</v>
      </c>
      <c r="M29" s="88" t="s">
        <v>91</v>
      </c>
      <c r="N29" s="88" t="s">
        <v>271</v>
      </c>
      <c r="O29" s="118" t="s">
        <v>32</v>
      </c>
      <c r="P29" s="568" t="s">
        <v>33</v>
      </c>
      <c r="Q29" s="129" t="s">
        <v>34</v>
      </c>
      <c r="R29" s="570" t="s">
        <v>20</v>
      </c>
      <c r="S29" s="937" t="s">
        <v>21</v>
      </c>
      <c r="T29" s="1144" t="s">
        <v>92</v>
      </c>
      <c r="U29" s="1145"/>
      <c r="V29" s="1144" t="s">
        <v>272</v>
      </c>
      <c r="W29" s="1145"/>
      <c r="X29" s="936" t="s">
        <v>22</v>
      </c>
      <c r="Y29" s="573" t="s">
        <v>270</v>
      </c>
      <c r="Z29" s="132" t="s">
        <v>63</v>
      </c>
      <c r="AA29" s="121" t="s">
        <v>24</v>
      </c>
      <c r="AB29" s="17"/>
      <c r="AD29"/>
      <c r="AE29"/>
    </row>
    <row r="30" spans="1:28" ht="16.5" customHeight="1" thickTop="1">
      <c r="A30" s="5"/>
      <c r="B30" s="50"/>
      <c r="C30" s="10"/>
      <c r="D30" s="10"/>
      <c r="E30" s="10"/>
      <c r="F30" s="10"/>
      <c r="G30" s="577"/>
      <c r="H30" s="578"/>
      <c r="I30" s="10"/>
      <c r="J30" s="10"/>
      <c r="K30" s="10"/>
      <c r="L30" s="10"/>
      <c r="M30" s="10"/>
      <c r="N30" s="580"/>
      <c r="O30" s="580"/>
      <c r="P30" s="721"/>
      <c r="Q30" s="133"/>
      <c r="R30" s="583"/>
      <c r="S30" s="928"/>
      <c r="T30" s="584"/>
      <c r="U30" s="585"/>
      <c r="V30" s="943"/>
      <c r="W30" s="943"/>
      <c r="X30" s="586"/>
      <c r="Y30" s="934"/>
      <c r="Z30" s="580"/>
      <c r="AA30" s="590"/>
      <c r="AB30" s="17"/>
    </row>
    <row r="31" spans="1:28" ht="16.5" customHeight="1">
      <c r="A31" s="5"/>
      <c r="B31" s="50"/>
      <c r="C31" s="823" t="s">
        <v>137</v>
      </c>
      <c r="D31" s="591" t="s">
        <v>213</v>
      </c>
      <c r="E31" s="592" t="s">
        <v>214</v>
      </c>
      <c r="F31" s="593">
        <v>300</v>
      </c>
      <c r="G31" s="594" t="s">
        <v>121</v>
      </c>
      <c r="H31" s="595">
        <f>F31*$F$21</f>
        <v>125.39999999999999</v>
      </c>
      <c r="I31" s="597">
        <v>40179</v>
      </c>
      <c r="J31" s="597">
        <v>40196.86944444444</v>
      </c>
      <c r="K31" s="294">
        <f>IF(D31="","",(J31-I31)*24)</f>
        <v>428.8666666665813</v>
      </c>
      <c r="L31" s="14">
        <f>IF(D31="","",(J31-I31)*24*60)</f>
        <v>25731.999999994878</v>
      </c>
      <c r="M31" s="13" t="s">
        <v>269</v>
      </c>
      <c r="N31" s="13" t="str">
        <f>IF(D31="","","--")</f>
        <v>--</v>
      </c>
      <c r="O31" s="8" t="str">
        <f>IF(D31="","",IF(OR(M31="P",M31="RP"),"--","NO"))</f>
        <v>NO</v>
      </c>
      <c r="P31" s="722" t="str">
        <f>IF(D31="","","NO")</f>
        <v>NO</v>
      </c>
      <c r="Q31" s="600">
        <f>200*IF(P31="SI",1,0.1)*IF(M31="P",0.1,1)</f>
        <v>20</v>
      </c>
      <c r="R31" s="601" t="str">
        <f>IF(M31="P",H31*Q31*ROUND(L31/60,2),"--")</f>
        <v>--</v>
      </c>
      <c r="S31" s="929" t="str">
        <f>IF(M31="RP",H31*Q31*N31/100*ROUND(L31/60,2),"--")</f>
        <v>--</v>
      </c>
      <c r="T31" s="602" t="str">
        <f>IF(AND(M31="F",O31="NO"),H31*Q31,"--")</f>
        <v>--</v>
      </c>
      <c r="U31" s="603" t="str">
        <f>IF(M31="F",H31*Q31*ROUND(L31/60,2),"--")</f>
        <v>--</v>
      </c>
      <c r="V31" s="947" t="str">
        <f>IF(AND(M31="R",O31="NO"),H31*Q31*N31/100,"--")</f>
        <v>--</v>
      </c>
      <c r="W31" s="944" t="str">
        <f>IF(M31="R",H31*Q31*N31/100*ROUND(L31/60,2),"--")</f>
        <v>--</v>
      </c>
      <c r="X31" s="376">
        <f>IF(M31="RF",H31*Q31*ROUND(L31/60,2),"--")</f>
        <v>1075605.96</v>
      </c>
      <c r="Y31" s="942" t="str">
        <f>IF(M31="RR",H31*Q31*N31/100*ROUND(L31/60,2),"--")</f>
        <v>--</v>
      </c>
      <c r="Z31" s="304" t="str">
        <f>IF(D31="","","SI")</f>
        <v>SI</v>
      </c>
      <c r="AA31" s="305">
        <v>2016063.07</v>
      </c>
      <c r="AB31" s="229"/>
    </row>
    <row r="32" spans="1:28" ht="16.5" customHeight="1">
      <c r="A32" s="5"/>
      <c r="B32" s="50"/>
      <c r="C32" s="823"/>
      <c r="D32" s="591"/>
      <c r="E32" s="592"/>
      <c r="F32" s="593"/>
      <c r="G32" s="1038"/>
      <c r="H32" s="595">
        <f>F32*$F$21</f>
        <v>0</v>
      </c>
      <c r="I32" s="597"/>
      <c r="J32" s="597"/>
      <c r="K32" s="294"/>
      <c r="L32" s="14"/>
      <c r="M32" s="13"/>
      <c r="N32" s="13"/>
      <c r="O32" s="8"/>
      <c r="P32" s="722"/>
      <c r="Q32" s="600">
        <f>200*IF(P32="SI",1,0.1)*IF(M32="P",0.1,1)</f>
        <v>20</v>
      </c>
      <c r="R32" s="601" t="str">
        <f>IF(M32="P",H32*Q32*ROUND(L32/60,2),"--")</f>
        <v>--</v>
      </c>
      <c r="S32" s="929" t="str">
        <f>IF(M32="RP",H32*Q32*N32/100*ROUND(L32/60,2),"--")</f>
        <v>--</v>
      </c>
      <c r="T32" s="602" t="str">
        <f>IF(AND(M32="F",O32="NO"),H32*Q32,"--")</f>
        <v>--</v>
      </c>
      <c r="U32" s="603" t="str">
        <f>IF(M32="F",H32*Q32*ROUND(L32/60,2),"--")</f>
        <v>--</v>
      </c>
      <c r="V32" s="947" t="str">
        <f>IF(AND(M32="R",O32="NO"),H32*Q32*N32/100,"--")</f>
        <v>--</v>
      </c>
      <c r="W32" s="944" t="str">
        <f>IF(M32="R",H32*Q32*N32/100*ROUND(L32/60,2),"--")</f>
        <v>--</v>
      </c>
      <c r="X32" s="376" t="str">
        <f>IF(M32="RF",H32*Q32*ROUND(L32/60,2),"--")</f>
        <v>--</v>
      </c>
      <c r="Y32" s="942" t="str">
        <f>IF(M32="RR",H32*Q32*N32/100*ROUND(L32/60,2),"--")</f>
        <v>--</v>
      </c>
      <c r="Z32" s="304"/>
      <c r="AA32" s="305"/>
      <c r="AB32" s="229"/>
    </row>
    <row r="33" spans="1:28" ht="16.5" customHeight="1" thickBot="1">
      <c r="A33" s="32"/>
      <c r="B33" s="50"/>
      <c r="C33" s="608"/>
      <c r="D33" s="609"/>
      <c r="E33" s="610"/>
      <c r="F33" s="611"/>
      <c r="G33" s="612"/>
      <c r="H33" s="613"/>
      <c r="I33" s="615"/>
      <c r="J33" s="616"/>
      <c r="K33" s="617"/>
      <c r="L33" s="618"/>
      <c r="M33" s="619"/>
      <c r="N33" s="619"/>
      <c r="O33" s="9"/>
      <c r="P33" s="723"/>
      <c r="Q33" s="622"/>
      <c r="R33" s="623"/>
      <c r="S33" s="930"/>
      <c r="T33" s="624"/>
      <c r="U33" s="625"/>
      <c r="V33" s="945"/>
      <c r="W33" s="945"/>
      <c r="X33" s="626"/>
      <c r="Y33" s="191"/>
      <c r="Z33" s="630"/>
      <c r="AA33" s="631"/>
      <c r="AB33" s="229"/>
    </row>
    <row r="34" spans="1:28" ht="16.5" customHeight="1" thickBot="1" thickTop="1">
      <c r="A34" s="32"/>
      <c r="B34" s="50"/>
      <c r="C34" s="98"/>
      <c r="D34" s="203"/>
      <c r="E34" s="203"/>
      <c r="F34" s="407"/>
      <c r="G34" s="632"/>
      <c r="H34" s="633"/>
      <c r="I34" s="634"/>
      <c r="J34" s="635"/>
      <c r="K34" s="636"/>
      <c r="L34" s="637"/>
      <c r="M34" s="633"/>
      <c r="N34" s="633"/>
      <c r="O34" s="638"/>
      <c r="P34" s="192"/>
      <c r="Q34" s="639"/>
      <c r="R34" s="640"/>
      <c r="S34" s="640"/>
      <c r="T34" s="641"/>
      <c r="U34" s="641"/>
      <c r="V34" s="641"/>
      <c r="W34" s="641"/>
      <c r="X34" s="641"/>
      <c r="Y34" s="641"/>
      <c r="Z34" s="193"/>
      <c r="AA34" s="642">
        <f>SUM(AA30:AA33)</f>
        <v>2016063.07</v>
      </c>
      <c r="AB34" s="229"/>
    </row>
    <row r="35" spans="1:28" ht="16.5" customHeight="1" thickBot="1" thickTop="1">
      <c r="A35" s="32"/>
      <c r="B35" s="50"/>
      <c r="C35" s="98"/>
      <c r="D35" s="203"/>
      <c r="E35" s="203"/>
      <c r="F35" s="407"/>
      <c r="G35" s="632"/>
      <c r="H35" s="633"/>
      <c r="I35" s="634"/>
      <c r="L35" s="637"/>
      <c r="M35" s="633"/>
      <c r="N35" s="633"/>
      <c r="O35" s="643"/>
      <c r="P35" s="644"/>
      <c r="Q35" s="639"/>
      <c r="R35" s="640"/>
      <c r="S35" s="640"/>
      <c r="T35" s="641"/>
      <c r="U35" s="641"/>
      <c r="V35" s="641"/>
      <c r="W35" s="641"/>
      <c r="X35" s="641"/>
      <c r="Y35" s="641"/>
      <c r="Z35" s="193"/>
      <c r="AA35" s="193"/>
      <c r="AB35" s="229"/>
    </row>
    <row r="36" spans="2:28" s="5" customFormat="1" ht="33.75" customHeight="1" thickBot="1" thickTop="1">
      <c r="B36" s="50"/>
      <c r="C36" s="84" t="s">
        <v>13</v>
      </c>
      <c r="D36" s="86" t="s">
        <v>27</v>
      </c>
      <c r="E36" s="1139" t="s">
        <v>28</v>
      </c>
      <c r="F36" s="1141"/>
      <c r="G36" s="132" t="s">
        <v>14</v>
      </c>
      <c r="H36" s="129" t="s">
        <v>16</v>
      </c>
      <c r="I36" s="85" t="s">
        <v>17</v>
      </c>
      <c r="J36" s="359" t="s">
        <v>18</v>
      </c>
      <c r="K36" s="361" t="s">
        <v>36</v>
      </c>
      <c r="L36" s="361" t="s">
        <v>31</v>
      </c>
      <c r="M36" s="88" t="s">
        <v>19</v>
      </c>
      <c r="N36" s="88"/>
      <c r="O36" s="939" t="s">
        <v>32</v>
      </c>
      <c r="P36" s="938"/>
      <c r="Q36" s="135" t="s">
        <v>37</v>
      </c>
      <c r="R36" s="362" t="s">
        <v>59</v>
      </c>
      <c r="S36" s="931"/>
      <c r="T36" s="1112" t="s">
        <v>35</v>
      </c>
      <c r="U36" s="1113"/>
      <c r="V36" s="1146"/>
      <c r="W36" s="1147"/>
      <c r="X36" s="134" t="s">
        <v>22</v>
      </c>
      <c r="Y36" s="134"/>
      <c r="Z36" s="132" t="s">
        <v>63</v>
      </c>
      <c r="AA36" s="121" t="s">
        <v>24</v>
      </c>
      <c r="AB36" s="6"/>
    </row>
    <row r="37" spans="2:28" s="5" customFormat="1" ht="16.5" customHeight="1" thickTop="1">
      <c r="B37" s="50"/>
      <c r="C37" s="7"/>
      <c r="D37" s="371"/>
      <c r="E37" s="1142"/>
      <c r="F37" s="1143"/>
      <c r="G37" s="371"/>
      <c r="H37" s="372"/>
      <c r="I37" s="371"/>
      <c r="J37" s="371"/>
      <c r="K37" s="371"/>
      <c r="L37" s="371"/>
      <c r="M37" s="371"/>
      <c r="N37" s="918"/>
      <c r="O37" s="940"/>
      <c r="P37" s="724"/>
      <c r="Q37" s="373"/>
      <c r="R37" s="374"/>
      <c r="S37" s="932"/>
      <c r="T37" s="188"/>
      <c r="U37" s="375"/>
      <c r="V37" s="189"/>
      <c r="W37" s="189"/>
      <c r="X37" s="376"/>
      <c r="Y37" s="935"/>
      <c r="Z37" s="371"/>
      <c r="AA37" s="377"/>
      <c r="AB37" s="6"/>
    </row>
    <row r="38" spans="2:33" s="5" customFormat="1" ht="16.5" customHeight="1" thickBot="1">
      <c r="B38" s="50"/>
      <c r="C38" s="730"/>
      <c r="D38" s="731"/>
      <c r="E38" s="1137"/>
      <c r="F38" s="1138"/>
      <c r="G38" s="732"/>
      <c r="H38" s="733"/>
      <c r="I38" s="734"/>
      <c r="J38" s="735"/>
      <c r="K38" s="736"/>
      <c r="L38" s="737"/>
      <c r="M38" s="738"/>
      <c r="N38" s="739"/>
      <c r="O38" s="922"/>
      <c r="P38" s="738"/>
      <c r="Q38" s="740"/>
      <c r="R38" s="741"/>
      <c r="S38" s="933"/>
      <c r="T38" s="742"/>
      <c r="U38" s="743"/>
      <c r="V38" s="946"/>
      <c r="W38" s="946"/>
      <c r="X38" s="744"/>
      <c r="Y38" s="744"/>
      <c r="Z38" s="745"/>
      <c r="AA38" s="746"/>
      <c r="AB38" s="6"/>
      <c r="AC38"/>
      <c r="AD38"/>
      <c r="AE38"/>
      <c r="AF38"/>
      <c r="AG38"/>
    </row>
    <row r="39" spans="1:28" ht="17.25" thickBot="1" thickTop="1">
      <c r="A39" s="32"/>
      <c r="B39" s="466"/>
      <c r="C39" s="469"/>
      <c r="D39" s="646"/>
      <c r="E39" s="647"/>
      <c r="F39" s="648"/>
      <c r="G39" s="649"/>
      <c r="H39" s="649"/>
      <c r="I39" s="647"/>
      <c r="J39" s="457"/>
      <c r="K39" s="457"/>
      <c r="L39" s="647"/>
      <c r="M39" s="647"/>
      <c r="N39" s="647"/>
      <c r="O39" s="647"/>
      <c r="P39" s="650"/>
      <c r="Q39" s="647"/>
      <c r="R39" s="647"/>
      <c r="S39" s="647"/>
      <c r="T39" s="651"/>
      <c r="U39" s="652"/>
      <c r="V39" s="652"/>
      <c r="W39" s="652"/>
      <c r="X39" s="652"/>
      <c r="Y39" s="652"/>
      <c r="Z39" s="653"/>
      <c r="AA39" s="642">
        <f>SUM(AA38:AA38)</f>
        <v>0</v>
      </c>
      <c r="AB39" s="654"/>
    </row>
    <row r="40" spans="1:28" ht="17.25" thickBot="1" thickTop="1">
      <c r="A40" s="32"/>
      <c r="B40" s="466"/>
      <c r="C40" s="469"/>
      <c r="D40" s="646"/>
      <c r="E40" s="647"/>
      <c r="F40" s="648"/>
      <c r="G40" s="649"/>
      <c r="H40" s="649"/>
      <c r="I40" s="480" t="s">
        <v>42</v>
      </c>
      <c r="J40" s="717">
        <f>+AA39+AA34</f>
        <v>2016063.07</v>
      </c>
      <c r="L40" s="647"/>
      <c r="M40" s="647"/>
      <c r="N40" s="647"/>
      <c r="O40" s="647"/>
      <c r="P40" s="650"/>
      <c r="Q40" s="647"/>
      <c r="R40" s="647"/>
      <c r="S40" s="647"/>
      <c r="T40" s="651"/>
      <c r="U40" s="652"/>
      <c r="V40" s="652"/>
      <c r="W40" s="652"/>
      <c r="X40" s="652"/>
      <c r="Y40" s="652"/>
      <c r="Z40" s="653"/>
      <c r="AB40" s="654"/>
    </row>
    <row r="41" spans="1:28" ht="13.5" customHeight="1" thickTop="1">
      <c r="A41" s="32"/>
      <c r="B41" s="466"/>
      <c r="C41" s="469"/>
      <c r="D41" s="646"/>
      <c r="E41" s="647"/>
      <c r="F41" s="648"/>
      <c r="G41" s="649"/>
      <c r="H41" s="649"/>
      <c r="I41" s="647"/>
      <c r="J41" s="457"/>
      <c r="K41" s="457"/>
      <c r="L41" s="647"/>
      <c r="M41" s="647"/>
      <c r="N41" s="647"/>
      <c r="O41" s="647"/>
      <c r="P41" s="650"/>
      <c r="Q41" s="647"/>
      <c r="R41" s="647"/>
      <c r="S41" s="647"/>
      <c r="T41" s="651"/>
      <c r="U41" s="652"/>
      <c r="V41" s="652"/>
      <c r="W41" s="652"/>
      <c r="X41" s="652"/>
      <c r="Y41" s="652"/>
      <c r="Z41" s="653"/>
      <c r="AB41" s="654"/>
    </row>
    <row r="42" spans="1:28" ht="16.5" customHeight="1">
      <c r="A42" s="32"/>
      <c r="B42" s="466"/>
      <c r="C42" s="655" t="s">
        <v>93</v>
      </c>
      <c r="D42" s="656" t="s">
        <v>126</v>
      </c>
      <c r="E42" s="647"/>
      <c r="F42" s="648"/>
      <c r="G42" s="649"/>
      <c r="H42" s="649"/>
      <c r="I42" s="647"/>
      <c r="J42" s="457"/>
      <c r="K42" s="457"/>
      <c r="L42" s="647"/>
      <c r="M42" s="647"/>
      <c r="N42" s="647"/>
      <c r="O42" s="647"/>
      <c r="P42" s="650"/>
      <c r="Q42" s="647"/>
      <c r="R42" s="647"/>
      <c r="S42" s="647"/>
      <c r="T42" s="651"/>
      <c r="U42" s="652"/>
      <c r="V42" s="652"/>
      <c r="W42" s="652"/>
      <c r="X42" s="652"/>
      <c r="Y42" s="652"/>
      <c r="Z42" s="653"/>
      <c r="AB42" s="654"/>
    </row>
    <row r="43" spans="1:28" ht="16.5" customHeight="1">
      <c r="A43" s="32"/>
      <c r="B43" s="466"/>
      <c r="C43" s="655"/>
      <c r="D43" s="646"/>
      <c r="E43" s="647"/>
      <c r="F43" s="648"/>
      <c r="G43" s="649"/>
      <c r="H43" s="649"/>
      <c r="I43" s="647"/>
      <c r="J43" s="457"/>
      <c r="K43" s="457"/>
      <c r="L43" s="647"/>
      <c r="M43" s="647"/>
      <c r="N43" s="647"/>
      <c r="O43" s="647"/>
      <c r="P43" s="650"/>
      <c r="Q43" s="647"/>
      <c r="R43" s="647"/>
      <c r="S43" s="647"/>
      <c r="T43" s="647"/>
      <c r="U43" s="651"/>
      <c r="V43" s="651"/>
      <c r="W43" s="651"/>
      <c r="X43" s="652"/>
      <c r="Y43" s="652"/>
      <c r="AB43" s="654"/>
    </row>
    <row r="44" spans="2:28" s="32" customFormat="1" ht="16.5" customHeight="1">
      <c r="B44" s="466"/>
      <c r="C44" s="469"/>
      <c r="D44" s="657" t="s">
        <v>106</v>
      </c>
      <c r="E44" s="552" t="s">
        <v>107</v>
      </c>
      <c r="F44" s="552" t="s">
        <v>43</v>
      </c>
      <c r="G44" s="658" t="s">
        <v>131</v>
      </c>
      <c r="H44"/>
      <c r="I44" s="139"/>
      <c r="J44" s="670" t="s">
        <v>49</v>
      </c>
      <c r="K44" s="670"/>
      <c r="L44" s="552" t="s">
        <v>43</v>
      </c>
      <c r="M44" t="s">
        <v>110</v>
      </c>
      <c r="N44"/>
      <c r="P44" s="658" t="s">
        <v>133</v>
      </c>
      <c r="Q44"/>
      <c r="R44" s="662"/>
      <c r="S44" s="662"/>
      <c r="T44" s="662"/>
      <c r="U44" s="33"/>
      <c r="V44" s="33"/>
      <c r="W44" s="33"/>
      <c r="X44"/>
      <c r="Y44"/>
      <c r="Z44"/>
      <c r="AA44"/>
      <c r="AB44" s="654"/>
    </row>
    <row r="45" spans="2:28" s="32" customFormat="1" ht="16.5" customHeight="1">
      <c r="B45" s="466"/>
      <c r="C45" s="469"/>
      <c r="D45" s="143" t="s">
        <v>120</v>
      </c>
      <c r="E45" s="143">
        <v>300</v>
      </c>
      <c r="F45" s="749" t="s">
        <v>121</v>
      </c>
      <c r="G45" s="1135">
        <f>+E45*$F$20*$F$21</f>
        <v>93297.59999999999</v>
      </c>
      <c r="H45" s="1135"/>
      <c r="I45" s="1135"/>
      <c r="J45" s="748" t="s">
        <v>122</v>
      </c>
      <c r="K45" s="748"/>
      <c r="L45" s="143">
        <v>132</v>
      </c>
      <c r="M45" s="143">
        <v>2</v>
      </c>
      <c r="N45" s="143"/>
      <c r="P45" s="1135">
        <f>+M45*$F$20*$M$21</f>
        <v>99649.87199999999</v>
      </c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/>
      <c r="AB45" s="654"/>
    </row>
    <row r="46" spans="1:28" ht="16.5" customHeight="1">
      <c r="A46" s="32"/>
      <c r="B46" s="466"/>
      <c r="C46" s="469"/>
      <c r="D46" s="141"/>
      <c r="E46" s="142"/>
      <c r="F46" s="747"/>
      <c r="G46" s="1136">
        <f>+G45</f>
        <v>93297.59999999999</v>
      </c>
      <c r="H46" s="1136"/>
      <c r="I46" s="1136"/>
      <c r="M46" s="143"/>
      <c r="N46" s="143"/>
      <c r="P46" s="1136">
        <f>SUM(P45:Q45)</f>
        <v>99649.87199999999</v>
      </c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B46" s="654"/>
    </row>
    <row r="47" spans="1:28" ht="16.5" customHeight="1">
      <c r="A47" s="32"/>
      <c r="B47" s="466"/>
      <c r="C47" s="469"/>
      <c r="D47" s="141"/>
      <c r="E47" s="142"/>
      <c r="F47" s="747"/>
      <c r="M47" s="143"/>
      <c r="N47" s="143"/>
      <c r="O47" s="139"/>
      <c r="P47" s="139"/>
      <c r="Q47" s="699"/>
      <c r="R47" s="699"/>
      <c r="S47" s="699"/>
      <c r="T47" s="699"/>
      <c r="U47" s="699"/>
      <c r="V47" s="699"/>
      <c r="W47" s="699"/>
      <c r="AB47" s="654"/>
    </row>
    <row r="48" spans="1:28" ht="16.5" customHeight="1" thickBot="1">
      <c r="A48" s="32"/>
      <c r="B48" s="466"/>
      <c r="C48" s="469"/>
      <c r="D48" s="657"/>
      <c r="E48" s="671"/>
      <c r="F48" s="671"/>
      <c r="G48" s="552"/>
      <c r="I48" s="660"/>
      <c r="J48" s="658"/>
      <c r="L48" s="659"/>
      <c r="M48" s="660"/>
      <c r="N48" s="660"/>
      <c r="O48" s="661"/>
      <c r="P48" s="662"/>
      <c r="Q48" s="662"/>
      <c r="R48" s="662"/>
      <c r="S48" s="662"/>
      <c r="T48" s="662"/>
      <c r="U48" s="662"/>
      <c r="V48" s="662"/>
      <c r="W48" s="662"/>
      <c r="AB48" s="654"/>
    </row>
    <row r="49" spans="1:28" ht="16.5" customHeight="1" thickBot="1" thickTop="1">
      <c r="A49" s="32"/>
      <c r="B49" s="466"/>
      <c r="C49" s="469"/>
      <c r="D49" s="552"/>
      <c r="E49" s="702"/>
      <c r="F49" s="702"/>
      <c r="G49" s="665"/>
      <c r="H49" s="169"/>
      <c r="I49" s="480" t="s">
        <v>44</v>
      </c>
      <c r="J49" s="717">
        <f>+G46+P46</f>
        <v>192947.47199999998</v>
      </c>
      <c r="L49" s="667"/>
      <c r="M49" s="169"/>
      <c r="N49" s="169"/>
      <c r="O49" s="668"/>
      <c r="P49" s="699"/>
      <c r="Q49" s="699"/>
      <c r="R49" s="699"/>
      <c r="S49" s="699"/>
      <c r="T49" s="699"/>
      <c r="U49" s="699"/>
      <c r="V49" s="699"/>
      <c r="W49" s="699"/>
      <c r="AB49" s="654"/>
    </row>
    <row r="50" spans="1:28" ht="16.5" customHeight="1" thickBot="1" thickTop="1">
      <c r="A50" s="32"/>
      <c r="B50" s="466"/>
      <c r="C50" s="469"/>
      <c r="D50" s="457"/>
      <c r="E50" s="474"/>
      <c r="F50" s="552"/>
      <c r="G50" s="552"/>
      <c r="H50" s="553"/>
      <c r="J50" s="552"/>
      <c r="L50" s="673"/>
      <c r="M50" s="661"/>
      <c r="N50" s="661"/>
      <c r="O50" s="661"/>
      <c r="P50" s="662"/>
      <c r="Q50" s="662"/>
      <c r="R50" s="662"/>
      <c r="S50" s="662"/>
      <c r="T50" s="662"/>
      <c r="U50" s="662"/>
      <c r="V50" s="662"/>
      <c r="W50" s="662"/>
      <c r="AB50" s="654"/>
    </row>
    <row r="51" spans="2:28" ht="16.5" customHeight="1" thickBot="1" thickTop="1">
      <c r="B51" s="466"/>
      <c r="C51" s="655" t="s">
        <v>97</v>
      </c>
      <c r="D51" s="674" t="s">
        <v>98</v>
      </c>
      <c r="E51" s="552"/>
      <c r="F51" s="675"/>
      <c r="G51" s="551"/>
      <c r="H51" s="457"/>
      <c r="I51" s="480" t="s">
        <v>321</v>
      </c>
      <c r="J51" s="717">
        <v>147276.29</v>
      </c>
      <c r="K51" s="552"/>
      <c r="L51" s="552"/>
      <c r="M51" s="457"/>
      <c r="N51" s="457"/>
      <c r="O51" s="552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B51" s="654"/>
    </row>
    <row r="52" spans="2:28" s="32" customFormat="1" ht="16.5" customHeight="1" thickTop="1">
      <c r="B52" s="466"/>
      <c r="C52" s="469"/>
      <c r="D52" s="657" t="s">
        <v>99</v>
      </c>
      <c r="E52" s="676">
        <f>10*J40*J25/J49</f>
        <v>384713.8890677074</v>
      </c>
      <c r="G52" s="551"/>
      <c r="I52" s="32" t="s">
        <v>322</v>
      </c>
      <c r="L52" s="552"/>
      <c r="O52" s="552"/>
      <c r="P52" s="553"/>
      <c r="AA52"/>
      <c r="AB52" s="654"/>
    </row>
    <row r="53" spans="2:28" s="32" customFormat="1" ht="12.75" customHeight="1">
      <c r="B53" s="466"/>
      <c r="C53" s="469"/>
      <c r="E53" s="677"/>
      <c r="F53" s="479"/>
      <c r="G53" s="551"/>
      <c r="J53" s="551"/>
      <c r="K53" s="566"/>
      <c r="L53" s="552"/>
      <c r="M53" s="552"/>
      <c r="N53" s="552"/>
      <c r="O53" s="552"/>
      <c r="P53" s="553"/>
      <c r="Q53" s="552"/>
      <c r="R53" s="552"/>
      <c r="S53" s="552"/>
      <c r="T53" s="565"/>
      <c r="U53" s="565"/>
      <c r="V53" s="565"/>
      <c r="W53" s="565"/>
      <c r="X53" s="565"/>
      <c r="Y53" s="565"/>
      <c r="Z53" s="678"/>
      <c r="AA53"/>
      <c r="AB53" s="654"/>
    </row>
    <row r="54" spans="2:28" ht="16.5" customHeight="1">
      <c r="B54" s="466"/>
      <c r="C54" s="469"/>
      <c r="D54" s="679" t="s">
        <v>123</v>
      </c>
      <c r="E54" s="680"/>
      <c r="F54" s="479"/>
      <c r="G54" s="551"/>
      <c r="H54" s="457"/>
      <c r="I54" s="457"/>
      <c r="O54" s="552"/>
      <c r="P54" s="553"/>
      <c r="Q54" s="552"/>
      <c r="R54" s="552"/>
      <c r="S54" s="552"/>
      <c r="T54" s="660"/>
      <c r="U54" s="660"/>
      <c r="V54" s="660"/>
      <c r="W54" s="660"/>
      <c r="X54" s="660"/>
      <c r="Y54" s="660"/>
      <c r="Z54" s="661"/>
      <c r="AB54" s="654"/>
    </row>
    <row r="55" spans="2:28" ht="13.5" customHeight="1" thickBot="1">
      <c r="B55" s="466"/>
      <c r="C55" s="469"/>
      <c r="D55" s="679"/>
      <c r="E55" s="680"/>
      <c r="F55" s="479"/>
      <c r="G55" s="551"/>
      <c r="H55" s="457"/>
      <c r="I55" s="457"/>
      <c r="O55" s="552"/>
      <c r="P55" s="553"/>
      <c r="Q55" s="552"/>
      <c r="R55" s="552"/>
      <c r="S55" s="552"/>
      <c r="T55" s="660"/>
      <c r="U55" s="660"/>
      <c r="V55" s="660"/>
      <c r="W55" s="660"/>
      <c r="X55" s="660"/>
      <c r="Y55" s="660"/>
      <c r="Z55" s="661"/>
      <c r="AB55" s="654"/>
    </row>
    <row r="56" spans="2:28" s="681" customFormat="1" ht="21" thickBot="1" thickTop="1">
      <c r="B56" s="682"/>
      <c r="C56" s="683"/>
      <c r="D56" s="684"/>
      <c r="E56" s="685"/>
      <c r="F56" s="686"/>
      <c r="G56" s="687"/>
      <c r="I56" s="688" t="s">
        <v>101</v>
      </c>
      <c r="J56" s="689">
        <f>IF(E52&gt;3*J25,J25*3,E52)</f>
        <v>11045.72175</v>
      </c>
      <c r="M56" s="690"/>
      <c r="N56" s="690"/>
      <c r="O56" s="690"/>
      <c r="P56" s="691"/>
      <c r="Q56" s="690"/>
      <c r="R56" s="690"/>
      <c r="S56" s="690"/>
      <c r="T56" s="692"/>
      <c r="U56" s="692"/>
      <c r="V56" s="692"/>
      <c r="W56" s="692"/>
      <c r="X56" s="692"/>
      <c r="Y56" s="692"/>
      <c r="Z56" s="693"/>
      <c r="AA56"/>
      <c r="AB56" s="694"/>
    </row>
    <row r="57" spans="2:28" ht="16.5" customHeight="1" thickBot="1" thickTop="1">
      <c r="B57" s="5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194"/>
      <c r="AB57" s="695"/>
    </row>
    <row r="58" spans="2:28" ht="16.5" customHeight="1" thickTop="1">
      <c r="B58" s="1"/>
      <c r="C58" s="73"/>
      <c r="AB58" s="1"/>
    </row>
  </sheetData>
  <sheetProtection password="CC12"/>
  <mergeCells count="14">
    <mergeCell ref="E36:F36"/>
    <mergeCell ref="E37:F37"/>
    <mergeCell ref="P46:Z46"/>
    <mergeCell ref="G46:I46"/>
    <mergeCell ref="G45:I45"/>
    <mergeCell ref="P45:Z45"/>
    <mergeCell ref="E38:F38"/>
    <mergeCell ref="T36:U36"/>
    <mergeCell ref="V29:W29"/>
    <mergeCell ref="V36:W36"/>
    <mergeCell ref="M19:N19"/>
    <mergeCell ref="M20:N20"/>
    <mergeCell ref="M21:N21"/>
    <mergeCell ref="T29:U29"/>
  </mergeCells>
  <printOptions horizontalCentered="1"/>
  <pageMargins left="0.3" right="0.1968503937007874" top="0.67" bottom="0.7874015748031497" header="0.5118110236220472" footer="0.5118110236220472"/>
  <pageSetup horizontalDpi="600" verticalDpi="600" orientation="landscape" paperSize="9" scale="4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5"/>
  <dimension ref="A1:AG68"/>
  <sheetViews>
    <sheetView zoomScale="75" zoomScaleNormal="75" workbookViewId="0" topLeftCell="A34">
      <selection activeCell="N63" sqref="N63"/>
    </sheetView>
  </sheetViews>
  <sheetFormatPr defaultColWidth="11.421875" defaultRowHeight="12.75"/>
  <cols>
    <col min="1" max="1" width="29.57421875" style="0" customWidth="1"/>
    <col min="2" max="2" width="21.281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9.574218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7109375" style="0" hidden="1" customWidth="1"/>
    <col min="23" max="27" width="8.421875" style="0" hidden="1" customWidth="1"/>
    <col min="28" max="28" width="9.7109375" style="0" customWidth="1"/>
    <col min="29" max="29" width="17.28125" style="0" customWidth="1"/>
    <col min="30" max="30" width="22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3" customFormat="1" ht="30.75">
      <c r="A3" s="460"/>
      <c r="B3" s="461" t="s">
        <v>136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AB3" s="462"/>
      <c r="AC3" s="462"/>
      <c r="AD3" s="462"/>
    </row>
    <row r="4" spans="1:2" s="25" customFormat="1" ht="11.25">
      <c r="A4" s="696" t="s">
        <v>2</v>
      </c>
      <c r="B4" s="697"/>
    </row>
    <row r="5" spans="1:2" s="25" customFormat="1" ht="12" thickBot="1">
      <c r="A5" s="696" t="s">
        <v>3</v>
      </c>
      <c r="B5" s="696"/>
    </row>
    <row r="6" spans="1:30" ht="16.5" customHeight="1" thickTop="1">
      <c r="A6" s="5"/>
      <c r="B6" s="69"/>
      <c r="C6" s="70"/>
      <c r="D6" s="70"/>
      <c r="E6" s="19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3"/>
      <c r="X6" s="173"/>
      <c r="Y6" s="173"/>
      <c r="Z6" s="173"/>
      <c r="AA6" s="173"/>
      <c r="AB6" s="173"/>
      <c r="AC6" s="173"/>
      <c r="AD6" s="94"/>
    </row>
    <row r="7" spans="1:30" ht="20.25">
      <c r="A7" s="5"/>
      <c r="B7" s="50"/>
      <c r="C7" s="4"/>
      <c r="D7" s="171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1" t="s">
        <v>82</v>
      </c>
      <c r="E9" s="43"/>
      <c r="F9" s="43"/>
      <c r="G9" s="43"/>
      <c r="H9" s="43"/>
      <c r="N9" s="43"/>
      <c r="O9" s="43"/>
      <c r="P9" s="196"/>
      <c r="Q9" s="196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97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1" t="s">
        <v>173</v>
      </c>
      <c r="E11" s="43"/>
      <c r="F11" s="43"/>
      <c r="G11" s="43"/>
      <c r="H11" s="43"/>
      <c r="N11" s="43"/>
      <c r="O11" s="43"/>
      <c r="P11" s="196"/>
      <c r="Q11" s="196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97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'TOT-0110'!B14</f>
        <v>Desde el 01 al 31 de enero de 2010</v>
      </c>
      <c r="C13" s="38"/>
      <c r="D13" s="40"/>
      <c r="E13" s="40"/>
      <c r="F13" s="40"/>
      <c r="G13" s="40"/>
      <c r="H13" s="40"/>
      <c r="I13" s="41"/>
      <c r="J13" s="169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464"/>
      <c r="Y13" s="464"/>
      <c r="Z13" s="464"/>
      <c r="AA13" s="464"/>
      <c r="AB13" s="126"/>
      <c r="AC13" s="169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65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0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9" t="s">
        <v>83</v>
      </c>
      <c r="D17" s="54" t="s">
        <v>84</v>
      </c>
      <c r="E17" s="66"/>
      <c r="F17" s="66"/>
      <c r="G17" s="4"/>
      <c r="H17" s="4"/>
      <c r="I17" s="4"/>
      <c r="J17" s="465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66"/>
      <c r="C18" s="33"/>
      <c r="D18" s="467"/>
      <c r="E18" s="468"/>
      <c r="F18" s="469"/>
      <c r="G18" s="33"/>
      <c r="H18" s="33"/>
      <c r="I18" s="33"/>
      <c r="J18" s="470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71"/>
    </row>
    <row r="19" spans="2:30" s="32" customFormat="1" ht="16.5" customHeight="1">
      <c r="B19" s="466"/>
      <c r="C19" s="33"/>
      <c r="D19" s="472" t="s">
        <v>85</v>
      </c>
      <c r="F19" s="473">
        <v>153.49</v>
      </c>
      <c r="G19" s="472" t="s">
        <v>86</v>
      </c>
      <c r="H19" s="33"/>
      <c r="I19" s="33"/>
      <c r="J19" s="474"/>
      <c r="K19" s="475" t="s">
        <v>40</v>
      </c>
      <c r="L19" s="476">
        <v>0.04</v>
      </c>
      <c r="R19" s="33"/>
      <c r="S19" s="33"/>
      <c r="T19" s="33"/>
      <c r="U19" s="33"/>
      <c r="V19" s="33"/>
      <c r="W19"/>
      <c r="AD19" s="471"/>
    </row>
    <row r="20" spans="2:30" s="32" customFormat="1" ht="16.5" customHeight="1">
      <c r="B20" s="466"/>
      <c r="C20" s="33"/>
      <c r="D20" s="472" t="s">
        <v>163</v>
      </c>
      <c r="F20" s="473">
        <v>127.908</v>
      </c>
      <c r="G20" s="472" t="s">
        <v>86</v>
      </c>
      <c r="H20" s="33"/>
      <c r="I20" s="33"/>
      <c r="J20" s="33"/>
      <c r="K20" s="467" t="s">
        <v>38</v>
      </c>
      <c r="L20" s="33">
        <v>744</v>
      </c>
      <c r="M20" s="33" t="s">
        <v>39</v>
      </c>
      <c r="R20" s="33"/>
      <c r="S20" s="33"/>
      <c r="T20" s="33"/>
      <c r="U20" s="33"/>
      <c r="V20" s="33"/>
      <c r="W20"/>
      <c r="AD20" s="471"/>
    </row>
    <row r="21" spans="2:30" s="32" customFormat="1" ht="16.5" customHeight="1">
      <c r="B21" s="466"/>
      <c r="C21" s="33"/>
      <c r="D21" s="472" t="s">
        <v>102</v>
      </c>
      <c r="F21" s="473">
        <v>0.418</v>
      </c>
      <c r="G21" s="472" t="s">
        <v>103</v>
      </c>
      <c r="H21" s="33"/>
      <c r="I21" s="33"/>
      <c r="N21" s="33"/>
      <c r="O21" s="33"/>
      <c r="P21" s="698"/>
      <c r="Q21" s="33"/>
      <c r="R21" s="33"/>
      <c r="S21" s="33"/>
      <c r="T21" s="33"/>
      <c r="U21" s="33"/>
      <c r="V21" s="33"/>
      <c r="W21"/>
      <c r="AD21" s="471"/>
    </row>
    <row r="22" spans="2:30" s="32" customFormat="1" ht="16.5" customHeight="1">
      <c r="B22" s="466"/>
      <c r="C22" s="33"/>
      <c r="D22" s="472" t="s">
        <v>104</v>
      </c>
      <c r="F22" s="473">
        <v>66.969</v>
      </c>
      <c r="G22" s="472" t="s">
        <v>105</v>
      </c>
      <c r="H22" s="33"/>
      <c r="I22" s="33"/>
      <c r="J22" s="33"/>
      <c r="K22" s="201"/>
      <c r="L22" s="202"/>
      <c r="M22" s="33"/>
      <c r="N22" s="33"/>
      <c r="O22" s="33"/>
      <c r="P22" s="698"/>
      <c r="Q22" s="33"/>
      <c r="R22" s="33"/>
      <c r="S22" s="33"/>
      <c r="T22" s="33"/>
      <c r="U22" s="33"/>
      <c r="V22" s="33"/>
      <c r="W22"/>
      <c r="AD22" s="471"/>
    </row>
    <row r="23" spans="2:30" s="32" customFormat="1" ht="9" customHeight="1">
      <c r="B23" s="466"/>
      <c r="C23" s="33"/>
      <c r="H23" s="33"/>
      <c r="I23" s="33"/>
      <c r="J23" s="33"/>
      <c r="K23" s="201"/>
      <c r="L23" s="202"/>
      <c r="M23" s="33"/>
      <c r="N23" s="33"/>
      <c r="O23" s="33"/>
      <c r="P23" s="698"/>
      <c r="Q23" s="33"/>
      <c r="R23" s="33"/>
      <c r="S23" s="33"/>
      <c r="T23" s="33"/>
      <c r="U23" s="33"/>
      <c r="V23" s="33"/>
      <c r="W23"/>
      <c r="AD23" s="471"/>
    </row>
    <row r="24" spans="2:30" s="32" customFormat="1" ht="8.25" customHeight="1">
      <c r="B24" s="466"/>
      <c r="C24" s="33"/>
      <c r="D24" s="33"/>
      <c r="E24" s="479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/>
      <c r="AD24" s="471"/>
    </row>
    <row r="25" spans="1:30" ht="16.5" customHeight="1">
      <c r="A25" s="5"/>
      <c r="B25" s="50"/>
      <c r="C25" s="159" t="s">
        <v>87</v>
      </c>
      <c r="D25" s="3" t="s">
        <v>124</v>
      </c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1:30" ht="10.5" customHeight="1" thickBot="1">
      <c r="A26" s="5"/>
      <c r="B26" s="50"/>
      <c r="C26" s="66"/>
      <c r="D26" s="3"/>
      <c r="I26" s="4"/>
      <c r="J26" s="32"/>
      <c r="O26" s="4"/>
      <c r="P26" s="4"/>
      <c r="Q26" s="4"/>
      <c r="R26" s="4"/>
      <c r="S26" s="4"/>
      <c r="T26" s="4"/>
      <c r="V26" s="4"/>
      <c r="X26" s="4"/>
      <c r="Y26" s="4"/>
      <c r="Z26" s="4"/>
      <c r="AA26" s="4"/>
      <c r="AB26" s="4"/>
      <c r="AC26" s="4"/>
      <c r="AD26" s="17"/>
    </row>
    <row r="27" spans="2:30" s="32" customFormat="1" ht="16.5" customHeight="1" thickBot="1" thickTop="1">
      <c r="B27" s="466"/>
      <c r="C27" s="469"/>
      <c r="D27"/>
      <c r="E27"/>
      <c r="F27"/>
      <c r="G27"/>
      <c r="H27"/>
      <c r="I27"/>
      <c r="J27" s="480" t="s">
        <v>45</v>
      </c>
      <c r="K27" s="481">
        <f>L19*AC63</f>
        <v>9434.8988</v>
      </c>
      <c r="L27"/>
      <c r="S27"/>
      <c r="T27"/>
      <c r="U27"/>
      <c r="W27"/>
      <c r="AD27" s="471"/>
    </row>
    <row r="28" spans="2:30" s="32" customFormat="1" ht="11.25" customHeight="1" thickTop="1">
      <c r="B28" s="466"/>
      <c r="C28" s="469"/>
      <c r="D28" s="33"/>
      <c r="E28" s="47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/>
      <c r="W28"/>
      <c r="AD28" s="471"/>
    </row>
    <row r="29" spans="1:30" ht="16.5" customHeight="1" thickBot="1">
      <c r="A29" s="5"/>
      <c r="B29" s="50"/>
      <c r="C29" s="159" t="s">
        <v>88</v>
      </c>
      <c r="D29" s="3" t="s">
        <v>125</v>
      </c>
      <c r="E29" s="20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04" t="s">
        <v>0</v>
      </c>
      <c r="E30" s="175" t="s">
        <v>14</v>
      </c>
      <c r="F30" s="87" t="s">
        <v>15</v>
      </c>
      <c r="G30" s="205" t="s">
        <v>60</v>
      </c>
      <c r="H30" s="206" t="s">
        <v>37</v>
      </c>
      <c r="I30" s="135" t="s">
        <v>16</v>
      </c>
      <c r="J30" s="85" t="s">
        <v>17</v>
      </c>
      <c r="K30" s="176" t="s">
        <v>18</v>
      </c>
      <c r="L30" s="88" t="s">
        <v>36</v>
      </c>
      <c r="M30" s="86" t="s">
        <v>31</v>
      </c>
      <c r="N30" s="88" t="s">
        <v>89</v>
      </c>
      <c r="O30" s="88" t="s">
        <v>46</v>
      </c>
      <c r="P30" s="176" t="s">
        <v>47</v>
      </c>
      <c r="Q30" s="85" t="s">
        <v>32</v>
      </c>
      <c r="R30" s="137" t="s">
        <v>20</v>
      </c>
      <c r="S30" s="482" t="s">
        <v>21</v>
      </c>
      <c r="T30" s="483" t="s">
        <v>61</v>
      </c>
      <c r="U30" s="484"/>
      <c r="V30" s="485"/>
      <c r="W30" s="486" t="s">
        <v>90</v>
      </c>
      <c r="X30" s="487"/>
      <c r="Y30" s="488"/>
      <c r="Z30" s="489" t="s">
        <v>22</v>
      </c>
      <c r="AA30" s="490" t="s">
        <v>23</v>
      </c>
      <c r="AB30" s="89" t="s">
        <v>63</v>
      </c>
      <c r="AC30" s="121" t="s">
        <v>24</v>
      </c>
      <c r="AD30" s="212"/>
      <c r="AE30"/>
    </row>
    <row r="31" spans="1:30" ht="16.5" customHeight="1" thickTop="1">
      <c r="A31" s="5"/>
      <c r="B31" s="50"/>
      <c r="C31" s="7"/>
      <c r="D31" s="491"/>
      <c r="E31" s="492"/>
      <c r="F31" s="493"/>
      <c r="G31" s="494"/>
      <c r="H31" s="495"/>
      <c r="I31" s="496"/>
      <c r="J31" s="497"/>
      <c r="K31" s="498"/>
      <c r="L31" s="7"/>
      <c r="M31" s="7"/>
      <c r="N31" s="182"/>
      <c r="O31" s="182"/>
      <c r="P31" s="7"/>
      <c r="Q31" s="179"/>
      <c r="R31" s="499"/>
      <c r="S31" s="500"/>
      <c r="T31" s="501"/>
      <c r="U31" s="502"/>
      <c r="V31" s="503"/>
      <c r="W31" s="504"/>
      <c r="X31" s="505"/>
      <c r="Y31" s="506"/>
      <c r="Z31" s="507"/>
      <c r="AA31" s="508"/>
      <c r="AB31" s="509"/>
      <c r="AC31" s="510"/>
      <c r="AD31" s="17"/>
    </row>
    <row r="32" spans="1:30" ht="16.5" customHeight="1">
      <c r="A32" s="5"/>
      <c r="B32" s="50"/>
      <c r="C32" s="823"/>
      <c r="D32" s="778"/>
      <c r="E32" s="779"/>
      <c r="F32" s="821"/>
      <c r="G32" s="512"/>
      <c r="H32" s="513">
        <v>20</v>
      </c>
      <c r="I32" s="514">
        <f>IF(E32=500,IF(F32&lt;100,100*$F$19/100,F32*$F$19/100),IF(F32&lt;100,100*$F$18/100,F32*$F$18/100))</f>
        <v>0</v>
      </c>
      <c r="J32" s="515"/>
      <c r="K32" s="459"/>
      <c r="L32" s="516">
        <f>IF(D32="","",(K32-J32)*24)</f>
      </c>
      <c r="M32" s="382">
        <f>IF(D32="","",(K32-J32)*24*60)</f>
      </c>
      <c r="N32" s="517"/>
      <c r="O32" s="518">
        <f>IF(D32="","","--")</f>
      </c>
      <c r="P32" s="223">
        <f>IF(D32="","","NO")</f>
      </c>
      <c r="Q32" s="223">
        <f>IF(D32="","",IF(OR(N32="P",N32="RP"),"--","NO"))</f>
      </c>
      <c r="R32" s="519" t="str">
        <f>IF(N32="P",I32*H32*ROUND(M32/60,2)*0.01,"--")</f>
        <v>--</v>
      </c>
      <c r="S32" s="520" t="str">
        <f>IF(N32="RP",I32*H32*ROUND(M32/60,2)*0.01*O32/100,"--")</f>
        <v>--</v>
      </c>
      <c r="T32" s="521" t="str">
        <f>IF(AND(N32="F",Q32="NO"),I32*H32*IF(P32="SI",1.2,1),"--")</f>
        <v>--</v>
      </c>
      <c r="U32" s="522" t="str">
        <f>IF(AND(N32="F",M32&gt;=10),I32*H32*IF(P32="SI",1.2,1)*IF(M32&lt;=300,ROUND(M32/60,2),5),"--")</f>
        <v>--</v>
      </c>
      <c r="V32" s="523" t="str">
        <f>IF(AND(N32="F",M32&gt;300),(ROUND(M32/60,2)-5)*I32*H32*0.1*IF(P32="SI",1.2,1),"--")</f>
        <v>--</v>
      </c>
      <c r="W32" s="524" t="str">
        <f>IF(AND(N32="R",Q32="NO"),I32*H32*O32/100*IF(P32="SI",1.2,1),"--")</f>
        <v>--</v>
      </c>
      <c r="X32" s="525" t="str">
        <f>IF(AND(N32="R",M32&gt;=10),I32*H32*O32/100*IF(P32="SI",1.2,1)*IF(M32&lt;=300,ROUND(M32/60,2),5),"--")</f>
        <v>--</v>
      </c>
      <c r="Y32" s="526" t="str">
        <f>IF(AND(N32="R",M32&gt;300),(ROUND(M32/60,2)-5)*I32*H32*0.1*O32/100*IF(P32="SI",1.2,1),"--")</f>
        <v>--</v>
      </c>
      <c r="Z32" s="527" t="str">
        <f>IF(N32="RF",ROUND(M32/60,2)*I32*H32*0.1*IF(P32="SI",1.2,1),"--")</f>
        <v>--</v>
      </c>
      <c r="AA32" s="528" t="str">
        <f>IF(N32="RR",ROUND(M32/60,2)*I32*H32*0.1*O32/100*IF(P32="SI",1.2,1),"--")</f>
        <v>--</v>
      </c>
      <c r="AB32" s="529">
        <f>IF(D32="","","SI")</f>
      </c>
      <c r="AC32" s="16">
        <f>IF(D32="","",SUM(R32:AA32)*IF(AB32="SI",1,2))</f>
      </c>
      <c r="AD32" s="17"/>
    </row>
    <row r="33" spans="1:30" ht="16.5" customHeight="1" thickBot="1">
      <c r="A33" s="32"/>
      <c r="B33" s="50"/>
      <c r="C33" s="608"/>
      <c r="D33" s="530"/>
      <c r="E33" s="531"/>
      <c r="F33" s="532"/>
      <c r="G33" s="533"/>
      <c r="H33" s="534"/>
      <c r="I33" s="535"/>
      <c r="J33" s="536"/>
      <c r="K33" s="536"/>
      <c r="L33" s="9"/>
      <c r="M33" s="9"/>
      <c r="N33" s="9"/>
      <c r="O33" s="537"/>
      <c r="P33" s="9"/>
      <c r="Q33" s="9"/>
      <c r="R33" s="538"/>
      <c r="S33" s="539"/>
      <c r="T33" s="540"/>
      <c r="U33" s="541"/>
      <c r="V33" s="542"/>
      <c r="W33" s="543"/>
      <c r="X33" s="544"/>
      <c r="Y33" s="545"/>
      <c r="Z33" s="546"/>
      <c r="AA33" s="547"/>
      <c r="AB33" s="548"/>
      <c r="AC33" s="549"/>
      <c r="AD33" s="229"/>
    </row>
    <row r="34" spans="1:30" ht="16.5" customHeight="1" thickBot="1" thickTop="1">
      <c r="A34" s="32"/>
      <c r="B34" s="50"/>
      <c r="C34" s="469"/>
      <c r="D34" s="469"/>
      <c r="E34" s="550"/>
      <c r="F34" s="479"/>
      <c r="G34" s="551"/>
      <c r="H34" s="551"/>
      <c r="I34" s="552"/>
      <c r="J34" s="552"/>
      <c r="K34" s="552"/>
      <c r="L34" s="552"/>
      <c r="M34" s="552"/>
      <c r="N34" s="552"/>
      <c r="O34" s="553"/>
      <c r="P34" s="552"/>
      <c r="Q34" s="552"/>
      <c r="R34" s="554">
        <f aca="true" t="shared" si="0" ref="R34:AA34">SUM(R31:R33)</f>
        <v>0</v>
      </c>
      <c r="S34" s="555">
        <f t="shared" si="0"/>
        <v>0</v>
      </c>
      <c r="T34" s="556">
        <f t="shared" si="0"/>
        <v>0</v>
      </c>
      <c r="U34" s="556">
        <f t="shared" si="0"/>
        <v>0</v>
      </c>
      <c r="V34" s="556">
        <f t="shared" si="0"/>
        <v>0</v>
      </c>
      <c r="W34" s="557">
        <f t="shared" si="0"/>
        <v>0</v>
      </c>
      <c r="X34" s="557">
        <f t="shared" si="0"/>
        <v>0</v>
      </c>
      <c r="Y34" s="557">
        <f t="shared" si="0"/>
        <v>0</v>
      </c>
      <c r="Z34" s="558">
        <f t="shared" si="0"/>
        <v>0</v>
      </c>
      <c r="AA34" s="559">
        <f t="shared" si="0"/>
        <v>0</v>
      </c>
      <c r="AB34" s="560"/>
      <c r="AC34" s="561">
        <f>SUM(AC31:AC33)</f>
        <v>0</v>
      </c>
      <c r="AD34" s="229"/>
    </row>
    <row r="35" spans="1:30" ht="13.5" customHeight="1" thickBot="1" thickTop="1">
      <c r="A35" s="32"/>
      <c r="B35" s="50"/>
      <c r="C35" s="469"/>
      <c r="D35" s="469"/>
      <c r="E35" s="550"/>
      <c r="F35" s="479"/>
      <c r="G35" s="551"/>
      <c r="H35" s="551"/>
      <c r="I35" s="552"/>
      <c r="J35" s="552"/>
      <c r="K35" s="552"/>
      <c r="L35" s="552"/>
      <c r="M35" s="552"/>
      <c r="N35" s="552"/>
      <c r="O35" s="553"/>
      <c r="P35" s="552"/>
      <c r="Q35" s="552"/>
      <c r="R35" s="562"/>
      <c r="S35" s="563"/>
      <c r="T35" s="564"/>
      <c r="U35" s="564"/>
      <c r="V35" s="564"/>
      <c r="W35" s="562"/>
      <c r="X35" s="562"/>
      <c r="Y35" s="562"/>
      <c r="Z35" s="562"/>
      <c r="AA35" s="562"/>
      <c r="AB35" s="565"/>
      <c r="AC35" s="566"/>
      <c r="AD35" s="229"/>
    </row>
    <row r="36" spans="1:33" s="5" customFormat="1" ht="33.75" customHeight="1" thickBot="1" thickTop="1">
      <c r="A36" s="90"/>
      <c r="B36" s="95"/>
      <c r="C36" s="123" t="s">
        <v>13</v>
      </c>
      <c r="D36" s="119" t="s">
        <v>27</v>
      </c>
      <c r="E36" s="118" t="s">
        <v>28</v>
      </c>
      <c r="F36" s="120" t="s">
        <v>170</v>
      </c>
      <c r="G36" s="121" t="s">
        <v>14</v>
      </c>
      <c r="H36" s="129" t="s">
        <v>16</v>
      </c>
      <c r="I36" s="567"/>
      <c r="J36" s="118" t="s">
        <v>17</v>
      </c>
      <c r="K36" s="118" t="s">
        <v>18</v>
      </c>
      <c r="L36" s="119" t="s">
        <v>30</v>
      </c>
      <c r="M36" s="119" t="s">
        <v>31</v>
      </c>
      <c r="N36" s="88" t="s">
        <v>91</v>
      </c>
      <c r="O36" s="118" t="s">
        <v>32</v>
      </c>
      <c r="P36" s="568" t="s">
        <v>33</v>
      </c>
      <c r="Q36" s="569"/>
      <c r="R36" s="129" t="s">
        <v>34</v>
      </c>
      <c r="S36" s="570" t="s">
        <v>20</v>
      </c>
      <c r="T36" s="571" t="s">
        <v>92</v>
      </c>
      <c r="U36" s="572"/>
      <c r="V36" s="573" t="s">
        <v>22</v>
      </c>
      <c r="W36" s="574"/>
      <c r="X36" s="575"/>
      <c r="Y36" s="575"/>
      <c r="Z36" s="575"/>
      <c r="AA36" s="576"/>
      <c r="AB36" s="132" t="s">
        <v>63</v>
      </c>
      <c r="AC36" s="121" t="s">
        <v>24</v>
      </c>
      <c r="AD36" s="17"/>
      <c r="AF36"/>
      <c r="AG36"/>
    </row>
    <row r="37" spans="1:30" ht="16.5" customHeight="1" thickBot="1" thickTop="1">
      <c r="A37" s="5"/>
      <c r="B37" s="50"/>
      <c r="C37" s="7"/>
      <c r="D37" s="10"/>
      <c r="E37" s="10"/>
      <c r="F37" s="10"/>
      <c r="G37" s="577"/>
      <c r="H37" s="578"/>
      <c r="I37" s="579"/>
      <c r="J37" s="10"/>
      <c r="K37" s="10"/>
      <c r="L37" s="10"/>
      <c r="M37" s="10"/>
      <c r="N37" s="10"/>
      <c r="O37" s="580"/>
      <c r="P37" s="1156"/>
      <c r="Q37" s="1158"/>
      <c r="R37" s="133"/>
      <c r="S37" s="583"/>
      <c r="T37" s="584"/>
      <c r="U37" s="585"/>
      <c r="V37" s="586"/>
      <c r="W37" s="587"/>
      <c r="X37" s="588"/>
      <c r="Y37" s="588"/>
      <c r="Z37" s="588"/>
      <c r="AA37" s="589"/>
      <c r="AB37" s="580"/>
      <c r="AC37" s="590"/>
      <c r="AD37" s="17"/>
    </row>
    <row r="38" spans="1:30" ht="16.5" customHeight="1" thickBot="1" thickTop="1">
      <c r="A38" s="32"/>
      <c r="B38" s="50"/>
      <c r="C38" s="98"/>
      <c r="D38" s="203"/>
      <c r="E38" s="203"/>
      <c r="F38" s="407"/>
      <c r="G38" s="632"/>
      <c r="H38" s="911"/>
      <c r="I38" s="912"/>
      <c r="J38" s="634"/>
      <c r="K38" s="635"/>
      <c r="L38" s="636"/>
      <c r="M38" s="637"/>
      <c r="N38" s="633"/>
      <c r="O38" s="192"/>
      <c r="P38" s="644"/>
      <c r="Q38" s="644"/>
      <c r="R38" s="913"/>
      <c r="S38" s="914"/>
      <c r="T38" s="915"/>
      <c r="U38" s="915"/>
      <c r="V38" s="916"/>
      <c r="W38" s="917"/>
      <c r="X38" s="917"/>
      <c r="Y38" s="917"/>
      <c r="Z38" s="917"/>
      <c r="AA38" s="917"/>
      <c r="AB38" s="193"/>
      <c r="AC38" s="921">
        <f>SUM(AC37:AC37)</f>
        <v>0</v>
      </c>
      <c r="AD38" s="229"/>
    </row>
    <row r="39" spans="1:30" ht="16.5" customHeight="1" thickBot="1" thickTop="1">
      <c r="A39" s="32"/>
      <c r="B39" s="50"/>
      <c r="C39" s="98"/>
      <c r="D39" s="203"/>
      <c r="E39" s="98"/>
      <c r="F39" s="203"/>
      <c r="G39" s="98"/>
      <c r="H39" s="203"/>
      <c r="I39" s="98"/>
      <c r="J39" s="203"/>
      <c r="K39" s="98"/>
      <c r="L39" s="203"/>
      <c r="M39" s="98"/>
      <c r="N39" s="203"/>
      <c r="O39" s="98"/>
      <c r="P39" s="203"/>
      <c r="Q39" s="98"/>
      <c r="R39" s="203"/>
      <c r="S39" s="98"/>
      <c r="T39" s="203"/>
      <c r="U39" s="98"/>
      <c r="V39" s="203"/>
      <c r="W39" s="98"/>
      <c r="X39" s="203"/>
      <c r="Y39" s="98"/>
      <c r="Z39" s="203"/>
      <c r="AA39" s="98"/>
      <c r="AB39" s="203"/>
      <c r="AC39" s="98"/>
      <c r="AD39" s="229"/>
    </row>
    <row r="40" spans="1:33" s="5" customFormat="1" ht="33.75" customHeight="1" thickBot="1" thickTop="1">
      <c r="A40" s="90"/>
      <c r="B40" s="95"/>
      <c r="C40" s="123" t="s">
        <v>13</v>
      </c>
      <c r="D40" s="119" t="s">
        <v>27</v>
      </c>
      <c r="E40" s="118" t="s">
        <v>28</v>
      </c>
      <c r="F40" s="1159" t="s">
        <v>14</v>
      </c>
      <c r="G40" s="1160"/>
      <c r="H40" s="129" t="s">
        <v>16</v>
      </c>
      <c r="I40" s="567"/>
      <c r="J40" s="118" t="s">
        <v>17</v>
      </c>
      <c r="K40" s="118" t="s">
        <v>18</v>
      </c>
      <c r="L40" s="119" t="s">
        <v>30</v>
      </c>
      <c r="M40" s="119" t="s">
        <v>31</v>
      </c>
      <c r="N40" s="88" t="s">
        <v>91</v>
      </c>
      <c r="O40" s="1153" t="s">
        <v>32</v>
      </c>
      <c r="P40" s="1154"/>
      <c r="Q40" s="1155"/>
      <c r="R40" s="135" t="s">
        <v>37</v>
      </c>
      <c r="S40" s="362" t="s">
        <v>59</v>
      </c>
      <c r="T40" s="177" t="s">
        <v>35</v>
      </c>
      <c r="U40" s="363"/>
      <c r="V40" s="134" t="s">
        <v>22</v>
      </c>
      <c r="W40" s="575"/>
      <c r="X40" s="575"/>
      <c r="Y40" s="575"/>
      <c r="Z40" s="575"/>
      <c r="AA40" s="576"/>
      <c r="AB40" s="132" t="s">
        <v>63</v>
      </c>
      <c r="AC40" s="121" t="s">
        <v>24</v>
      </c>
      <c r="AD40" s="17"/>
      <c r="AF40"/>
      <c r="AG40"/>
    </row>
    <row r="41" spans="1:30" ht="16.5" customHeight="1" thickTop="1">
      <c r="A41" s="5"/>
      <c r="B41" s="50"/>
      <c r="C41" s="7"/>
      <c r="D41" s="10"/>
      <c r="E41" s="10"/>
      <c r="F41" s="1156"/>
      <c r="G41" s="1158"/>
      <c r="H41" s="578"/>
      <c r="I41" s="579"/>
      <c r="J41" s="10"/>
      <c r="K41" s="10"/>
      <c r="L41" s="10"/>
      <c r="M41" s="10"/>
      <c r="N41" s="10"/>
      <c r="O41" s="1156"/>
      <c r="P41" s="1157"/>
      <c r="Q41" s="1158"/>
      <c r="R41" s="727"/>
      <c r="S41" s="366"/>
      <c r="T41" s="367"/>
      <c r="U41" s="368"/>
      <c r="V41" s="369"/>
      <c r="W41" s="588"/>
      <c r="X41" s="588"/>
      <c r="Y41" s="588"/>
      <c r="Z41" s="588"/>
      <c r="AA41" s="589"/>
      <c r="AB41" s="580"/>
      <c r="AC41" s="590"/>
      <c r="AD41" s="17"/>
    </row>
    <row r="42" spans="1:30" ht="15">
      <c r="A42" s="5"/>
      <c r="B42" s="50"/>
      <c r="C42" s="823" t="s">
        <v>137</v>
      </c>
      <c r="D42" s="591" t="s">
        <v>247</v>
      </c>
      <c r="E42" s="592" t="s">
        <v>248</v>
      </c>
      <c r="F42" s="1161">
        <v>132</v>
      </c>
      <c r="G42" s="1162"/>
      <c r="H42" s="595">
        <f>IF(F42=132,$F$22,0)</f>
        <v>66.969</v>
      </c>
      <c r="I42" s="596"/>
      <c r="J42" s="380">
        <v>40201.35902777778</v>
      </c>
      <c r="K42" s="185">
        <v>40201.46944444445</v>
      </c>
      <c r="L42" s="294">
        <f>IF(D42="","",(K42-J42)*24)</f>
        <v>2.6500000000814907</v>
      </c>
      <c r="M42" s="14">
        <f>IF(D42="","",(K42-J42)*24*60)</f>
        <v>159.00000000488944</v>
      </c>
      <c r="N42" s="13" t="s">
        <v>191</v>
      </c>
      <c r="O42" s="1166" t="str">
        <f>IF(D42="","",IF(N42="P","--","NO"))</f>
        <v>--</v>
      </c>
      <c r="P42" s="1167"/>
      <c r="Q42" s="1168"/>
      <c r="R42" s="727">
        <f>IF(F42=132,40,0)</f>
        <v>40</v>
      </c>
      <c r="S42" s="904">
        <f>IF(N42="P",H42*R42*ROUND(M42/60,2)*0.1,"--")</f>
        <v>709.8714</v>
      </c>
      <c r="T42" s="188" t="str">
        <f>IF(AND(N42="F",O42="NO"),H42*R42,"--")</f>
        <v>--</v>
      </c>
      <c r="U42" s="375" t="str">
        <f>IF(N42="F",H42*R42*ROUND(M42/60,2),"--")</f>
        <v>--</v>
      </c>
      <c r="V42" s="376" t="str">
        <f>IF(N42="RF",H42*R42*ROUND(M42/60,2),"--")</f>
        <v>--</v>
      </c>
      <c r="W42" s="605"/>
      <c r="X42" s="605"/>
      <c r="Y42" s="605"/>
      <c r="Z42" s="605"/>
      <c r="AA42" s="606"/>
      <c r="AB42" s="304" t="s">
        <v>148</v>
      </c>
      <c r="AC42" s="383">
        <f>IF(D42="","",SUM(S42:V42)*IF(AB42="SI",1,2))</f>
        <v>709.8714</v>
      </c>
      <c r="AD42" s="229"/>
    </row>
    <row r="43" spans="1:30" ht="16.5" customHeight="1">
      <c r="A43" s="5"/>
      <c r="B43" s="50"/>
      <c r="C43" s="823" t="s">
        <v>138</v>
      </c>
      <c r="D43" s="591" t="s">
        <v>247</v>
      </c>
      <c r="E43" s="592" t="s">
        <v>249</v>
      </c>
      <c r="F43" s="1161">
        <v>132</v>
      </c>
      <c r="G43" s="1162"/>
      <c r="H43" s="595">
        <f>IF(F43=132,$F$22,0)</f>
        <v>66.969</v>
      </c>
      <c r="I43" s="596"/>
      <c r="J43" s="597">
        <v>40201.35972222222</v>
      </c>
      <c r="K43" s="597">
        <v>40201.470138888886</v>
      </c>
      <c r="L43" s="294">
        <f>IF(D43="","",(K43-J43)*24)</f>
        <v>2.6499999999068677</v>
      </c>
      <c r="M43" s="14">
        <f>IF(D43="","",(K43-J43)*24*60)</f>
        <v>158.99999999441206</v>
      </c>
      <c r="N43" s="13" t="s">
        <v>191</v>
      </c>
      <c r="O43" s="1166" t="str">
        <f>IF(D43="","",IF(N43="P","--","NO"))</f>
        <v>--</v>
      </c>
      <c r="P43" s="1167"/>
      <c r="Q43" s="1168"/>
      <c r="R43" s="727">
        <f>IF(F43=132,40,0)</f>
        <v>40</v>
      </c>
      <c r="S43" s="904">
        <f>IF(N43="P",H43*R43*ROUND(M43/60,2)*0.1,"--")</f>
        <v>709.8714</v>
      </c>
      <c r="T43" s="188" t="str">
        <f>IF(AND(N43="F",O43="NO"),H43*R43,"--")</f>
        <v>--</v>
      </c>
      <c r="U43" s="375" t="str">
        <f>IF(N43="F",H43*R43*ROUND(M43/60,2),"--")</f>
        <v>--</v>
      </c>
      <c r="V43" s="376" t="str">
        <f>IF(N43="RF",H43*R43*ROUND(M43/60,2),"--")</f>
        <v>--</v>
      </c>
      <c r="W43" s="605"/>
      <c r="X43" s="605"/>
      <c r="Y43" s="605"/>
      <c r="Z43" s="605"/>
      <c r="AA43" s="606"/>
      <c r="AB43" s="304" t="s">
        <v>148</v>
      </c>
      <c r="AC43" s="383">
        <f>IF(D43="","",SUM(S43:V43)*IF(AB43="SI",1,2))</f>
        <v>709.8714</v>
      </c>
      <c r="AD43" s="17"/>
    </row>
    <row r="44" spans="1:30" ht="16.5" customHeight="1">
      <c r="A44" s="5"/>
      <c r="B44" s="50"/>
      <c r="C44" s="823"/>
      <c r="D44" s="591"/>
      <c r="E44" s="592"/>
      <c r="F44" s="1161"/>
      <c r="G44" s="1162"/>
      <c r="H44" s="595">
        <f>IF(F44=132,$F$22,0)</f>
        <v>0</v>
      </c>
      <c r="I44" s="596"/>
      <c r="J44" s="597"/>
      <c r="K44" s="597"/>
      <c r="L44" s="294">
        <f>IF(D44="","",(K44-J44)*24)</f>
      </c>
      <c r="M44" s="14">
        <f>IF(D44="","",(K44-J44)*24*60)</f>
      </c>
      <c r="N44" s="13"/>
      <c r="O44" s="1166">
        <f>IF(D44="","",IF(N44="P","--","NO"))</f>
      </c>
      <c r="P44" s="1167"/>
      <c r="Q44" s="1168"/>
      <c r="R44" s="727">
        <f>IF(F44=132,40,0)</f>
        <v>0</v>
      </c>
      <c r="S44" s="904" t="str">
        <f>IF(N44="P",H44*R44*ROUND(M44/60,2)*0.1,"--")</f>
        <v>--</v>
      </c>
      <c r="T44" s="188" t="str">
        <f>IF(AND(N44="F",O44="NO"),H44*R44,"--")</f>
        <v>--</v>
      </c>
      <c r="U44" s="375" t="str">
        <f>IF(N44="F",H44*R44*ROUND(M44/60,2),"--")</f>
        <v>--</v>
      </c>
      <c r="V44" s="376" t="str">
        <f>IF(N44="RF",H44*R44*ROUND(M44/60,2),"--")</f>
        <v>--</v>
      </c>
      <c r="W44" s="605"/>
      <c r="X44" s="605"/>
      <c r="Y44" s="605"/>
      <c r="Z44" s="605"/>
      <c r="AA44" s="606"/>
      <c r="AB44" s="304">
        <f>IF(D44="","","SI")</f>
      </c>
      <c r="AC44" s="383">
        <f>IF(D44="","",SUM(S44:V44)*IF(AB44="SI",1,2))</f>
      </c>
      <c r="AD44" s="17"/>
    </row>
    <row r="45" spans="1:30" ht="16.5" customHeight="1" thickBot="1">
      <c r="A45" s="32"/>
      <c r="B45" s="50"/>
      <c r="C45" s="608"/>
      <c r="D45" s="609"/>
      <c r="E45" s="610"/>
      <c r="F45" s="1151"/>
      <c r="G45" s="1152"/>
      <c r="H45" s="613"/>
      <c r="I45" s="614"/>
      <c r="J45" s="615"/>
      <c r="K45" s="616"/>
      <c r="L45" s="617"/>
      <c r="M45" s="618"/>
      <c r="N45" s="619"/>
      <c r="O45" s="1163"/>
      <c r="P45" s="1164"/>
      <c r="Q45" s="1165"/>
      <c r="R45" s="727">
        <f>IF(F45=132,40,0)</f>
        <v>0</v>
      </c>
      <c r="S45" s="904" t="str">
        <f>IF(N45="P",H45*R45*ROUND(M45/60,2)*0.1,"--")</f>
        <v>--</v>
      </c>
      <c r="T45" s="188" t="str">
        <f>IF(AND(N45="F",O45="NO"),H45*R45,"--")</f>
        <v>--</v>
      </c>
      <c r="U45" s="375" t="str">
        <f>IF(N45="F",H45*R45*ROUND(M45/60,2),"--")</f>
        <v>--</v>
      </c>
      <c r="V45" s="376" t="str">
        <f>IF(N45="RF",H45*R45*ROUND(M45/60,2),"--")</f>
        <v>--</v>
      </c>
      <c r="W45" s="628"/>
      <c r="X45" s="628"/>
      <c r="Y45" s="628"/>
      <c r="Z45" s="628"/>
      <c r="AA45" s="629"/>
      <c r="AB45" s="630"/>
      <c r="AC45" s="383">
        <f>IF(D45="","",SUM(S45:V45)*IF(AB45="SI",1,2))</f>
      </c>
      <c r="AD45" s="229"/>
    </row>
    <row r="46" spans="1:30" ht="16.5" customHeight="1" thickBot="1" thickTop="1">
      <c r="A46" s="32"/>
      <c r="B46" s="50"/>
      <c r="C46" s="98"/>
      <c r="D46" s="203"/>
      <c r="E46" s="203"/>
      <c r="F46" s="407"/>
      <c r="G46" s="632"/>
      <c r="H46" s="633"/>
      <c r="I46" s="634"/>
      <c r="J46" s="635"/>
      <c r="K46" s="636"/>
      <c r="L46" s="637"/>
      <c r="M46" s="633"/>
      <c r="N46" s="638"/>
      <c r="O46" s="192"/>
      <c r="P46" s="639"/>
      <c r="Q46" s="640"/>
      <c r="R46" s="641"/>
      <c r="S46" s="641"/>
      <c r="T46" s="641"/>
      <c r="U46" s="193"/>
      <c r="V46" s="193"/>
      <c r="W46" s="193"/>
      <c r="X46" s="193"/>
      <c r="Y46" s="193"/>
      <c r="Z46" s="193"/>
      <c r="AA46" s="193"/>
      <c r="AB46" s="193"/>
      <c r="AC46" s="921">
        <f>SUM(AC41:AC45)</f>
        <v>1419.7428</v>
      </c>
      <c r="AD46" s="229"/>
    </row>
    <row r="47" spans="1:30" ht="16.5" customHeight="1" thickBot="1" thickTop="1">
      <c r="A47" s="32"/>
      <c r="B47" s="50"/>
      <c r="C47" s="98"/>
      <c r="D47" s="203"/>
      <c r="E47" s="203"/>
      <c r="F47" s="407"/>
      <c r="G47" s="632"/>
      <c r="H47" s="633"/>
      <c r="I47" s="634"/>
      <c r="J47" s="480" t="s">
        <v>42</v>
      </c>
      <c r="K47" s="481">
        <f>+AC38+AC34+AC46</f>
        <v>1419.7428</v>
      </c>
      <c r="L47" s="637"/>
      <c r="M47" s="633"/>
      <c r="N47" s="643"/>
      <c r="O47" s="644"/>
      <c r="P47" s="639"/>
      <c r="Q47" s="640"/>
      <c r="R47" s="641"/>
      <c r="S47" s="641"/>
      <c r="T47" s="641"/>
      <c r="U47" s="193"/>
      <c r="V47" s="193"/>
      <c r="W47" s="193"/>
      <c r="X47" s="193"/>
      <c r="Y47" s="193"/>
      <c r="Z47" s="193"/>
      <c r="AA47" s="193"/>
      <c r="AB47" s="193"/>
      <c r="AC47" s="645"/>
      <c r="AD47" s="229"/>
    </row>
    <row r="48" spans="1:30" ht="13.5" customHeight="1" thickTop="1">
      <c r="A48" s="32"/>
      <c r="B48" s="466"/>
      <c r="C48" s="469"/>
      <c r="D48" s="646"/>
      <c r="E48" s="647"/>
      <c r="F48" s="648"/>
      <c r="G48" s="649"/>
      <c r="H48" s="649"/>
      <c r="I48" s="647"/>
      <c r="J48" s="457"/>
      <c r="K48" s="457"/>
      <c r="L48" s="647"/>
      <c r="M48" s="647"/>
      <c r="N48" s="647"/>
      <c r="O48" s="650"/>
      <c r="P48" s="647"/>
      <c r="Q48" s="647"/>
      <c r="R48" s="651"/>
      <c r="S48" s="652"/>
      <c r="T48" s="652"/>
      <c r="U48" s="653"/>
      <c r="AC48" s="653"/>
      <c r="AD48" s="654"/>
    </row>
    <row r="49" spans="1:30" ht="16.5" customHeight="1">
      <c r="A49" s="32"/>
      <c r="B49" s="466"/>
      <c r="C49" s="655" t="s">
        <v>93</v>
      </c>
      <c r="D49" s="656" t="s">
        <v>126</v>
      </c>
      <c r="E49" s="647"/>
      <c r="F49" s="648"/>
      <c r="G49" s="649"/>
      <c r="H49" s="649"/>
      <c r="I49" s="647"/>
      <c r="J49" s="457"/>
      <c r="K49" s="457"/>
      <c r="L49" s="647"/>
      <c r="M49" s="647"/>
      <c r="N49" s="647"/>
      <c r="O49" s="650"/>
      <c r="P49" s="647"/>
      <c r="Q49" s="647"/>
      <c r="R49" s="651"/>
      <c r="S49" s="652"/>
      <c r="T49" s="652"/>
      <c r="U49" s="653"/>
      <c r="AC49" s="653"/>
      <c r="AD49" s="654"/>
    </row>
    <row r="50" spans="1:30" ht="16.5" customHeight="1">
      <c r="A50" s="32"/>
      <c r="B50" s="466"/>
      <c r="C50" s="655"/>
      <c r="D50" s="646"/>
      <c r="E50" s="647"/>
      <c r="F50" s="648"/>
      <c r="G50" s="649"/>
      <c r="H50" s="649"/>
      <c r="I50" s="647"/>
      <c r="J50" s="457"/>
      <c r="K50" s="457"/>
      <c r="L50" s="647"/>
      <c r="M50" s="647"/>
      <c r="N50" s="647"/>
      <c r="O50" s="650"/>
      <c r="P50" s="647"/>
      <c r="Q50" s="647"/>
      <c r="R50" s="647"/>
      <c r="S50" s="651"/>
      <c r="T50" s="652"/>
      <c r="AD50" s="654"/>
    </row>
    <row r="51" spans="2:30" s="32" customFormat="1" ht="16.5" customHeight="1">
      <c r="B51" s="466"/>
      <c r="C51" s="469"/>
      <c r="D51" s="657" t="s">
        <v>0</v>
      </c>
      <c r="E51" s="552" t="s">
        <v>94</v>
      </c>
      <c r="F51" s="552" t="s">
        <v>43</v>
      </c>
      <c r="G51" s="658" t="s">
        <v>127</v>
      </c>
      <c r="H51" s="553"/>
      <c r="I51" s="552"/>
      <c r="J51"/>
      <c r="K51"/>
      <c r="L51" s="659" t="s">
        <v>128</v>
      </c>
      <c r="M51"/>
      <c r="N51"/>
      <c r="O51"/>
      <c r="P51"/>
      <c r="Q51" s="662"/>
      <c r="R51" s="662"/>
      <c r="S51" s="33"/>
      <c r="T51"/>
      <c r="U51"/>
      <c r="V51"/>
      <c r="W51"/>
      <c r="X51" s="33"/>
      <c r="Y51" s="33"/>
      <c r="Z51" s="33"/>
      <c r="AA51" s="33"/>
      <c r="AB51" s="33"/>
      <c r="AC51" s="663" t="s">
        <v>130</v>
      </c>
      <c r="AD51" s="654"/>
    </row>
    <row r="52" spans="2:30" s="32" customFormat="1" ht="16.5" customHeight="1">
      <c r="B52" s="466"/>
      <c r="C52" s="469"/>
      <c r="D52" s="552" t="s">
        <v>174</v>
      </c>
      <c r="E52" s="565">
        <v>386.15</v>
      </c>
      <c r="F52" s="665">
        <v>500</v>
      </c>
      <c r="G52" s="1114">
        <f>E52*$F$19*$L$20/100</f>
        <v>440970.01644000004</v>
      </c>
      <c r="H52" s="1115"/>
      <c r="I52" s="1115"/>
      <c r="J52" s="1115"/>
      <c r="K52"/>
      <c r="L52" s="667">
        <v>0</v>
      </c>
      <c r="M52" s="169"/>
      <c r="N52" s="668" t="s">
        <v>178</v>
      </c>
      <c r="O52"/>
      <c r="P52"/>
      <c r="Q52" s="662"/>
      <c r="R52" s="662"/>
      <c r="S52" s="33"/>
      <c r="T52"/>
      <c r="U52"/>
      <c r="V52"/>
      <c r="W52"/>
      <c r="X52" s="33"/>
      <c r="Y52" s="33"/>
      <c r="Z52" s="33"/>
      <c r="AA52" s="33"/>
      <c r="AB52" s="669"/>
      <c r="AC52" s="478">
        <f>L52+G52</f>
        <v>440970.01644000004</v>
      </c>
      <c r="AD52" s="654"/>
    </row>
    <row r="53" spans="2:30" s="32" customFormat="1" ht="16.5" customHeight="1">
      <c r="B53" s="466"/>
      <c r="C53" s="469"/>
      <c r="D53" s="670" t="s">
        <v>175</v>
      </c>
      <c r="E53" s="565">
        <v>280.7</v>
      </c>
      <c r="F53" s="665">
        <v>500</v>
      </c>
      <c r="G53" s="1114">
        <f>E53*$F$19*$L$20/100</f>
        <v>320549.74392000004</v>
      </c>
      <c r="H53" s="1115"/>
      <c r="I53" s="1116"/>
      <c r="J53" s="1116"/>
      <c r="K53"/>
      <c r="L53" s="667">
        <v>0</v>
      </c>
      <c r="M53" s="169"/>
      <c r="N53" s="668" t="s">
        <v>178</v>
      </c>
      <c r="O53" s="672"/>
      <c r="P53"/>
      <c r="Q53" s="662"/>
      <c r="R53" s="662"/>
      <c r="S53" s="33"/>
      <c r="T53"/>
      <c r="U53"/>
      <c r="V53"/>
      <c r="W53"/>
      <c r="X53" s="33"/>
      <c r="Y53" s="33"/>
      <c r="Z53" s="33"/>
      <c r="AA53" s="33"/>
      <c r="AB53" s="33"/>
      <c r="AC53" s="478">
        <f>L53+G53</f>
        <v>320549.74392000004</v>
      </c>
      <c r="AD53" s="654"/>
    </row>
    <row r="54" spans="2:30" s="32" customFormat="1" ht="16.5" customHeight="1">
      <c r="B54" s="466"/>
      <c r="C54" s="469"/>
      <c r="E54" s="474"/>
      <c r="F54" s="552"/>
      <c r="G54" s="553"/>
      <c r="H54"/>
      <c r="I54" s="552"/>
      <c r="J54" s="552"/>
      <c r="K54"/>
      <c r="L54" s="478"/>
      <c r="M54" s="661"/>
      <c r="N54" s="661"/>
      <c r="O54" s="662"/>
      <c r="P54" s="662"/>
      <c r="Q54" s="662"/>
      <c r="R54" s="662"/>
      <c r="S54" s="33"/>
      <c r="T54"/>
      <c r="U54"/>
      <c r="V54"/>
      <c r="W54"/>
      <c r="X54" s="33"/>
      <c r="Y54" s="33"/>
      <c r="Z54" s="33"/>
      <c r="AA54" s="33"/>
      <c r="AB54" s="33"/>
      <c r="AC54" s="478"/>
      <c r="AD54" s="654"/>
    </row>
    <row r="55" spans="1:30" ht="16.5" customHeight="1">
      <c r="A55" s="32"/>
      <c r="B55" s="466"/>
      <c r="C55" s="469"/>
      <c r="D55" s="657" t="s">
        <v>106</v>
      </c>
      <c r="E55" s="552" t="s">
        <v>107</v>
      </c>
      <c r="F55" s="552" t="s">
        <v>43</v>
      </c>
      <c r="G55" s="658" t="s">
        <v>131</v>
      </c>
      <c r="I55" s="660"/>
      <c r="J55" s="552"/>
      <c r="L55" s="659" t="s">
        <v>129</v>
      </c>
      <c r="M55" s="660"/>
      <c r="N55" s="661"/>
      <c r="O55" s="662"/>
      <c r="P55" s="662"/>
      <c r="Q55" s="662"/>
      <c r="R55" s="662"/>
      <c r="S55" s="662"/>
      <c r="AC55" s="478">
        <f>+L56</f>
        <v>0</v>
      </c>
      <c r="AD55" s="654"/>
    </row>
    <row r="56" spans="1:30" ht="16.5" customHeight="1">
      <c r="A56" s="32"/>
      <c r="B56" s="466"/>
      <c r="C56" s="469"/>
      <c r="D56" s="552" t="s">
        <v>176</v>
      </c>
      <c r="E56" s="665">
        <v>300</v>
      </c>
      <c r="F56" s="665" t="s">
        <v>121</v>
      </c>
      <c r="G56" s="1114">
        <f>E56*F21*L20</f>
        <v>93297.59999999999</v>
      </c>
      <c r="H56" s="1115"/>
      <c r="I56" s="1115"/>
      <c r="J56" s="1116"/>
      <c r="L56" s="666">
        <v>0</v>
      </c>
      <c r="M56" s="169"/>
      <c r="N56" s="668" t="s">
        <v>178</v>
      </c>
      <c r="O56" s="699"/>
      <c r="P56" s="699"/>
      <c r="Q56" s="699"/>
      <c r="R56" s="699"/>
      <c r="S56" s="699"/>
      <c r="AC56" s="700">
        <f>G56</f>
        <v>93297.59999999999</v>
      </c>
      <c r="AD56" s="654"/>
    </row>
    <row r="57" spans="1:30" ht="16.5" customHeight="1">
      <c r="A57" s="32"/>
      <c r="B57" s="466"/>
      <c r="C57" s="469"/>
      <c r="D57" s="552"/>
      <c r="E57" s="665"/>
      <c r="F57" s="665"/>
      <c r="G57" s="666"/>
      <c r="H57" s="169"/>
      <c r="I57" s="169"/>
      <c r="J57" s="667"/>
      <c r="L57" s="667"/>
      <c r="M57" s="169"/>
      <c r="N57" s="668"/>
      <c r="O57" s="699"/>
      <c r="P57" s="699"/>
      <c r="Q57" s="699"/>
      <c r="R57" s="699"/>
      <c r="S57" s="699"/>
      <c r="AC57" s="700"/>
      <c r="AD57" s="654"/>
    </row>
    <row r="58" spans="1:30" ht="16.5" customHeight="1">
      <c r="A58" s="32"/>
      <c r="B58" s="466"/>
      <c r="C58" s="469"/>
      <c r="D58" s="657" t="s">
        <v>49</v>
      </c>
      <c r="E58" s="671" t="s">
        <v>1</v>
      </c>
      <c r="F58" s="671"/>
      <c r="G58" s="552" t="s">
        <v>43</v>
      </c>
      <c r="I58" s="660"/>
      <c r="J58" s="658" t="s">
        <v>132</v>
      </c>
      <c r="L58" s="659"/>
      <c r="M58" s="660"/>
      <c r="N58" s="661"/>
      <c r="O58" s="662"/>
      <c r="P58" s="662"/>
      <c r="Q58" s="662"/>
      <c r="R58" s="662"/>
      <c r="S58" s="662"/>
      <c r="AC58" s="478"/>
      <c r="AD58" s="654"/>
    </row>
    <row r="59" spans="1:30" ht="16.5" customHeight="1">
      <c r="A59" s="32"/>
      <c r="B59" s="466"/>
      <c r="C59" s="469"/>
      <c r="D59" s="552" t="s">
        <v>176</v>
      </c>
      <c r="E59" s="701" t="s">
        <v>181</v>
      </c>
      <c r="F59" s="702"/>
      <c r="G59" s="665">
        <v>132</v>
      </c>
      <c r="H59" s="169"/>
      <c r="I59" s="169"/>
      <c r="J59" s="666">
        <f>+F22*L20</f>
        <v>49824.935999999994</v>
      </c>
      <c r="L59" s="667"/>
      <c r="M59" s="169"/>
      <c r="N59" s="668"/>
      <c r="O59" s="699"/>
      <c r="P59" s="699"/>
      <c r="Q59" s="699"/>
      <c r="R59" s="699"/>
      <c r="S59" s="699"/>
      <c r="AC59" s="700">
        <f>J59</f>
        <v>49824.935999999994</v>
      </c>
      <c r="AD59" s="654"/>
    </row>
    <row r="60" spans="1:30" ht="16.5" customHeight="1" thickBot="1">
      <c r="A60" s="32"/>
      <c r="B60" s="466"/>
      <c r="C60" s="469"/>
      <c r="D60" s="552" t="s">
        <v>176</v>
      </c>
      <c r="E60" s="701" t="s">
        <v>182</v>
      </c>
      <c r="F60" s="702"/>
      <c r="G60" s="665">
        <v>132</v>
      </c>
      <c r="H60" s="169"/>
      <c r="I60" s="169"/>
      <c r="J60" s="666">
        <f>+F22*L20</f>
        <v>49824.935999999994</v>
      </c>
      <c r="L60" s="667"/>
      <c r="M60" s="169"/>
      <c r="N60" s="668"/>
      <c r="O60" s="699"/>
      <c r="P60" s="699"/>
      <c r="Q60" s="699"/>
      <c r="R60" s="699"/>
      <c r="S60" s="699"/>
      <c r="AC60" s="700">
        <f>J60</f>
        <v>49824.935999999994</v>
      </c>
      <c r="AD60" s="654"/>
    </row>
    <row r="61" spans="1:30" ht="16.5" customHeight="1" thickBot="1">
      <c r="A61" s="32"/>
      <c r="B61" s="466"/>
      <c r="C61" s="469"/>
      <c r="D61" s="457"/>
      <c r="E61" s="474"/>
      <c r="F61" s="552"/>
      <c r="G61" s="552"/>
      <c r="H61" s="553"/>
      <c r="J61" s="552"/>
      <c r="L61" s="673"/>
      <c r="M61" s="661"/>
      <c r="N61" s="661"/>
      <c r="O61" s="662"/>
      <c r="P61" s="662"/>
      <c r="Q61" s="662"/>
      <c r="R61" s="662"/>
      <c r="S61" s="662"/>
      <c r="AB61" s="1117" t="s">
        <v>317</v>
      </c>
      <c r="AC61" s="1119">
        <f>SUM(AC52:AC60)</f>
        <v>954467.23236</v>
      </c>
      <c r="AD61" s="654"/>
    </row>
    <row r="62" spans="2:30" ht="16.5" customHeight="1" thickBot="1">
      <c r="B62" s="466"/>
      <c r="C62" s="655" t="s">
        <v>97</v>
      </c>
      <c r="D62" s="674" t="s">
        <v>98</v>
      </c>
      <c r="E62" s="552"/>
      <c r="F62" s="675"/>
      <c r="G62" s="551"/>
      <c r="H62" s="457"/>
      <c r="I62" s="457"/>
      <c r="J62" s="457"/>
      <c r="K62" s="552"/>
      <c r="L62" s="552"/>
      <c r="M62" s="457"/>
      <c r="N62" s="552"/>
      <c r="O62" s="457"/>
      <c r="P62" s="457"/>
      <c r="Q62" s="457"/>
      <c r="R62" s="457"/>
      <c r="S62" s="457"/>
      <c r="T62" s="457"/>
      <c r="U62" s="457"/>
      <c r="AC62" s="457"/>
      <c r="AD62" s="654"/>
    </row>
    <row r="63" spans="2:30" s="32" customFormat="1" ht="16.5" customHeight="1" thickBot="1">
      <c r="B63" s="466"/>
      <c r="C63" s="469"/>
      <c r="D63" s="657" t="s">
        <v>99</v>
      </c>
      <c r="E63" s="676">
        <f>10*K47*K27/AC61</f>
        <v>140.3414301285971</v>
      </c>
      <c r="G63" s="551"/>
      <c r="L63" s="552"/>
      <c r="N63" s="552"/>
      <c r="O63" s="553"/>
      <c r="V63"/>
      <c r="W63"/>
      <c r="AB63" s="1117" t="s">
        <v>318</v>
      </c>
      <c r="AC63" s="1119">
        <v>235872.47</v>
      </c>
      <c r="AD63" s="654"/>
    </row>
    <row r="64" spans="2:30" s="32" customFormat="1" ht="16.5" customHeight="1">
      <c r="B64" s="466"/>
      <c r="C64" s="469"/>
      <c r="E64" s="677"/>
      <c r="F64" s="479"/>
      <c r="G64" s="551"/>
      <c r="J64" s="551"/>
      <c r="K64" s="566"/>
      <c r="L64" s="552"/>
      <c r="M64" s="552"/>
      <c r="N64" s="552"/>
      <c r="O64" s="553"/>
      <c r="P64" s="552"/>
      <c r="Q64" s="552"/>
      <c r="R64" s="565"/>
      <c r="S64" s="565"/>
      <c r="T64" s="565"/>
      <c r="U64" s="678"/>
      <c r="V64"/>
      <c r="W64"/>
      <c r="AB64" s="32" t="s">
        <v>323</v>
      </c>
      <c r="AC64" s="678"/>
      <c r="AD64" s="654"/>
    </row>
    <row r="65" spans="2:30" ht="16.5" customHeight="1" thickBot="1">
      <c r="B65" s="466"/>
      <c r="C65" s="469"/>
      <c r="D65" s="679" t="s">
        <v>149</v>
      </c>
      <c r="E65" s="680"/>
      <c r="F65" s="479"/>
      <c r="G65" s="551"/>
      <c r="H65" s="457"/>
      <c r="I65" s="457"/>
      <c r="N65" s="552"/>
      <c r="O65" s="553"/>
      <c r="P65" s="552"/>
      <c r="Q65" s="552"/>
      <c r="R65" s="660"/>
      <c r="S65" s="660"/>
      <c r="T65" s="660"/>
      <c r="U65" s="661"/>
      <c r="AC65" s="661"/>
      <c r="AD65" s="654"/>
    </row>
    <row r="66" spans="2:30" s="681" customFormat="1" ht="24" thickBot="1" thickTop="1">
      <c r="B66" s="682"/>
      <c r="C66" s="683"/>
      <c r="D66" s="684"/>
      <c r="E66" s="685"/>
      <c r="F66" s="686"/>
      <c r="G66" s="687"/>
      <c r="I66"/>
      <c r="J66" s="688" t="s">
        <v>101</v>
      </c>
      <c r="K66" s="689">
        <f>IF(E63&gt;3*K27,K27*3,E63)</f>
        <v>140.3414301285971</v>
      </c>
      <c r="L66" s="826"/>
      <c r="M66" s="908"/>
      <c r="N66" s="908"/>
      <c r="O66" s="908"/>
      <c r="P66" s="690"/>
      <c r="Q66" s="690"/>
      <c r="R66" s="692"/>
      <c r="S66" s="692"/>
      <c r="T66" s="692"/>
      <c r="U66" s="693"/>
      <c r="V66"/>
      <c r="W66"/>
      <c r="AC66" s="693"/>
      <c r="AD66" s="694"/>
    </row>
    <row r="67" spans="2:30" ht="16.5" customHeight="1" thickBot="1" thickTop="1">
      <c r="B67" s="5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194"/>
      <c r="W67" s="194"/>
      <c r="X67" s="194"/>
      <c r="Y67" s="194"/>
      <c r="Z67" s="194"/>
      <c r="AA67" s="194"/>
      <c r="AB67" s="194"/>
      <c r="AC67" s="59"/>
      <c r="AD67" s="695"/>
    </row>
    <row r="68" spans="2:23" ht="16.5" customHeight="1" thickTop="1">
      <c r="B68" s="1"/>
      <c r="C68" s="73"/>
      <c r="W68" s="1"/>
    </row>
  </sheetData>
  <sheetProtection password="CC12"/>
  <mergeCells count="16">
    <mergeCell ref="F41:G41"/>
    <mergeCell ref="F42:G42"/>
    <mergeCell ref="O42:Q42"/>
    <mergeCell ref="O43:Q43"/>
    <mergeCell ref="O44:Q44"/>
    <mergeCell ref="P37:Q37"/>
    <mergeCell ref="G56:J56"/>
    <mergeCell ref="F45:G45"/>
    <mergeCell ref="O40:Q40"/>
    <mergeCell ref="O41:Q41"/>
    <mergeCell ref="G52:J52"/>
    <mergeCell ref="G53:J53"/>
    <mergeCell ref="F40:G40"/>
    <mergeCell ref="F43:G43"/>
    <mergeCell ref="F44:G44"/>
    <mergeCell ref="O45:Q45"/>
  </mergeCells>
  <printOptions horizontalCentered="1"/>
  <pageMargins left="0.32" right="0.1968503937007874" top="0.59" bottom="0.58" header="0.5118110236220472" footer="0.36"/>
  <pageSetup orientation="landscape" paperSize="9" scale="35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7"/>
  <sheetViews>
    <sheetView zoomScale="70" zoomScaleNormal="70" workbookViewId="0" topLeftCell="E1">
      <selection activeCell="AE28" sqref="AE28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421875" style="0" hidden="1" customWidth="1"/>
    <col min="11" max="11" width="7.8515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5.7109375" style="0" bestFit="1" customWidth="1"/>
    <col min="20" max="21" width="12.140625" style="0" hidden="1" customWidth="1"/>
    <col min="22" max="22" width="11.00390625" style="0" hidden="1" customWidth="1"/>
    <col min="23" max="23" width="11.7109375" style="0" hidden="1" customWidth="1"/>
    <col min="24" max="24" width="9.57421875" style="0" hidden="1" customWidth="1"/>
    <col min="25" max="27" width="6.00390625" style="0" hidden="1" customWidth="1"/>
    <col min="28" max="28" width="11.7109375" style="0" hidden="1" customWidth="1"/>
    <col min="29" max="29" width="12.851562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58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134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'TOT-0110'!B14</f>
        <v>Desde el 01 al 31 de enero de 2010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8"/>
      <c r="Q14" s="198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8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9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79</v>
      </c>
      <c r="G16" s="817">
        <v>153.49</v>
      </c>
      <c r="H16" s="20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80</v>
      </c>
      <c r="G17" s="817">
        <v>127.908</v>
      </c>
      <c r="H17" s="200"/>
      <c r="I17" s="4"/>
      <c r="J17" s="4"/>
      <c r="K17" s="4"/>
      <c r="L17" s="201"/>
      <c r="M17" s="202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919">
        <v>23</v>
      </c>
      <c r="X18" s="919">
        <v>24</v>
      </c>
      <c r="Y18" s="919">
        <v>25</v>
      </c>
      <c r="Z18" s="919">
        <v>26</v>
      </c>
      <c r="AA18" s="919">
        <v>27</v>
      </c>
      <c r="AB18" s="919">
        <v>28</v>
      </c>
      <c r="AC18" s="919">
        <v>29</v>
      </c>
      <c r="AD18" s="919">
        <v>30</v>
      </c>
      <c r="AE18" s="919">
        <v>31</v>
      </c>
      <c r="AF18" s="17"/>
    </row>
    <row r="19" spans="2:32" s="5" customFormat="1" ht="33.75" customHeight="1" thickBot="1" thickTop="1">
      <c r="B19" s="50"/>
      <c r="C19" s="84" t="s">
        <v>13</v>
      </c>
      <c r="D19" s="84" t="s">
        <v>171</v>
      </c>
      <c r="E19" s="84" t="s">
        <v>172</v>
      </c>
      <c r="F19" s="85" t="s">
        <v>0</v>
      </c>
      <c r="G19" s="750" t="s">
        <v>14</v>
      </c>
      <c r="H19" s="86" t="s">
        <v>15</v>
      </c>
      <c r="I19" s="205" t="s">
        <v>60</v>
      </c>
      <c r="J19" s="751" t="s">
        <v>37</v>
      </c>
      <c r="K19" s="752" t="s">
        <v>16</v>
      </c>
      <c r="L19" s="85" t="s">
        <v>17</v>
      </c>
      <c r="M19" s="176" t="s">
        <v>18</v>
      </c>
      <c r="N19" s="88" t="s">
        <v>36</v>
      </c>
      <c r="O19" s="86" t="s">
        <v>31</v>
      </c>
      <c r="P19" s="88" t="s">
        <v>19</v>
      </c>
      <c r="Q19" s="86" t="s">
        <v>46</v>
      </c>
      <c r="R19" s="176" t="s">
        <v>47</v>
      </c>
      <c r="S19" s="85" t="s">
        <v>32</v>
      </c>
      <c r="T19" s="136" t="s">
        <v>20</v>
      </c>
      <c r="U19" s="753" t="s">
        <v>21</v>
      </c>
      <c r="V19" s="207" t="s">
        <v>48</v>
      </c>
      <c r="W19" s="208"/>
      <c r="X19" s="209"/>
      <c r="Y19" s="754" t="s">
        <v>135</v>
      </c>
      <c r="Z19" s="755"/>
      <c r="AA19" s="756"/>
      <c r="AB19" s="210" t="s">
        <v>22</v>
      </c>
      <c r="AC19" s="211" t="s">
        <v>62</v>
      </c>
      <c r="AD19" s="132" t="s">
        <v>63</v>
      </c>
      <c r="AE19" s="132" t="s">
        <v>24</v>
      </c>
      <c r="AF19" s="212"/>
    </row>
    <row r="20" spans="2:32" s="5" customFormat="1" ht="16.5" customHeight="1" thickTop="1">
      <c r="B20" s="50"/>
      <c r="C20" s="178"/>
      <c r="D20" s="178"/>
      <c r="E20" s="178"/>
      <c r="F20" s="800"/>
      <c r="G20" s="800"/>
      <c r="H20" s="818"/>
      <c r="I20" s="799"/>
      <c r="J20" s="801"/>
      <c r="K20" s="802"/>
      <c r="L20" s="813"/>
      <c r="M20" s="813"/>
      <c r="N20" s="799"/>
      <c r="O20" s="799"/>
      <c r="P20" s="799"/>
      <c r="Q20" s="799"/>
      <c r="R20" s="799"/>
      <c r="S20" s="799"/>
      <c r="T20" s="803"/>
      <c r="U20" s="804"/>
      <c r="V20" s="805"/>
      <c r="W20" s="806"/>
      <c r="X20" s="807"/>
      <c r="Y20" s="808"/>
      <c r="Z20" s="809"/>
      <c r="AA20" s="810"/>
      <c r="AB20" s="811"/>
      <c r="AC20" s="812"/>
      <c r="AD20" s="799"/>
      <c r="AE20" s="757"/>
      <c r="AF20" s="17"/>
    </row>
    <row r="21" spans="2:32" s="5" customFormat="1" ht="16.5" customHeight="1">
      <c r="B21" s="50"/>
      <c r="C21" s="276"/>
      <c r="D21" s="276"/>
      <c r="E21" s="276"/>
      <c r="F21" s="180"/>
      <c r="G21" s="7"/>
      <c r="H21" s="819"/>
      <c r="I21" s="180"/>
      <c r="J21" s="758"/>
      <c r="K21" s="759"/>
      <c r="L21" s="213"/>
      <c r="M21" s="115"/>
      <c r="N21" s="180"/>
      <c r="O21" s="180"/>
      <c r="P21" s="181"/>
      <c r="Q21" s="180"/>
      <c r="R21" s="180"/>
      <c r="S21" s="180"/>
      <c r="T21" s="760"/>
      <c r="U21" s="761"/>
      <c r="V21" s="762"/>
      <c r="W21" s="763"/>
      <c r="X21" s="764"/>
      <c r="Y21" s="765"/>
      <c r="Z21" s="766"/>
      <c r="AA21" s="767"/>
      <c r="AB21" s="217"/>
      <c r="AC21" s="218"/>
      <c r="AD21" s="180"/>
      <c r="AE21" s="219"/>
      <c r="AF21" s="17"/>
    </row>
    <row r="22" spans="2:32" s="5" customFormat="1" ht="16.5" customHeight="1">
      <c r="B22" s="50"/>
      <c r="C22" s="152">
        <v>1</v>
      </c>
      <c r="D22" s="152">
        <v>216816</v>
      </c>
      <c r="E22" s="152">
        <v>3695</v>
      </c>
      <c r="F22" s="152" t="s">
        <v>184</v>
      </c>
      <c r="G22" s="183">
        <v>500</v>
      </c>
      <c r="H22" s="820">
        <v>77</v>
      </c>
      <c r="I22" s="183" t="s">
        <v>196</v>
      </c>
      <c r="J22" s="768">
        <f aca="true" t="shared" si="0" ref="J22:J42">IF(I22="A",200,IF(I22="B",60,20))</f>
        <v>60</v>
      </c>
      <c r="K22" s="769">
        <f aca="true" t="shared" si="1" ref="K22:K42">IF(G22=500,IF(H22&lt;100,100*$G$16/100,H22*$G$16/100),IF(H22&lt;100,100*$G$17/100,H22*$G$17/100))</f>
        <v>153.49</v>
      </c>
      <c r="L22" s="770">
        <v>40183.850694444445</v>
      </c>
      <c r="M22" s="771">
        <v>40183.92916666667</v>
      </c>
      <c r="N22" s="186">
        <f aca="true" t="shared" si="2" ref="N22:N42">IF(F22="","",(M22-L22)*24)</f>
        <v>1.883333333360497</v>
      </c>
      <c r="O22" s="187">
        <f aca="true" t="shared" si="3" ref="O22:O42">IF(F22="","",ROUND((M22-L22)*24*60,0))</f>
        <v>113</v>
      </c>
      <c r="P22" s="222" t="s">
        <v>186</v>
      </c>
      <c r="Q22" s="890" t="str">
        <f aca="true" t="shared" si="4" ref="Q22:Q42">IF(F22="","","--")</f>
        <v>--</v>
      </c>
      <c r="R22" s="223"/>
      <c r="S22" s="223" t="str">
        <f aca="true" t="shared" si="5" ref="S22:S42">IF(F22="","",IF(OR(P22="P",P22="RP"),"--","NO"))</f>
        <v>NO</v>
      </c>
      <c r="T22" s="772" t="str">
        <f aca="true" t="shared" si="6" ref="T22:T42">IF(P22="P",K22*J22*ROUND(O22/60,2)*0.01,"--")</f>
        <v>--</v>
      </c>
      <c r="U22" s="773" t="str">
        <f aca="true" t="shared" si="7" ref="U22:U42">IF(P22="RP",K22*J22*ROUND(O22/60,2)*0.01*Q22/100,"--")</f>
        <v>--</v>
      </c>
      <c r="V22" s="224">
        <f aca="true" t="shared" si="8" ref="V22:V42">IF(AND(P22="F",S22="NO"),K22*J22*IF(R22="SI",1.2,1),"--")</f>
        <v>9209.400000000001</v>
      </c>
      <c r="W22" s="225">
        <f aca="true" t="shared" si="9" ref="W22:W42">IF(AND(P22="F",O22&gt;=10),K22*J22*IF(R22="SI",1.2,1)*IF(O22&lt;=300,ROUND(O22/60,2),5),"--")</f>
        <v>17313.672000000002</v>
      </c>
      <c r="X22" s="226" t="str">
        <f aca="true" t="shared" si="10" ref="X22:X42">IF(AND(P22="F",O22&gt;300),(ROUND(O22/60,2)-5)*K22*J22*0.1*IF(R22="SI",1.2,1),"--")</f>
        <v>--</v>
      </c>
      <c r="Y22" s="774" t="str">
        <f aca="true" t="shared" si="11" ref="Y22:Y42">IF(AND(P22="R",S22="NO"),K22*J22*Q22/100*IF(R22="SI",1.2,1),"--")</f>
        <v>--</v>
      </c>
      <c r="Z22" s="775" t="str">
        <f aca="true" t="shared" si="12" ref="Z22:Z42">IF(AND(P22="R",O22&gt;=10),K22*J22*Q22/100*IF(R22="SI",1.2,1)*IF(O22&lt;=300,ROUND(O22/60,2),5),"--")</f>
        <v>--</v>
      </c>
      <c r="AA22" s="776" t="str">
        <f aca="true" t="shared" si="13" ref="AA22:AA42">IF(AND(P22="R",O22&gt;300),(ROUND(O22/60,2)-5)*K22*J22*0.1*Q22/100*IF(R22="SI",1.2,1),"--")</f>
        <v>--</v>
      </c>
      <c r="AB22" s="227" t="str">
        <f aca="true" t="shared" si="14" ref="AB22:AB42">IF(P22="RF",ROUND(O22/60,2)*K22*J22*0.1*IF(R22="SI",1.2,1),"--")</f>
        <v>--</v>
      </c>
      <c r="AC22" s="228" t="str">
        <f aca="true" t="shared" si="15" ref="AC22:AC42">IF(P22="RR",ROUND(O22/60,2)*K22*J22*0.1*Q22/100*IF(R22="SI",1.2,1),"--")</f>
        <v>--</v>
      </c>
      <c r="AD22" s="893" t="s">
        <v>148</v>
      </c>
      <c r="AE22" s="16">
        <f aca="true" t="shared" si="16" ref="AE22:AE42">IF(F22="","",SUM(T22:AC22)*IF(AD22="SI",1,2))</f>
        <v>26523.072000000004</v>
      </c>
      <c r="AF22" s="777"/>
    </row>
    <row r="23" spans="2:32" s="5" customFormat="1" ht="16.5" customHeight="1">
      <c r="B23" s="50"/>
      <c r="C23" s="276">
        <v>2</v>
      </c>
      <c r="D23" s="276">
        <v>216817</v>
      </c>
      <c r="E23" s="276">
        <v>4734</v>
      </c>
      <c r="F23" s="152" t="s">
        <v>187</v>
      </c>
      <c r="G23" s="183">
        <v>220</v>
      </c>
      <c r="H23" s="820">
        <v>77</v>
      </c>
      <c r="I23" s="183" t="s">
        <v>185</v>
      </c>
      <c r="J23" s="768">
        <f t="shared" si="0"/>
        <v>20</v>
      </c>
      <c r="K23" s="769">
        <f t="shared" si="1"/>
        <v>127.90799999999999</v>
      </c>
      <c r="L23" s="770">
        <v>40183.86597222222</v>
      </c>
      <c r="M23" s="771">
        <v>40183.86875</v>
      </c>
      <c r="N23" s="186">
        <f t="shared" si="2"/>
        <v>0.06666666670935228</v>
      </c>
      <c r="O23" s="187">
        <f t="shared" si="3"/>
        <v>4</v>
      </c>
      <c r="P23" s="222" t="s">
        <v>186</v>
      </c>
      <c r="Q23" s="890" t="str">
        <f t="shared" si="4"/>
        <v>--</v>
      </c>
      <c r="R23" s="223"/>
      <c r="S23" s="223" t="str">
        <f t="shared" si="5"/>
        <v>NO</v>
      </c>
      <c r="T23" s="772" t="str">
        <f t="shared" si="6"/>
        <v>--</v>
      </c>
      <c r="U23" s="773" t="str">
        <f t="shared" si="7"/>
        <v>--</v>
      </c>
      <c r="V23" s="224">
        <f t="shared" si="8"/>
        <v>2558.16</v>
      </c>
      <c r="W23" s="225" t="str">
        <f t="shared" si="9"/>
        <v>--</v>
      </c>
      <c r="X23" s="226" t="str">
        <f t="shared" si="10"/>
        <v>--</v>
      </c>
      <c r="Y23" s="774" t="str">
        <f t="shared" si="11"/>
        <v>--</v>
      </c>
      <c r="Z23" s="775" t="str">
        <f t="shared" si="12"/>
        <v>--</v>
      </c>
      <c r="AA23" s="776" t="str">
        <f t="shared" si="13"/>
        <v>--</v>
      </c>
      <c r="AB23" s="227" t="str">
        <f t="shared" si="14"/>
        <v>--</v>
      </c>
      <c r="AC23" s="228" t="str">
        <f t="shared" si="15"/>
        <v>--</v>
      </c>
      <c r="AD23" s="893" t="s">
        <v>148</v>
      </c>
      <c r="AE23" s="16">
        <f t="shared" si="16"/>
        <v>2558.16</v>
      </c>
      <c r="AF23" s="777"/>
    </row>
    <row r="24" spans="2:32" s="1057" customFormat="1" ht="16.5" customHeight="1">
      <c r="B24" s="1055"/>
      <c r="C24" s="152">
        <v>3</v>
      </c>
      <c r="D24" s="152">
        <v>216818</v>
      </c>
      <c r="E24" s="152">
        <v>22</v>
      </c>
      <c r="F24" s="778" t="s">
        <v>280</v>
      </c>
      <c r="G24" s="779">
        <v>220</v>
      </c>
      <c r="H24" s="821">
        <v>6</v>
      </c>
      <c r="I24" s="779" t="s">
        <v>185</v>
      </c>
      <c r="J24" s="1066">
        <v>20</v>
      </c>
      <c r="K24" s="769">
        <f t="shared" si="1"/>
        <v>127.90799999999999</v>
      </c>
      <c r="L24" s="780">
        <v>40183.86597222222</v>
      </c>
      <c r="M24" s="781">
        <v>40183.87152777778</v>
      </c>
      <c r="N24" s="186">
        <v>0.13333333341870457</v>
      </c>
      <c r="O24" s="187">
        <v>8</v>
      </c>
      <c r="P24" s="222" t="s">
        <v>301</v>
      </c>
      <c r="Q24" s="890" t="s">
        <v>299</v>
      </c>
      <c r="R24" s="223"/>
      <c r="S24" s="223" t="s">
        <v>300</v>
      </c>
      <c r="T24" s="1067" t="s">
        <v>299</v>
      </c>
      <c r="U24" s="1068" t="s">
        <v>299</v>
      </c>
      <c r="V24" s="1069">
        <v>1952.98</v>
      </c>
      <c r="W24" s="1070" t="s">
        <v>299</v>
      </c>
      <c r="X24" s="1071" t="s">
        <v>299</v>
      </c>
      <c r="Y24" s="1072" t="s">
        <v>299</v>
      </c>
      <c r="Z24" s="1073" t="s">
        <v>299</v>
      </c>
      <c r="AA24" s="1074" t="s">
        <v>299</v>
      </c>
      <c r="AB24" s="1075" t="s">
        <v>299</v>
      </c>
      <c r="AC24" s="1076" t="s">
        <v>299</v>
      </c>
      <c r="AD24" s="893" t="s">
        <v>148</v>
      </c>
      <c r="AE24" s="16">
        <v>1952.98</v>
      </c>
      <c r="AF24" s="1056"/>
    </row>
    <row r="25" spans="2:32" s="1057" customFormat="1" ht="16.5" customHeight="1">
      <c r="B25" s="1055"/>
      <c r="C25" s="276">
        <v>4</v>
      </c>
      <c r="D25" s="276">
        <v>216819</v>
      </c>
      <c r="E25" s="276">
        <v>19</v>
      </c>
      <c r="F25" s="778" t="s">
        <v>188</v>
      </c>
      <c r="G25" s="779">
        <v>132</v>
      </c>
      <c r="H25" s="821">
        <v>6</v>
      </c>
      <c r="I25" s="779" t="s">
        <v>185</v>
      </c>
      <c r="J25" s="1066">
        <v>20</v>
      </c>
      <c r="K25" s="769">
        <f t="shared" si="1"/>
        <v>127.90799999999999</v>
      </c>
      <c r="L25" s="780">
        <v>40183.86597222222</v>
      </c>
      <c r="M25" s="781">
        <v>40183.915972222225</v>
      </c>
      <c r="N25" s="186">
        <v>1.2000000000698492</v>
      </c>
      <c r="O25" s="187">
        <v>72</v>
      </c>
      <c r="P25" s="222" t="s">
        <v>301</v>
      </c>
      <c r="Q25" s="890" t="s">
        <v>299</v>
      </c>
      <c r="R25" s="223"/>
      <c r="S25" s="223" t="s">
        <v>300</v>
      </c>
      <c r="T25" s="1067" t="s">
        <v>299</v>
      </c>
      <c r="U25" s="1068" t="s">
        <v>299</v>
      </c>
      <c r="V25" s="1069">
        <v>1952.98</v>
      </c>
      <c r="W25" s="1070">
        <v>2343.576</v>
      </c>
      <c r="X25" s="1071" t="s">
        <v>299</v>
      </c>
      <c r="Y25" s="1072" t="s">
        <v>299</v>
      </c>
      <c r="Z25" s="1073" t="s">
        <v>299</v>
      </c>
      <c r="AA25" s="1074" t="s">
        <v>299</v>
      </c>
      <c r="AB25" s="1075" t="s">
        <v>299</v>
      </c>
      <c r="AC25" s="1076" t="s">
        <v>299</v>
      </c>
      <c r="AD25" s="893" t="s">
        <v>148</v>
      </c>
      <c r="AE25" s="16">
        <v>4296.5560000000005</v>
      </c>
      <c r="AF25" s="1056"/>
    </row>
    <row r="26" spans="2:32" s="5" customFormat="1" ht="16.5" customHeight="1">
      <c r="B26" s="50"/>
      <c r="C26" s="152">
        <v>5</v>
      </c>
      <c r="D26" s="152">
        <v>216820</v>
      </c>
      <c r="E26" s="152">
        <v>3696</v>
      </c>
      <c r="F26" s="152" t="s">
        <v>189</v>
      </c>
      <c r="G26" s="183">
        <v>500</v>
      </c>
      <c r="H26" s="820">
        <v>183.89999389648438</v>
      </c>
      <c r="I26" s="183" t="s">
        <v>185</v>
      </c>
      <c r="J26" s="1066">
        <f t="shared" si="0"/>
        <v>20</v>
      </c>
      <c r="K26" s="769">
        <f t="shared" si="1"/>
        <v>282.2681006317139</v>
      </c>
      <c r="L26" s="770">
        <v>40183.86666666667</v>
      </c>
      <c r="M26" s="771">
        <v>40183.884722222225</v>
      </c>
      <c r="N26" s="186">
        <f t="shared" si="2"/>
        <v>0.4333333333488554</v>
      </c>
      <c r="O26" s="187">
        <f t="shared" si="3"/>
        <v>26</v>
      </c>
      <c r="P26" s="222" t="s">
        <v>186</v>
      </c>
      <c r="Q26" s="890" t="str">
        <f t="shared" si="4"/>
        <v>--</v>
      </c>
      <c r="R26" s="223"/>
      <c r="S26" s="223" t="str">
        <f t="shared" si="5"/>
        <v>NO</v>
      </c>
      <c r="T26" s="1067" t="str">
        <f t="shared" si="6"/>
        <v>--</v>
      </c>
      <c r="U26" s="1068" t="str">
        <f t="shared" si="7"/>
        <v>--</v>
      </c>
      <c r="V26" s="1069">
        <f t="shared" si="8"/>
        <v>5645.362012634278</v>
      </c>
      <c r="W26" s="1070">
        <f t="shared" si="9"/>
        <v>2427.5056654327395</v>
      </c>
      <c r="X26" s="1071" t="str">
        <f t="shared" si="10"/>
        <v>--</v>
      </c>
      <c r="Y26" s="1072" t="str">
        <f t="shared" si="11"/>
        <v>--</v>
      </c>
      <c r="Z26" s="1073" t="str">
        <f t="shared" si="12"/>
        <v>--</v>
      </c>
      <c r="AA26" s="1074" t="str">
        <f t="shared" si="13"/>
        <v>--</v>
      </c>
      <c r="AB26" s="1075" t="str">
        <f t="shared" si="14"/>
        <v>--</v>
      </c>
      <c r="AC26" s="1076" t="str">
        <f t="shared" si="15"/>
        <v>--</v>
      </c>
      <c r="AD26" s="893" t="s">
        <v>148</v>
      </c>
      <c r="AE26" s="16">
        <f t="shared" si="16"/>
        <v>8072.867678067018</v>
      </c>
      <c r="AF26" s="777"/>
    </row>
    <row r="27" spans="2:32" s="5" customFormat="1" ht="16.5" customHeight="1">
      <c r="B27" s="50"/>
      <c r="C27" s="276">
        <v>6</v>
      </c>
      <c r="D27" s="276">
        <v>216823</v>
      </c>
      <c r="E27" s="276">
        <v>4733</v>
      </c>
      <c r="F27" s="152" t="s">
        <v>190</v>
      </c>
      <c r="G27" s="183">
        <v>220</v>
      </c>
      <c r="H27" s="820">
        <v>77</v>
      </c>
      <c r="I27" s="183" t="s">
        <v>185</v>
      </c>
      <c r="J27" s="1066">
        <f t="shared" si="0"/>
        <v>20</v>
      </c>
      <c r="K27" s="769">
        <f t="shared" si="1"/>
        <v>127.90799999999999</v>
      </c>
      <c r="L27" s="770">
        <v>40183.876388888886</v>
      </c>
      <c r="M27" s="771">
        <v>40183.881944444445</v>
      </c>
      <c r="N27" s="186">
        <f t="shared" si="2"/>
        <v>0.13333333341870457</v>
      </c>
      <c r="O27" s="187">
        <f t="shared" si="3"/>
        <v>8</v>
      </c>
      <c r="P27" s="222" t="s">
        <v>186</v>
      </c>
      <c r="Q27" s="890" t="str">
        <f t="shared" si="4"/>
        <v>--</v>
      </c>
      <c r="R27" s="223"/>
      <c r="S27" s="223" t="str">
        <f t="shared" si="5"/>
        <v>NO</v>
      </c>
      <c r="T27" s="1067" t="str">
        <f t="shared" si="6"/>
        <v>--</v>
      </c>
      <c r="U27" s="1068" t="str">
        <f t="shared" si="7"/>
        <v>--</v>
      </c>
      <c r="V27" s="1069">
        <f t="shared" si="8"/>
        <v>2558.16</v>
      </c>
      <c r="W27" s="1070" t="str">
        <f t="shared" si="9"/>
        <v>--</v>
      </c>
      <c r="X27" s="1071" t="str">
        <f t="shared" si="10"/>
        <v>--</v>
      </c>
      <c r="Y27" s="1072" t="str">
        <f t="shared" si="11"/>
        <v>--</v>
      </c>
      <c r="Z27" s="1073" t="str">
        <f t="shared" si="12"/>
        <v>--</v>
      </c>
      <c r="AA27" s="1074" t="str">
        <f t="shared" si="13"/>
        <v>--</v>
      </c>
      <c r="AB27" s="1075" t="str">
        <f t="shared" si="14"/>
        <v>--</v>
      </c>
      <c r="AC27" s="1076" t="str">
        <f t="shared" si="15"/>
        <v>--</v>
      </c>
      <c r="AD27" s="893" t="s">
        <v>148</v>
      </c>
      <c r="AE27" s="16">
        <f t="shared" si="16"/>
        <v>2558.16</v>
      </c>
      <c r="AF27" s="777"/>
    </row>
    <row r="28" spans="2:32" s="1057" customFormat="1" ht="16.5" customHeight="1">
      <c r="B28" s="1055"/>
      <c r="C28" s="152">
        <v>7</v>
      </c>
      <c r="D28" s="152">
        <v>216824</v>
      </c>
      <c r="E28" s="152">
        <v>22</v>
      </c>
      <c r="F28" s="146" t="s">
        <v>280</v>
      </c>
      <c r="G28" s="147">
        <v>220</v>
      </c>
      <c r="H28" s="822">
        <v>6</v>
      </c>
      <c r="I28" s="147" t="s">
        <v>185</v>
      </c>
      <c r="J28" s="1066">
        <v>20</v>
      </c>
      <c r="K28" s="769">
        <f t="shared" si="1"/>
        <v>127.90799999999999</v>
      </c>
      <c r="L28" s="184">
        <v>40183.876388888886</v>
      </c>
      <c r="M28" s="221">
        <v>40183.89513888889</v>
      </c>
      <c r="N28" s="186">
        <v>0.4500000000698492</v>
      </c>
      <c r="O28" s="187">
        <v>27</v>
      </c>
      <c r="P28" s="222" t="s">
        <v>301</v>
      </c>
      <c r="Q28" s="890" t="s">
        <v>299</v>
      </c>
      <c r="R28" s="223"/>
      <c r="S28" s="223" t="s">
        <v>300</v>
      </c>
      <c r="T28" s="1067" t="s">
        <v>299</v>
      </c>
      <c r="U28" s="1068" t="s">
        <v>299</v>
      </c>
      <c r="V28" s="1069">
        <v>2558.16</v>
      </c>
      <c r="W28" s="1070">
        <v>1151.172</v>
      </c>
      <c r="X28" s="1071" t="str">
        <f t="shared" si="10"/>
        <v>--</v>
      </c>
      <c r="Y28" s="1072" t="s">
        <v>299</v>
      </c>
      <c r="Z28" s="1073" t="s">
        <v>299</v>
      </c>
      <c r="AA28" s="1074" t="s">
        <v>299</v>
      </c>
      <c r="AB28" s="1075" t="s">
        <v>299</v>
      </c>
      <c r="AC28" s="1076" t="s">
        <v>299</v>
      </c>
      <c r="AD28" s="893" t="s">
        <v>148</v>
      </c>
      <c r="AE28" s="16">
        <v>3709.332</v>
      </c>
      <c r="AF28" s="1056"/>
    </row>
    <row r="29" spans="2:32" s="5" customFormat="1" ht="16.5" customHeight="1">
      <c r="B29" s="50"/>
      <c r="C29" s="276">
        <v>8</v>
      </c>
      <c r="D29" s="152">
        <v>216826</v>
      </c>
      <c r="E29" s="152">
        <v>4940</v>
      </c>
      <c r="F29" s="146" t="s">
        <v>266</v>
      </c>
      <c r="G29" s="147">
        <v>500</v>
      </c>
      <c r="H29" s="822">
        <v>150.3</v>
      </c>
      <c r="I29" s="147" t="s">
        <v>185</v>
      </c>
      <c r="J29" s="1066">
        <f t="shared" si="0"/>
        <v>20</v>
      </c>
      <c r="K29" s="769">
        <f t="shared" si="1"/>
        <v>230.69547000000003</v>
      </c>
      <c r="L29" s="184">
        <v>40184.14236111111</v>
      </c>
      <c r="M29" s="221">
        <v>40184.19930555556</v>
      </c>
      <c r="N29" s="186">
        <f t="shared" si="2"/>
        <v>1.3666666667559184</v>
      </c>
      <c r="O29" s="187">
        <f t="shared" si="3"/>
        <v>82</v>
      </c>
      <c r="P29" s="222" t="s">
        <v>186</v>
      </c>
      <c r="Q29" s="890" t="str">
        <f t="shared" si="4"/>
        <v>--</v>
      </c>
      <c r="R29" s="223"/>
      <c r="S29" s="223" t="str">
        <f t="shared" si="5"/>
        <v>NO</v>
      </c>
      <c r="T29" s="1067" t="str">
        <f>IF(P29="P",K29*J29*ROUND(O29/60,2)*0.01,"--")</f>
        <v>--</v>
      </c>
      <c r="U29" s="1068" t="str">
        <f>IF(P29="RP",K29*J29*ROUND(O29/60,2)*0.01*Q29/100,"--")</f>
        <v>--</v>
      </c>
      <c r="V29" s="1069">
        <f t="shared" si="8"/>
        <v>4613.9094000000005</v>
      </c>
      <c r="W29" s="1070">
        <f t="shared" si="9"/>
        <v>6321.055878000001</v>
      </c>
      <c r="X29" s="1071" t="str">
        <f t="shared" si="10"/>
        <v>--</v>
      </c>
      <c r="Y29" s="1072" t="str">
        <f>IF(AND(P29="R",S29="NO"),K29*J29*Q29/100*IF(R29="SI",1.2,1),"--")</f>
        <v>--</v>
      </c>
      <c r="Z29" s="1073" t="str">
        <f>IF(AND(P29="R",O29&gt;=10),K29*J29*Q29/100*IF(R29="SI",1.2,1)*IF(O29&lt;=300,ROUND(O29/60,2),5),"--")</f>
        <v>--</v>
      </c>
      <c r="AA29" s="1074" t="str">
        <f>IF(AND(P29="R",O29&gt;300),(ROUND(O29/60,2)-5)*K29*J29*0.1*Q29/100*IF(R29="SI",1.2,1),"--")</f>
        <v>--</v>
      </c>
      <c r="AB29" s="1075" t="str">
        <f>IF(P29="RF",ROUND(O29/60,2)*K29*J29*0.1*IF(R29="SI",1.2,1),"--")</f>
        <v>--</v>
      </c>
      <c r="AC29" s="1076" t="str">
        <f>IF(P29="RR",ROUND(O29/60,2)*K29*J29*0.1*Q29/100*IF(R29="SI",1.2,1),"--")</f>
        <v>--</v>
      </c>
      <c r="AD29" s="893" t="s">
        <v>148</v>
      </c>
      <c r="AE29" s="16">
        <f>10934.965278*0.33</f>
        <v>3608.5385417400003</v>
      </c>
      <c r="AF29" s="777"/>
    </row>
    <row r="30" spans="2:32" s="1057" customFormat="1" ht="16.5" customHeight="1">
      <c r="B30" s="1055"/>
      <c r="C30" s="152">
        <v>9</v>
      </c>
      <c r="D30" s="276">
        <v>216831</v>
      </c>
      <c r="E30" s="276">
        <v>19</v>
      </c>
      <c r="F30" s="146" t="s">
        <v>188</v>
      </c>
      <c r="G30" s="147">
        <v>132</v>
      </c>
      <c r="H30" s="822">
        <v>6</v>
      </c>
      <c r="I30" s="147" t="s">
        <v>185</v>
      </c>
      <c r="J30" s="1066">
        <v>20</v>
      </c>
      <c r="K30" s="769">
        <f t="shared" si="1"/>
        <v>127.90799999999999</v>
      </c>
      <c r="L30" s="184">
        <v>40184.214583333334</v>
      </c>
      <c r="M30" s="221">
        <v>40184.21805555555</v>
      </c>
      <c r="N30" s="186">
        <v>0.08333333325572312</v>
      </c>
      <c r="O30" s="187">
        <v>5</v>
      </c>
      <c r="P30" s="222" t="s">
        <v>301</v>
      </c>
      <c r="Q30" s="890" t="s">
        <v>299</v>
      </c>
      <c r="R30" s="223"/>
      <c r="S30" s="223" t="s">
        <v>300</v>
      </c>
      <c r="T30" s="1067" t="s">
        <v>299</v>
      </c>
      <c r="U30" s="1068" t="s">
        <v>299</v>
      </c>
      <c r="V30" s="1069" t="str">
        <f t="shared" si="8"/>
        <v>--</v>
      </c>
      <c r="W30" s="1070" t="str">
        <f t="shared" si="9"/>
        <v>--</v>
      </c>
      <c r="X30" s="1071" t="str">
        <f t="shared" si="10"/>
        <v>--</v>
      </c>
      <c r="Y30" s="1072" t="s">
        <v>299</v>
      </c>
      <c r="Z30" s="1073" t="s">
        <v>299</v>
      </c>
      <c r="AA30" s="1074" t="s">
        <v>299</v>
      </c>
      <c r="AB30" s="1075" t="s">
        <v>299</v>
      </c>
      <c r="AC30" s="1076" t="s">
        <v>299</v>
      </c>
      <c r="AD30" s="893" t="s">
        <v>148</v>
      </c>
      <c r="AE30" s="16">
        <v>1952.98</v>
      </c>
      <c r="AF30" s="1056"/>
    </row>
    <row r="31" spans="2:32" s="1057" customFormat="1" ht="16.5" customHeight="1">
      <c r="B31" s="1055"/>
      <c r="C31" s="276">
        <v>10</v>
      </c>
      <c r="D31" s="152">
        <v>216832</v>
      </c>
      <c r="E31" s="152">
        <v>22</v>
      </c>
      <c r="F31" s="146" t="s">
        <v>280</v>
      </c>
      <c r="G31" s="147">
        <v>220</v>
      </c>
      <c r="H31" s="822">
        <v>6</v>
      </c>
      <c r="I31" s="147" t="s">
        <v>185</v>
      </c>
      <c r="J31" s="1066">
        <v>20</v>
      </c>
      <c r="K31" s="769">
        <f t="shared" si="1"/>
        <v>127.90799999999999</v>
      </c>
      <c r="L31" s="184">
        <v>40184.214583333334</v>
      </c>
      <c r="M31" s="221">
        <v>40184.308333333334</v>
      </c>
      <c r="N31" s="186">
        <v>2.25</v>
      </c>
      <c r="O31" s="187">
        <v>135</v>
      </c>
      <c r="P31" s="222" t="s">
        <v>301</v>
      </c>
      <c r="Q31" s="890" t="s">
        <v>299</v>
      </c>
      <c r="R31" s="223"/>
      <c r="S31" s="223" t="s">
        <v>300</v>
      </c>
      <c r="T31" s="1067" t="s">
        <v>299</v>
      </c>
      <c r="U31" s="1068" t="s">
        <v>299</v>
      </c>
      <c r="V31" s="1069" t="str">
        <f t="shared" si="8"/>
        <v>--</v>
      </c>
      <c r="W31" s="1070" t="str">
        <f t="shared" si="9"/>
        <v>--</v>
      </c>
      <c r="X31" s="1071" t="str">
        <f t="shared" si="10"/>
        <v>--</v>
      </c>
      <c r="Y31" s="1072" t="s">
        <v>299</v>
      </c>
      <c r="Z31" s="1073" t="s">
        <v>299</v>
      </c>
      <c r="AA31" s="1074" t="s">
        <v>299</v>
      </c>
      <c r="AB31" s="1075" t="s">
        <v>299</v>
      </c>
      <c r="AC31" s="1076" t="s">
        <v>299</v>
      </c>
      <c r="AD31" s="893" t="s">
        <v>148</v>
      </c>
      <c r="AE31" s="16">
        <v>6347.1849999999995</v>
      </c>
      <c r="AF31" s="1056"/>
    </row>
    <row r="32" spans="2:32" s="1057" customFormat="1" ht="16.5" customHeight="1">
      <c r="B32" s="1055"/>
      <c r="C32" s="152">
        <v>11</v>
      </c>
      <c r="D32" s="276">
        <v>216835</v>
      </c>
      <c r="E32" s="276">
        <v>19</v>
      </c>
      <c r="F32" s="146" t="s">
        <v>188</v>
      </c>
      <c r="G32" s="147">
        <v>132</v>
      </c>
      <c r="H32" s="822">
        <v>6</v>
      </c>
      <c r="I32" s="147" t="s">
        <v>185</v>
      </c>
      <c r="J32" s="1066">
        <v>20</v>
      </c>
      <c r="K32" s="769">
        <f t="shared" si="1"/>
        <v>127.90799999999999</v>
      </c>
      <c r="L32" s="184">
        <v>40184.464583333334</v>
      </c>
      <c r="M32" s="221">
        <v>40184.524305555555</v>
      </c>
      <c r="N32" s="186">
        <v>1.4333333332906477</v>
      </c>
      <c r="O32" s="187">
        <v>86</v>
      </c>
      <c r="P32" s="222" t="s">
        <v>301</v>
      </c>
      <c r="Q32" s="890" t="s">
        <v>299</v>
      </c>
      <c r="R32" s="223"/>
      <c r="S32" s="223" t="s">
        <v>148</v>
      </c>
      <c r="T32" s="1067" t="s">
        <v>299</v>
      </c>
      <c r="U32" s="1068" t="s">
        <v>299</v>
      </c>
      <c r="V32" s="1069" t="str">
        <f t="shared" si="8"/>
        <v>--</v>
      </c>
      <c r="W32" s="1070" t="str">
        <f t="shared" si="9"/>
        <v>--</v>
      </c>
      <c r="X32" s="1071" t="str">
        <f t="shared" si="10"/>
        <v>--</v>
      </c>
      <c r="Y32" s="1072" t="s">
        <v>299</v>
      </c>
      <c r="Z32" s="1073" t="s">
        <v>299</v>
      </c>
      <c r="AA32" s="1074" t="s">
        <v>299</v>
      </c>
      <c r="AB32" s="1075" t="s">
        <v>299</v>
      </c>
      <c r="AC32" s="1076" t="s">
        <v>299</v>
      </c>
      <c r="AD32" s="893" t="s">
        <v>148</v>
      </c>
      <c r="AE32" s="16">
        <v>2792.7614</v>
      </c>
      <c r="AF32" s="1056"/>
    </row>
    <row r="33" spans="2:32" s="1057" customFormat="1" ht="16.5" customHeight="1">
      <c r="B33" s="1055"/>
      <c r="C33" s="276">
        <v>12</v>
      </c>
      <c r="D33" s="152">
        <v>216836</v>
      </c>
      <c r="E33" s="152">
        <v>22</v>
      </c>
      <c r="F33" s="146" t="s">
        <v>280</v>
      </c>
      <c r="G33" s="147">
        <v>220</v>
      </c>
      <c r="H33" s="822">
        <v>6</v>
      </c>
      <c r="I33" s="147" t="s">
        <v>185</v>
      </c>
      <c r="J33" s="1066">
        <v>20</v>
      </c>
      <c r="K33" s="769">
        <f t="shared" si="1"/>
        <v>127.90799999999999</v>
      </c>
      <c r="L33" s="184">
        <v>40184.472916666666</v>
      </c>
      <c r="M33" s="221">
        <v>40184.53125</v>
      </c>
      <c r="N33" s="186">
        <v>1.400000000023283</v>
      </c>
      <c r="O33" s="187">
        <v>84</v>
      </c>
      <c r="P33" s="222" t="s">
        <v>301</v>
      </c>
      <c r="Q33" s="890" t="s">
        <v>299</v>
      </c>
      <c r="R33" s="223"/>
      <c r="S33" s="223" t="s">
        <v>148</v>
      </c>
      <c r="T33" s="1067" t="s">
        <v>299</v>
      </c>
      <c r="U33" s="1068" t="s">
        <v>299</v>
      </c>
      <c r="V33" s="1069" t="str">
        <f t="shared" si="8"/>
        <v>--</v>
      </c>
      <c r="W33" s="1070" t="str">
        <f t="shared" si="9"/>
        <v>--</v>
      </c>
      <c r="X33" s="1071" t="str">
        <f t="shared" si="10"/>
        <v>--</v>
      </c>
      <c r="Y33" s="1072" t="s">
        <v>299</v>
      </c>
      <c r="Z33" s="1073" t="s">
        <v>299</v>
      </c>
      <c r="AA33" s="1074" t="s">
        <v>299</v>
      </c>
      <c r="AB33" s="1075" t="s">
        <v>299</v>
      </c>
      <c r="AC33" s="1076" t="s">
        <v>299</v>
      </c>
      <c r="AD33" s="893" t="s">
        <v>148</v>
      </c>
      <c r="AE33" s="16">
        <v>2734.172</v>
      </c>
      <c r="AF33" s="1056"/>
    </row>
    <row r="34" spans="2:32" s="90" customFormat="1" ht="16.5" customHeight="1">
      <c r="B34" s="95"/>
      <c r="C34" s="152">
        <v>13</v>
      </c>
      <c r="D34" s="276">
        <v>216840</v>
      </c>
      <c r="E34" s="276">
        <v>4734</v>
      </c>
      <c r="F34" s="152" t="s">
        <v>187</v>
      </c>
      <c r="G34" s="183">
        <v>220</v>
      </c>
      <c r="H34" s="820">
        <v>77</v>
      </c>
      <c r="I34" s="183" t="s">
        <v>185</v>
      </c>
      <c r="J34" s="1040">
        <f t="shared" si="0"/>
        <v>20</v>
      </c>
      <c r="K34" s="769">
        <f t="shared" si="1"/>
        <v>127.90799999999999</v>
      </c>
      <c r="L34" s="770">
        <v>40186.35</v>
      </c>
      <c r="M34" s="1042">
        <v>40186.54375</v>
      </c>
      <c r="N34" s="516">
        <f t="shared" si="2"/>
        <v>4.649999999965075</v>
      </c>
      <c r="O34" s="382">
        <f t="shared" si="3"/>
        <v>279</v>
      </c>
      <c r="P34" s="1043" t="s">
        <v>191</v>
      </c>
      <c r="Q34" s="1044" t="str">
        <f t="shared" si="4"/>
        <v>--</v>
      </c>
      <c r="R34" s="13"/>
      <c r="S34" s="13" t="str">
        <f t="shared" si="5"/>
        <v>--</v>
      </c>
      <c r="T34" s="1045">
        <f t="shared" si="6"/>
        <v>118.95443999999999</v>
      </c>
      <c r="U34" s="1046" t="str">
        <f t="shared" si="7"/>
        <v>--</v>
      </c>
      <c r="V34" s="1069" t="str">
        <f t="shared" si="8"/>
        <v>--</v>
      </c>
      <c r="W34" s="1070" t="str">
        <f t="shared" si="9"/>
        <v>--</v>
      </c>
      <c r="X34" s="1071" t="str">
        <f t="shared" si="10"/>
        <v>--</v>
      </c>
      <c r="Y34" s="1050" t="str">
        <f t="shared" si="11"/>
        <v>--</v>
      </c>
      <c r="Z34" s="1051" t="str">
        <f t="shared" si="12"/>
        <v>--</v>
      </c>
      <c r="AA34" s="1052" t="str">
        <f t="shared" si="13"/>
        <v>--</v>
      </c>
      <c r="AB34" s="1053" t="str">
        <f t="shared" si="14"/>
        <v>--</v>
      </c>
      <c r="AC34" s="1054" t="str">
        <f t="shared" si="15"/>
        <v>--</v>
      </c>
      <c r="AD34" s="294" t="s">
        <v>148</v>
      </c>
      <c r="AE34" s="16">
        <f t="shared" si="16"/>
        <v>118.95443999999999</v>
      </c>
      <c r="AF34" s="777"/>
    </row>
    <row r="35" spans="2:32" s="90" customFormat="1" ht="16.5" customHeight="1">
      <c r="B35" s="95"/>
      <c r="C35" s="276">
        <v>14</v>
      </c>
      <c r="D35" s="152">
        <v>216843</v>
      </c>
      <c r="E35" s="152">
        <v>4733</v>
      </c>
      <c r="F35" s="152" t="s">
        <v>190</v>
      </c>
      <c r="G35" s="183">
        <v>220</v>
      </c>
      <c r="H35" s="820">
        <v>77</v>
      </c>
      <c r="I35" s="183" t="s">
        <v>185</v>
      </c>
      <c r="J35" s="1040">
        <f t="shared" si="0"/>
        <v>20</v>
      </c>
      <c r="K35" s="769">
        <f t="shared" si="1"/>
        <v>127.90799999999999</v>
      </c>
      <c r="L35" s="770">
        <v>40186.549305555556</v>
      </c>
      <c r="M35" s="1042">
        <v>40186.74166666667</v>
      </c>
      <c r="N35" s="516">
        <f t="shared" si="2"/>
        <v>4.616666666697711</v>
      </c>
      <c r="O35" s="382">
        <f t="shared" si="3"/>
        <v>277</v>
      </c>
      <c r="P35" s="1043" t="s">
        <v>191</v>
      </c>
      <c r="Q35" s="1044" t="str">
        <f t="shared" si="4"/>
        <v>--</v>
      </c>
      <c r="R35" s="13"/>
      <c r="S35" s="13" t="str">
        <f t="shared" si="5"/>
        <v>--</v>
      </c>
      <c r="T35" s="1045">
        <f t="shared" si="6"/>
        <v>118.18699199999999</v>
      </c>
      <c r="U35" s="1046" t="str">
        <f t="shared" si="7"/>
        <v>--</v>
      </c>
      <c r="V35" s="1069" t="str">
        <f t="shared" si="8"/>
        <v>--</v>
      </c>
      <c r="W35" s="1070" t="str">
        <f t="shared" si="9"/>
        <v>--</v>
      </c>
      <c r="X35" s="1071" t="str">
        <f t="shared" si="10"/>
        <v>--</v>
      </c>
      <c r="Y35" s="1050" t="str">
        <f t="shared" si="11"/>
        <v>--</v>
      </c>
      <c r="Z35" s="1051" t="str">
        <f t="shared" si="12"/>
        <v>--</v>
      </c>
      <c r="AA35" s="1052" t="str">
        <f t="shared" si="13"/>
        <v>--</v>
      </c>
      <c r="AB35" s="1053" t="str">
        <f t="shared" si="14"/>
        <v>--</v>
      </c>
      <c r="AC35" s="1054" t="str">
        <f t="shared" si="15"/>
        <v>--</v>
      </c>
      <c r="AD35" s="294" t="s">
        <v>148</v>
      </c>
      <c r="AE35" s="16">
        <f t="shared" si="16"/>
        <v>118.18699199999999</v>
      </c>
      <c r="AF35" s="777"/>
    </row>
    <row r="36" spans="2:32" s="5" customFormat="1" ht="16.5" customHeight="1">
      <c r="B36" s="50"/>
      <c r="C36" s="152">
        <v>15</v>
      </c>
      <c r="D36" s="276">
        <v>217177</v>
      </c>
      <c r="E36" s="276">
        <v>49</v>
      </c>
      <c r="F36" s="146" t="s">
        <v>192</v>
      </c>
      <c r="G36" s="147">
        <v>220</v>
      </c>
      <c r="H36" s="822">
        <v>114</v>
      </c>
      <c r="I36" s="147" t="s">
        <v>185</v>
      </c>
      <c r="J36" s="768">
        <f t="shared" si="0"/>
        <v>20</v>
      </c>
      <c r="K36" s="769">
        <f t="shared" si="1"/>
        <v>145.81512</v>
      </c>
      <c r="L36" s="184">
        <v>40190.08125</v>
      </c>
      <c r="M36" s="185">
        <v>40190.08611111111</v>
      </c>
      <c r="N36" s="186">
        <f t="shared" si="2"/>
        <v>0.11666666652308777</v>
      </c>
      <c r="O36" s="187">
        <f t="shared" si="3"/>
        <v>7</v>
      </c>
      <c r="P36" s="222" t="s">
        <v>186</v>
      </c>
      <c r="Q36" s="890" t="str">
        <f t="shared" si="4"/>
        <v>--</v>
      </c>
      <c r="R36" s="223"/>
      <c r="S36" s="223" t="str">
        <f t="shared" si="5"/>
        <v>NO</v>
      </c>
      <c r="T36" s="772" t="str">
        <f t="shared" si="6"/>
        <v>--</v>
      </c>
      <c r="U36" s="773" t="str">
        <f t="shared" si="7"/>
        <v>--</v>
      </c>
      <c r="V36" s="1069">
        <f t="shared" si="8"/>
        <v>2916.3024</v>
      </c>
      <c r="W36" s="1070" t="str">
        <f t="shared" si="9"/>
        <v>--</v>
      </c>
      <c r="X36" s="1071" t="str">
        <f t="shared" si="10"/>
        <v>--</v>
      </c>
      <c r="Y36" s="774" t="str">
        <f t="shared" si="11"/>
        <v>--</v>
      </c>
      <c r="Z36" s="775" t="str">
        <f t="shared" si="12"/>
        <v>--</v>
      </c>
      <c r="AA36" s="776" t="str">
        <f t="shared" si="13"/>
        <v>--</v>
      </c>
      <c r="AB36" s="227" t="str">
        <f t="shared" si="14"/>
        <v>--</v>
      </c>
      <c r="AC36" s="228" t="str">
        <f t="shared" si="15"/>
        <v>--</v>
      </c>
      <c r="AD36" s="893" t="s">
        <v>148</v>
      </c>
      <c r="AE36" s="16">
        <f t="shared" si="16"/>
        <v>2916.3024</v>
      </c>
      <c r="AF36" s="777"/>
    </row>
    <row r="37" spans="2:32" s="5" customFormat="1" ht="16.5" customHeight="1">
      <c r="B37" s="50"/>
      <c r="C37" s="276">
        <v>16</v>
      </c>
      <c r="D37" s="152">
        <v>217179</v>
      </c>
      <c r="E37" s="152">
        <v>1344</v>
      </c>
      <c r="F37" s="146" t="s">
        <v>193</v>
      </c>
      <c r="G37" s="147">
        <v>500</v>
      </c>
      <c r="H37" s="822">
        <v>194</v>
      </c>
      <c r="I37" s="147" t="s">
        <v>185</v>
      </c>
      <c r="J37" s="768">
        <f t="shared" si="0"/>
        <v>20</v>
      </c>
      <c r="K37" s="769">
        <f t="shared" si="1"/>
        <v>297.7706</v>
      </c>
      <c r="L37" s="184">
        <v>40190.14166666667</v>
      </c>
      <c r="M37" s="185">
        <v>40190.71319444444</v>
      </c>
      <c r="N37" s="186">
        <f t="shared" si="2"/>
        <v>13.716666666499805</v>
      </c>
      <c r="O37" s="187">
        <f t="shared" si="3"/>
        <v>823</v>
      </c>
      <c r="P37" s="222" t="s">
        <v>186</v>
      </c>
      <c r="Q37" s="890" t="str">
        <f t="shared" si="4"/>
        <v>--</v>
      </c>
      <c r="R37" s="223"/>
      <c r="S37" s="223" t="str">
        <f t="shared" si="5"/>
        <v>NO</v>
      </c>
      <c r="T37" s="772" t="str">
        <f t="shared" si="6"/>
        <v>--</v>
      </c>
      <c r="U37" s="773" t="str">
        <f t="shared" si="7"/>
        <v>--</v>
      </c>
      <c r="V37" s="1069">
        <f t="shared" si="8"/>
        <v>5955.412</v>
      </c>
      <c r="W37" s="1070">
        <f t="shared" si="9"/>
        <v>29777.06</v>
      </c>
      <c r="X37" s="1071">
        <f t="shared" si="10"/>
        <v>5193.119264000001</v>
      </c>
      <c r="Y37" s="774" t="str">
        <f t="shared" si="11"/>
        <v>--</v>
      </c>
      <c r="Z37" s="775" t="str">
        <f t="shared" si="12"/>
        <v>--</v>
      </c>
      <c r="AA37" s="776" t="str">
        <f t="shared" si="13"/>
        <v>--</v>
      </c>
      <c r="AB37" s="227" t="str">
        <f t="shared" si="14"/>
        <v>--</v>
      </c>
      <c r="AC37" s="228" t="str">
        <f t="shared" si="15"/>
        <v>--</v>
      </c>
      <c r="AD37" s="893" t="s">
        <v>148</v>
      </c>
      <c r="AE37" s="16">
        <f t="shared" si="16"/>
        <v>40925.591264</v>
      </c>
      <c r="AF37" s="777"/>
    </row>
    <row r="38" spans="2:32" s="5" customFormat="1" ht="16.5" customHeight="1">
      <c r="B38" s="50"/>
      <c r="C38" s="152">
        <v>17</v>
      </c>
      <c r="D38" s="276">
        <v>217180</v>
      </c>
      <c r="E38" s="276">
        <v>47</v>
      </c>
      <c r="F38" s="146" t="s">
        <v>194</v>
      </c>
      <c r="G38" s="147">
        <v>500</v>
      </c>
      <c r="H38" s="822">
        <v>289</v>
      </c>
      <c r="I38" s="147" t="s">
        <v>185</v>
      </c>
      <c r="J38" s="768">
        <f t="shared" si="0"/>
        <v>20</v>
      </c>
      <c r="K38" s="769">
        <f t="shared" si="1"/>
        <v>443.5861</v>
      </c>
      <c r="L38" s="184">
        <v>40190.17083333333</v>
      </c>
      <c r="M38" s="185">
        <v>40190.177083333336</v>
      </c>
      <c r="N38" s="186">
        <f t="shared" si="2"/>
        <v>0.1500000001396984</v>
      </c>
      <c r="O38" s="187">
        <f t="shared" si="3"/>
        <v>9</v>
      </c>
      <c r="P38" s="222" t="s">
        <v>186</v>
      </c>
      <c r="Q38" s="890" t="str">
        <f t="shared" si="4"/>
        <v>--</v>
      </c>
      <c r="R38" s="223"/>
      <c r="S38" s="223" t="str">
        <f t="shared" si="5"/>
        <v>NO</v>
      </c>
      <c r="T38" s="772" t="str">
        <f t="shared" si="6"/>
        <v>--</v>
      </c>
      <c r="U38" s="773" t="str">
        <f t="shared" si="7"/>
        <v>--</v>
      </c>
      <c r="V38" s="1069">
        <f t="shared" si="8"/>
        <v>8871.722</v>
      </c>
      <c r="W38" s="1070" t="str">
        <f t="shared" si="9"/>
        <v>--</v>
      </c>
      <c r="X38" s="1071" t="str">
        <f t="shared" si="10"/>
        <v>--</v>
      </c>
      <c r="Y38" s="774" t="str">
        <f t="shared" si="11"/>
        <v>--</v>
      </c>
      <c r="Z38" s="775" t="str">
        <f t="shared" si="12"/>
        <v>--</v>
      </c>
      <c r="AA38" s="776" t="str">
        <f t="shared" si="13"/>
        <v>--</v>
      </c>
      <c r="AB38" s="227" t="str">
        <f t="shared" si="14"/>
        <v>--</v>
      </c>
      <c r="AC38" s="228" t="str">
        <f t="shared" si="15"/>
        <v>--</v>
      </c>
      <c r="AD38" s="893" t="s">
        <v>148</v>
      </c>
      <c r="AE38" s="16">
        <f t="shared" si="16"/>
        <v>8871.722</v>
      </c>
      <c r="AF38" s="777"/>
    </row>
    <row r="39" spans="2:32" s="5" customFormat="1" ht="16.5" customHeight="1">
      <c r="B39" s="50"/>
      <c r="C39" s="276">
        <v>18</v>
      </c>
      <c r="D39" s="152">
        <v>217185</v>
      </c>
      <c r="E39" s="152">
        <v>45</v>
      </c>
      <c r="F39" s="146" t="s">
        <v>195</v>
      </c>
      <c r="G39" s="147">
        <v>500</v>
      </c>
      <c r="H39" s="822">
        <v>345</v>
      </c>
      <c r="I39" s="147" t="s">
        <v>281</v>
      </c>
      <c r="J39" s="768">
        <f t="shared" si="0"/>
        <v>200</v>
      </c>
      <c r="K39" s="769">
        <f t="shared" si="1"/>
        <v>529.5405000000001</v>
      </c>
      <c r="L39" s="184">
        <v>40191.31875</v>
      </c>
      <c r="M39" s="185">
        <v>40191.40972222222</v>
      </c>
      <c r="N39" s="186">
        <f t="shared" si="2"/>
        <v>2.1833333332906477</v>
      </c>
      <c r="O39" s="187">
        <f t="shared" si="3"/>
        <v>131</v>
      </c>
      <c r="P39" s="222" t="s">
        <v>191</v>
      </c>
      <c r="Q39" s="890" t="str">
        <f t="shared" si="4"/>
        <v>--</v>
      </c>
      <c r="R39" s="223"/>
      <c r="S39" s="223" t="str">
        <f t="shared" si="5"/>
        <v>--</v>
      </c>
      <c r="T39" s="772">
        <f t="shared" si="6"/>
        <v>2308.79658</v>
      </c>
      <c r="U39" s="773" t="str">
        <f t="shared" si="7"/>
        <v>--</v>
      </c>
      <c r="V39" s="1069" t="str">
        <f t="shared" si="8"/>
        <v>--</v>
      </c>
      <c r="W39" s="1070" t="str">
        <f t="shared" si="9"/>
        <v>--</v>
      </c>
      <c r="X39" s="1071" t="str">
        <f t="shared" si="10"/>
        <v>--</v>
      </c>
      <c r="Y39" s="774" t="str">
        <f t="shared" si="11"/>
        <v>--</v>
      </c>
      <c r="Z39" s="775" t="str">
        <f t="shared" si="12"/>
        <v>--</v>
      </c>
      <c r="AA39" s="776" t="str">
        <f t="shared" si="13"/>
        <v>--</v>
      </c>
      <c r="AB39" s="227" t="str">
        <f t="shared" si="14"/>
        <v>--</v>
      </c>
      <c r="AC39" s="228" t="str">
        <f t="shared" si="15"/>
        <v>--</v>
      </c>
      <c r="AD39" s="893" t="s">
        <v>148</v>
      </c>
      <c r="AE39" s="16">
        <f t="shared" si="16"/>
        <v>2308.79658</v>
      </c>
      <c r="AF39" s="777"/>
    </row>
    <row r="40" spans="2:32" s="5" customFormat="1" ht="16.5" customHeight="1">
      <c r="B40" s="50"/>
      <c r="C40" s="152">
        <v>19</v>
      </c>
      <c r="D40" s="276">
        <v>217197</v>
      </c>
      <c r="E40" s="276">
        <v>31</v>
      </c>
      <c r="F40" s="146" t="s">
        <v>197</v>
      </c>
      <c r="G40" s="147">
        <v>500</v>
      </c>
      <c r="H40" s="822">
        <v>4.5</v>
      </c>
      <c r="I40" s="147" t="s">
        <v>185</v>
      </c>
      <c r="J40" s="768">
        <f t="shared" si="0"/>
        <v>20</v>
      </c>
      <c r="K40" s="769">
        <f t="shared" si="1"/>
        <v>153.49</v>
      </c>
      <c r="L40" s="184">
        <v>40194.35763888889</v>
      </c>
      <c r="M40" s="185">
        <v>40194.763194444444</v>
      </c>
      <c r="N40" s="186">
        <f t="shared" si="2"/>
        <v>9.733333333279006</v>
      </c>
      <c r="O40" s="187">
        <f t="shared" si="3"/>
        <v>584</v>
      </c>
      <c r="P40" s="222" t="s">
        <v>191</v>
      </c>
      <c r="Q40" s="890" t="str">
        <f t="shared" si="4"/>
        <v>--</v>
      </c>
      <c r="R40" s="223"/>
      <c r="S40" s="223" t="str">
        <f t="shared" si="5"/>
        <v>--</v>
      </c>
      <c r="T40" s="772">
        <f t="shared" si="6"/>
        <v>298.69154000000003</v>
      </c>
      <c r="U40" s="773" t="str">
        <f t="shared" si="7"/>
        <v>--</v>
      </c>
      <c r="V40" s="1069" t="str">
        <f t="shared" si="8"/>
        <v>--</v>
      </c>
      <c r="W40" s="1070" t="str">
        <f t="shared" si="9"/>
        <v>--</v>
      </c>
      <c r="X40" s="1071" t="str">
        <f t="shared" si="10"/>
        <v>--</v>
      </c>
      <c r="Y40" s="774" t="str">
        <f t="shared" si="11"/>
        <v>--</v>
      </c>
      <c r="Z40" s="775" t="str">
        <f t="shared" si="12"/>
        <v>--</v>
      </c>
      <c r="AA40" s="776" t="str">
        <f t="shared" si="13"/>
        <v>--</v>
      </c>
      <c r="AB40" s="227" t="str">
        <f t="shared" si="14"/>
        <v>--</v>
      </c>
      <c r="AC40" s="228" t="str">
        <f t="shared" si="15"/>
        <v>--</v>
      </c>
      <c r="AD40" s="893" t="s">
        <v>148</v>
      </c>
      <c r="AE40" s="16">
        <f t="shared" si="16"/>
        <v>298.69154000000003</v>
      </c>
      <c r="AF40" s="777"/>
    </row>
    <row r="41" spans="2:32" s="5" customFormat="1" ht="16.5" customHeight="1">
      <c r="B41" s="50"/>
      <c r="C41" s="276">
        <v>20</v>
      </c>
      <c r="D41" s="152">
        <v>217198</v>
      </c>
      <c r="E41" s="152">
        <v>4733</v>
      </c>
      <c r="F41" s="146" t="s">
        <v>190</v>
      </c>
      <c r="G41" s="147">
        <v>220</v>
      </c>
      <c r="H41" s="822">
        <v>77</v>
      </c>
      <c r="I41" s="147" t="s">
        <v>185</v>
      </c>
      <c r="J41" s="768">
        <f t="shared" si="0"/>
        <v>20</v>
      </c>
      <c r="K41" s="769">
        <f t="shared" si="1"/>
        <v>127.90799999999999</v>
      </c>
      <c r="L41" s="184">
        <v>40194.384722222225</v>
      </c>
      <c r="M41" s="185">
        <v>40194.52569444444</v>
      </c>
      <c r="N41" s="186">
        <f t="shared" si="2"/>
        <v>3.383333333185874</v>
      </c>
      <c r="O41" s="187">
        <f t="shared" si="3"/>
        <v>203</v>
      </c>
      <c r="P41" s="222" t="s">
        <v>191</v>
      </c>
      <c r="Q41" s="890" t="str">
        <f t="shared" si="4"/>
        <v>--</v>
      </c>
      <c r="R41" s="223"/>
      <c r="S41" s="223" t="str">
        <f t="shared" si="5"/>
        <v>--</v>
      </c>
      <c r="T41" s="772">
        <f t="shared" si="6"/>
        <v>86.465808</v>
      </c>
      <c r="U41" s="773" t="str">
        <f t="shared" si="7"/>
        <v>--</v>
      </c>
      <c r="V41" s="1069" t="str">
        <f t="shared" si="8"/>
        <v>--</v>
      </c>
      <c r="W41" s="1070" t="str">
        <f t="shared" si="9"/>
        <v>--</v>
      </c>
      <c r="X41" s="1071" t="str">
        <f t="shared" si="10"/>
        <v>--</v>
      </c>
      <c r="Y41" s="774" t="str">
        <f t="shared" si="11"/>
        <v>--</v>
      </c>
      <c r="Z41" s="775" t="str">
        <f t="shared" si="12"/>
        <v>--</v>
      </c>
      <c r="AA41" s="776" t="str">
        <f t="shared" si="13"/>
        <v>--</v>
      </c>
      <c r="AB41" s="227" t="str">
        <f t="shared" si="14"/>
        <v>--</v>
      </c>
      <c r="AC41" s="228" t="str">
        <f t="shared" si="15"/>
        <v>--</v>
      </c>
      <c r="AD41" s="893" t="s">
        <v>148</v>
      </c>
      <c r="AE41" s="16">
        <f t="shared" si="16"/>
        <v>86.465808</v>
      </c>
      <c r="AF41" s="777"/>
    </row>
    <row r="42" spans="2:32" s="5" customFormat="1" ht="16.5" customHeight="1">
      <c r="B42" s="50"/>
      <c r="C42" s="276"/>
      <c r="D42" s="276"/>
      <c r="E42" s="276"/>
      <c r="F42" s="146"/>
      <c r="G42" s="147"/>
      <c r="H42" s="822"/>
      <c r="I42" s="147"/>
      <c r="J42" s="768">
        <f t="shared" si="0"/>
        <v>20</v>
      </c>
      <c r="K42" s="769">
        <f t="shared" si="1"/>
        <v>127.90799999999999</v>
      </c>
      <c r="L42" s="184"/>
      <c r="M42" s="185"/>
      <c r="N42" s="186">
        <f t="shared" si="2"/>
      </c>
      <c r="O42" s="187">
        <f t="shared" si="3"/>
      </c>
      <c r="P42" s="222"/>
      <c r="Q42" s="890">
        <f t="shared" si="4"/>
      </c>
      <c r="R42" s="223">
        <f>IF(F42="","","NO")</f>
      </c>
      <c r="S42" s="223">
        <f t="shared" si="5"/>
      </c>
      <c r="T42" s="772" t="str">
        <f t="shared" si="6"/>
        <v>--</v>
      </c>
      <c r="U42" s="773" t="str">
        <f t="shared" si="7"/>
        <v>--</v>
      </c>
      <c r="V42" s="1069" t="str">
        <f t="shared" si="8"/>
        <v>--</v>
      </c>
      <c r="W42" s="1070" t="str">
        <f t="shared" si="9"/>
        <v>--</v>
      </c>
      <c r="X42" s="1071" t="str">
        <f t="shared" si="10"/>
        <v>--</v>
      </c>
      <c r="Y42" s="774" t="str">
        <f t="shared" si="11"/>
        <v>--</v>
      </c>
      <c r="Z42" s="775" t="str">
        <f t="shared" si="12"/>
        <v>--</v>
      </c>
      <c r="AA42" s="776" t="str">
        <f t="shared" si="13"/>
        <v>--</v>
      </c>
      <c r="AB42" s="227" t="str">
        <f t="shared" si="14"/>
        <v>--</v>
      </c>
      <c r="AC42" s="228" t="str">
        <f t="shared" si="15"/>
        <v>--</v>
      </c>
      <c r="AD42" s="891">
        <f>IF(F42="","","SI")</f>
      </c>
      <c r="AE42" s="16">
        <f t="shared" si="16"/>
      </c>
      <c r="AF42" s="777"/>
    </row>
    <row r="43" spans="2:32" s="5" customFormat="1" ht="16.5" customHeight="1" thickBot="1">
      <c r="B43" s="50"/>
      <c r="C43" s="889"/>
      <c r="D43" s="892"/>
      <c r="E43" s="152"/>
      <c r="F43" s="149"/>
      <c r="G43" s="230"/>
      <c r="H43" s="816"/>
      <c r="I43" s="231"/>
      <c r="J43" s="782"/>
      <c r="K43" s="783"/>
      <c r="L43" s="814"/>
      <c r="M43" s="814"/>
      <c r="N43" s="9"/>
      <c r="O43" s="9"/>
      <c r="P43" s="151"/>
      <c r="Q43" s="190"/>
      <c r="R43" s="151"/>
      <c r="S43" s="151"/>
      <c r="T43" s="784"/>
      <c r="U43" s="785"/>
      <c r="V43" s="232"/>
      <c r="W43" s="233"/>
      <c r="X43" s="234"/>
      <c r="Y43" s="786"/>
      <c r="Z43" s="787"/>
      <c r="AA43" s="788"/>
      <c r="AB43" s="235"/>
      <c r="AC43" s="236"/>
      <c r="AD43" s="789"/>
      <c r="AE43" s="237"/>
      <c r="AF43" s="777"/>
    </row>
    <row r="44" spans="2:32" s="5" customFormat="1" ht="16.5" customHeight="1" thickBot="1" thickTop="1">
      <c r="B44" s="50"/>
      <c r="C44" s="127" t="s">
        <v>25</v>
      </c>
      <c r="D44" s="951" t="s">
        <v>256</v>
      </c>
      <c r="E44" s="127"/>
      <c r="F44" s="128"/>
      <c r="G44" s="238"/>
      <c r="H44" s="203"/>
      <c r="I44" s="239"/>
      <c r="J44" s="203"/>
      <c r="K44" s="192"/>
      <c r="L44" s="192"/>
      <c r="M44" s="192"/>
      <c r="N44" s="192"/>
      <c r="O44" s="192"/>
      <c r="P44" s="192"/>
      <c r="Q44" s="240"/>
      <c r="R44" s="192"/>
      <c r="S44" s="192"/>
      <c r="T44" s="790">
        <f aca="true" t="shared" si="17" ref="T44:AC44">SUM(T20:T43)</f>
        <v>2931.0953600000003</v>
      </c>
      <c r="U44" s="791">
        <f t="shared" si="17"/>
        <v>0</v>
      </c>
      <c r="V44" s="792">
        <f t="shared" si="17"/>
        <v>48792.54781263427</v>
      </c>
      <c r="W44" s="792">
        <f t="shared" si="17"/>
        <v>59334.041543432744</v>
      </c>
      <c r="X44" s="792">
        <f t="shared" si="17"/>
        <v>5193.119264000001</v>
      </c>
      <c r="Y44" s="793">
        <f t="shared" si="17"/>
        <v>0</v>
      </c>
      <c r="Z44" s="793">
        <f t="shared" si="17"/>
        <v>0</v>
      </c>
      <c r="AA44" s="793">
        <f t="shared" si="17"/>
        <v>0</v>
      </c>
      <c r="AB44" s="241">
        <f t="shared" si="17"/>
        <v>0</v>
      </c>
      <c r="AC44" s="242">
        <f t="shared" si="17"/>
        <v>0</v>
      </c>
      <c r="AD44" s="243"/>
      <c r="AE44" s="244">
        <f>ROUND(SUM(AE20:AE43),2)</f>
        <v>122751.48</v>
      </c>
      <c r="AF44" s="777"/>
    </row>
    <row r="45" spans="2:32" s="5" customFormat="1" ht="16.5" customHeight="1" thickTop="1">
      <c r="B45" s="50"/>
      <c r="C45" s="1027"/>
      <c r="D45" s="73" t="s">
        <v>302</v>
      </c>
      <c r="E45" s="1027"/>
      <c r="F45" s="128"/>
      <c r="G45" s="238"/>
      <c r="H45" s="203"/>
      <c r="I45" s="239"/>
      <c r="J45" s="203"/>
      <c r="K45" s="192"/>
      <c r="L45" s="192"/>
      <c r="M45" s="192"/>
      <c r="N45" s="192"/>
      <c r="O45" s="192"/>
      <c r="P45" s="192"/>
      <c r="Q45" s="240"/>
      <c r="R45" s="192"/>
      <c r="S45" s="192"/>
      <c r="T45" s="1058"/>
      <c r="U45" s="1059"/>
      <c r="V45" s="1060"/>
      <c r="W45" s="1060"/>
      <c r="X45" s="1060"/>
      <c r="Y45" s="1061"/>
      <c r="Z45" s="1061"/>
      <c r="AA45" s="1061"/>
      <c r="AB45" s="1062"/>
      <c r="AC45" s="1063"/>
      <c r="AD45" s="1064"/>
      <c r="AE45" s="1065"/>
      <c r="AF45" s="777"/>
    </row>
    <row r="46" spans="2:32" s="5" customFormat="1" ht="16.5" customHeight="1" thickBot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6"/>
    </row>
    <row r="47" spans="2:32" ht="16.5" customHeight="1" thickTop="1">
      <c r="B47" s="1"/>
      <c r="C47" s="1"/>
      <c r="D47" s="1"/>
      <c r="AF47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I75"/>
  <sheetViews>
    <sheetView zoomScale="75" zoomScaleNormal="75" workbookViewId="0" topLeftCell="C33">
      <selection activeCell="P21" sqref="P2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3.00390625" style="0" customWidth="1"/>
    <col min="8" max="8" width="15.574218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3.8515625" style="0" customWidth="1"/>
    <col min="16" max="16" width="12.28125" style="0" customWidth="1"/>
    <col min="17" max="17" width="13.28125" style="0" bestFit="1" customWidth="1"/>
    <col min="18" max="19" width="12.140625" style="0" hidden="1" customWidth="1"/>
    <col min="20" max="20" width="12.421875" style="0" hidden="1" customWidth="1"/>
    <col min="21" max="21" width="13.57421875" style="0" hidden="1" customWidth="1"/>
    <col min="22" max="22" width="13.28125" style="0" hidden="1" customWidth="1"/>
    <col min="23" max="23" width="15.7109375" style="0" hidden="1" customWidth="1"/>
    <col min="24" max="27" width="8.42187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4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63" customFormat="1" ht="30.75">
      <c r="A3" s="460"/>
      <c r="B3" s="461" t="str">
        <f>+'TOT-0110'!B2</f>
        <v>ANEXO II al Memorandum D.T.E.E. N°    679       / 2011           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AB3" s="462"/>
      <c r="AC3" s="462"/>
      <c r="AD3" s="462"/>
    </row>
    <row r="4" spans="1:2" s="25" customFormat="1" ht="11.25">
      <c r="A4" s="23" t="s">
        <v>2</v>
      </c>
      <c r="B4" s="23"/>
    </row>
    <row r="5" spans="1:2" s="25" customFormat="1" ht="11.25">
      <c r="A5" s="23" t="s">
        <v>3</v>
      </c>
      <c r="B5" s="23"/>
    </row>
    <row r="6" s="25" customFormat="1" ht="12" thickBot="1">
      <c r="A6" s="23"/>
    </row>
    <row r="7" spans="1:30" ht="16.5" customHeight="1" thickTop="1">
      <c r="A7" s="5"/>
      <c r="B7" s="69"/>
      <c r="C7" s="70"/>
      <c r="D7" s="70"/>
      <c r="E7" s="19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73"/>
      <c r="X7" s="173"/>
      <c r="Y7" s="173"/>
      <c r="Z7" s="173"/>
      <c r="AA7" s="173"/>
      <c r="AB7" s="173"/>
      <c r="AC7" s="173"/>
      <c r="AD7" s="94"/>
    </row>
    <row r="8" spans="1:30" ht="20.25">
      <c r="A8" s="5"/>
      <c r="B8" s="50"/>
      <c r="C8" s="4"/>
      <c r="D8" s="171" t="s">
        <v>81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7"/>
      <c r="Q8" s="77"/>
      <c r="R8" s="4"/>
      <c r="S8" s="4"/>
      <c r="T8" s="4"/>
      <c r="U8" s="4"/>
      <c r="V8" s="4"/>
      <c r="AD8" s="17"/>
    </row>
    <row r="9" spans="1:30" ht="16.5" customHeight="1">
      <c r="A9" s="5"/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D9" s="17"/>
    </row>
    <row r="10" spans="2:30" s="36" customFormat="1" ht="20.25">
      <c r="B10" s="44"/>
      <c r="C10" s="43"/>
      <c r="D10" s="171" t="s">
        <v>82</v>
      </c>
      <c r="E10" s="43"/>
      <c r="F10" s="43"/>
      <c r="G10" s="43"/>
      <c r="H10" s="43"/>
      <c r="N10" s="43"/>
      <c r="O10" s="43"/>
      <c r="P10" s="196"/>
      <c r="Q10" s="196"/>
      <c r="R10" s="43"/>
      <c r="S10" s="43"/>
      <c r="T10" s="43"/>
      <c r="U10" s="43"/>
      <c r="V10" s="43"/>
      <c r="W10"/>
      <c r="X10" s="43"/>
      <c r="Y10" s="43"/>
      <c r="Z10" s="43"/>
      <c r="AA10" s="43"/>
      <c r="AB10" s="43"/>
      <c r="AC10"/>
      <c r="AD10" s="197"/>
    </row>
    <row r="11" spans="1:30" ht="16.5" customHeight="1">
      <c r="A11" s="5"/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D11" s="17"/>
    </row>
    <row r="12" spans="2:30" s="36" customFormat="1" ht="20.25">
      <c r="B12" s="44"/>
      <c r="C12" s="43"/>
      <c r="D12" s="171" t="s">
        <v>265</v>
      </c>
      <c r="E12" s="43"/>
      <c r="F12" s="43"/>
      <c r="G12" s="43"/>
      <c r="H12" s="43"/>
      <c r="N12" s="43"/>
      <c r="O12" s="43"/>
      <c r="P12" s="196"/>
      <c r="Q12" s="196"/>
      <c r="R12" s="43"/>
      <c r="S12" s="43"/>
      <c r="T12" s="43"/>
      <c r="U12" s="43"/>
      <c r="V12" s="43"/>
      <c r="W12"/>
      <c r="X12" s="43"/>
      <c r="Y12" s="43"/>
      <c r="Z12" s="43"/>
      <c r="AA12" s="43"/>
      <c r="AB12" s="43"/>
      <c r="AC12"/>
      <c r="AD12" s="197"/>
    </row>
    <row r="13" spans="1:30" ht="16.5" customHeight="1">
      <c r="A13" s="5"/>
      <c r="B13" s="50"/>
      <c r="C13" s="4"/>
      <c r="D13" s="4"/>
      <c r="E13" s="5"/>
      <c r="F13" s="5"/>
      <c r="G13" s="5"/>
      <c r="H13" s="5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AD13" s="17"/>
    </row>
    <row r="14" spans="2:30" s="36" customFormat="1" ht="19.5">
      <c r="B14" s="37" t="str">
        <f>'TOT-0110'!B14</f>
        <v>Desde el 01 al 31 de enero de 2010</v>
      </c>
      <c r="C14" s="38"/>
      <c r="D14" s="40"/>
      <c r="E14" s="40"/>
      <c r="F14" s="40"/>
      <c r="G14" s="40"/>
      <c r="H14" s="40"/>
      <c r="I14" s="41"/>
      <c r="J14" s="169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126"/>
      <c r="V14" s="126"/>
      <c r="W14"/>
      <c r="X14" s="464"/>
      <c r="Y14" s="464"/>
      <c r="Z14" s="464"/>
      <c r="AA14" s="464"/>
      <c r="AB14" s="126"/>
      <c r="AC14" s="169"/>
      <c r="AD14" s="42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4"/>
      <c r="J15" s="465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 thickBot="1">
      <c r="A16" s="5"/>
      <c r="B16" s="50"/>
      <c r="C16" s="4"/>
      <c r="D16" s="4"/>
      <c r="E16" s="66"/>
      <c r="F16" s="66"/>
      <c r="G16" s="4"/>
      <c r="H16" s="4"/>
      <c r="I16" s="140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 thickBot="1">
      <c r="A17" s="5"/>
      <c r="B17" s="50"/>
      <c r="C17" s="4"/>
      <c r="D17" s="4"/>
      <c r="E17" s="66"/>
      <c r="F17" s="66"/>
      <c r="G17" s="4"/>
      <c r="H17" s="4"/>
      <c r="I17" s="140"/>
      <c r="J17" s="4"/>
      <c r="K17" s="1"/>
      <c r="M17" s="4"/>
      <c r="N17" s="33"/>
      <c r="O17" s="33"/>
      <c r="P17" s="33"/>
      <c r="Q17" s="704" t="s">
        <v>37</v>
      </c>
      <c r="R17" s="4"/>
      <c r="S17" s="4"/>
      <c r="T17" s="4"/>
      <c r="U17" s="4"/>
      <c r="V17" s="4"/>
      <c r="AD17" s="17"/>
    </row>
    <row r="18" spans="1:30" ht="16.5" customHeight="1">
      <c r="A18" s="5"/>
      <c r="B18" s="50"/>
      <c r="C18" s="159" t="s">
        <v>83</v>
      </c>
      <c r="D18" s="54" t="s">
        <v>84</v>
      </c>
      <c r="E18" s="66"/>
      <c r="F18" s="66"/>
      <c r="G18" s="4"/>
      <c r="H18" s="4"/>
      <c r="I18" s="4"/>
      <c r="J18" s="465"/>
      <c r="K18" s="4"/>
      <c r="L18" s="4"/>
      <c r="M18" s="4"/>
      <c r="N18" s="705" t="s">
        <v>108</v>
      </c>
      <c r="O18" s="706"/>
      <c r="P18" s="707">
        <v>83.706</v>
      </c>
      <c r="Q18" s="708">
        <v>200</v>
      </c>
      <c r="R18" s="4"/>
      <c r="S18" s="4"/>
      <c r="T18" s="4"/>
      <c r="U18" s="4"/>
      <c r="V18" s="4"/>
      <c r="AD18" s="17"/>
    </row>
    <row r="19" spans="2:30" s="32" customFormat="1" ht="16.5" customHeight="1">
      <c r="B19" s="466"/>
      <c r="C19" s="33"/>
      <c r="D19" s="467"/>
      <c r="E19" s="468"/>
      <c r="F19" s="469"/>
      <c r="G19" s="33"/>
      <c r="H19" s="33"/>
      <c r="I19" s="33"/>
      <c r="J19" s="470"/>
      <c r="K19" s="33"/>
      <c r="L19" s="33"/>
      <c r="M19" s="33"/>
      <c r="N19" s="709" t="s">
        <v>71</v>
      </c>
      <c r="O19" s="710"/>
      <c r="P19" s="711">
        <v>75.332</v>
      </c>
      <c r="Q19" s="712">
        <v>100</v>
      </c>
      <c r="R19" s="33"/>
      <c r="S19" s="33"/>
      <c r="T19" s="33"/>
      <c r="U19" s="33"/>
      <c r="V19" s="33"/>
      <c r="W19"/>
      <c r="AD19" s="471"/>
    </row>
    <row r="20" spans="2:30" s="32" customFormat="1" ht="16.5" customHeight="1" thickBot="1">
      <c r="B20" s="466"/>
      <c r="C20" s="33"/>
      <c r="D20" s="472" t="s">
        <v>85</v>
      </c>
      <c r="F20" s="473">
        <v>153.49</v>
      </c>
      <c r="G20" s="472" t="s">
        <v>86</v>
      </c>
      <c r="H20" s="33"/>
      <c r="I20" s="33"/>
      <c r="J20" s="474"/>
      <c r="K20" s="475" t="s">
        <v>40</v>
      </c>
      <c r="L20" s="476">
        <v>0.025</v>
      </c>
      <c r="N20" s="713" t="s">
        <v>109</v>
      </c>
      <c r="O20" s="714"/>
      <c r="P20" s="715">
        <v>66.969</v>
      </c>
      <c r="Q20" s="716">
        <v>40</v>
      </c>
      <c r="R20" s="33"/>
      <c r="S20" s="33"/>
      <c r="T20" s="33"/>
      <c r="U20" s="33"/>
      <c r="V20" s="33"/>
      <c r="W20"/>
      <c r="AD20" s="471"/>
    </row>
    <row r="21" spans="2:30" s="32" customFormat="1" ht="16.5" customHeight="1">
      <c r="B21" s="466"/>
      <c r="C21" s="33"/>
      <c r="D21" s="472" t="s">
        <v>102</v>
      </c>
      <c r="E21" s="477"/>
      <c r="F21" s="473">
        <v>0.418</v>
      </c>
      <c r="G21" s="478" t="s">
        <v>103</v>
      </c>
      <c r="H21" s="33"/>
      <c r="I21" s="33"/>
      <c r="J21" s="33"/>
      <c r="K21" s="467" t="s">
        <v>38</v>
      </c>
      <c r="L21" s="33">
        <v>744</v>
      </c>
      <c r="M21" s="33" t="s">
        <v>39</v>
      </c>
      <c r="N21" s="33"/>
      <c r="O21" s="201"/>
      <c r="P21" s="202"/>
      <c r="Q21" s="4"/>
      <c r="R21" s="33"/>
      <c r="S21" s="33"/>
      <c r="T21" s="33"/>
      <c r="U21" s="33"/>
      <c r="V21" s="33"/>
      <c r="W21"/>
      <c r="AD21" s="471"/>
    </row>
    <row r="22" spans="2:30" s="32" customFormat="1" ht="16.5" customHeight="1">
      <c r="B22" s="466"/>
      <c r="C22" s="33"/>
      <c r="H22" s="33"/>
      <c r="I22" s="33"/>
      <c r="J22" s="33"/>
      <c r="K22" s="467"/>
      <c r="L22" s="33"/>
      <c r="M22" s="33"/>
      <c r="N22" s="33"/>
      <c r="O22" s="201"/>
      <c r="P22" s="202"/>
      <c r="Q22" s="4"/>
      <c r="R22" s="33"/>
      <c r="S22" s="33"/>
      <c r="T22" s="33"/>
      <c r="U22" s="33"/>
      <c r="V22" s="33"/>
      <c r="W22"/>
      <c r="AD22" s="471"/>
    </row>
    <row r="23" spans="2:30" s="32" customFormat="1" ht="16.5" customHeight="1">
      <c r="B23" s="466"/>
      <c r="C23" s="33"/>
      <c r="D23" s="33"/>
      <c r="E23" s="47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71"/>
    </row>
    <row r="24" spans="1:30" ht="16.5" customHeight="1">
      <c r="A24" s="5"/>
      <c r="B24" s="50"/>
      <c r="C24" s="159" t="s">
        <v>87</v>
      </c>
      <c r="D24" s="3" t="s">
        <v>124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466"/>
      <c r="C26" s="469"/>
      <c r="D26"/>
      <c r="E26"/>
      <c r="F26"/>
      <c r="G26"/>
      <c r="H26"/>
      <c r="I26"/>
      <c r="J26" s="480" t="s">
        <v>45</v>
      </c>
      <c r="K26" s="481">
        <f>AC69*L20</f>
        <v>51154.401750000005</v>
      </c>
      <c r="L26"/>
      <c r="S26"/>
      <c r="T26"/>
      <c r="U26"/>
      <c r="W26"/>
      <c r="AD26" s="471"/>
    </row>
    <row r="27" spans="2:30" s="32" customFormat="1" ht="11.25" customHeight="1" thickTop="1">
      <c r="B27" s="466"/>
      <c r="C27" s="469"/>
      <c r="D27" s="33"/>
      <c r="E27" s="479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471"/>
    </row>
    <row r="28" spans="1:30" ht="16.5" customHeight="1">
      <c r="A28" s="5"/>
      <c r="B28" s="50"/>
      <c r="C28" s="159" t="s">
        <v>88</v>
      </c>
      <c r="D28" s="3" t="s">
        <v>125</v>
      </c>
      <c r="E28" s="20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0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04" t="s">
        <v>0</v>
      </c>
      <c r="E30" s="175" t="s">
        <v>14</v>
      </c>
      <c r="F30" s="87" t="s">
        <v>15</v>
      </c>
      <c r="G30" s="205" t="s">
        <v>60</v>
      </c>
      <c r="H30" s="206" t="s">
        <v>37</v>
      </c>
      <c r="I30" s="135" t="s">
        <v>16</v>
      </c>
      <c r="J30" s="85" t="s">
        <v>17</v>
      </c>
      <c r="K30" s="176" t="s">
        <v>18</v>
      </c>
      <c r="L30" s="88" t="s">
        <v>36</v>
      </c>
      <c r="M30" s="86" t="s">
        <v>31</v>
      </c>
      <c r="N30" s="88" t="s">
        <v>89</v>
      </c>
      <c r="O30" s="88" t="s">
        <v>46</v>
      </c>
      <c r="P30" s="176" t="s">
        <v>47</v>
      </c>
      <c r="Q30" s="85" t="s">
        <v>32</v>
      </c>
      <c r="R30" s="137" t="s">
        <v>20</v>
      </c>
      <c r="S30" s="482" t="s">
        <v>21</v>
      </c>
      <c r="T30" s="483" t="s">
        <v>61</v>
      </c>
      <c r="U30" s="484"/>
      <c r="V30" s="485"/>
      <c r="W30" s="486" t="s">
        <v>90</v>
      </c>
      <c r="X30" s="487"/>
      <c r="Y30" s="488"/>
      <c r="Z30" s="489" t="s">
        <v>22</v>
      </c>
      <c r="AA30" s="490" t="s">
        <v>23</v>
      </c>
      <c r="AB30" s="89" t="s">
        <v>63</v>
      </c>
      <c r="AC30" s="121" t="s">
        <v>24</v>
      </c>
      <c r="AD30" s="212"/>
      <c r="AE30"/>
    </row>
    <row r="31" spans="1:30" ht="16.5" customHeight="1" thickTop="1">
      <c r="A31" s="5"/>
      <c r="B31" s="50"/>
      <c r="C31" s="7"/>
      <c r="D31" s="491"/>
      <c r="E31" s="492"/>
      <c r="F31" s="493"/>
      <c r="G31" s="494"/>
      <c r="H31" s="495"/>
      <c r="I31" s="496"/>
      <c r="J31" s="497"/>
      <c r="K31" s="498"/>
      <c r="L31" s="7"/>
      <c r="M31" s="7"/>
      <c r="N31" s="182"/>
      <c r="O31" s="182"/>
      <c r="P31" s="7"/>
      <c r="Q31" s="179"/>
      <c r="R31" s="499"/>
      <c r="S31" s="500"/>
      <c r="T31" s="501"/>
      <c r="U31" s="502"/>
      <c r="V31" s="503"/>
      <c r="W31" s="504"/>
      <c r="X31" s="505"/>
      <c r="Y31" s="506"/>
      <c r="Z31" s="507"/>
      <c r="AA31" s="508"/>
      <c r="AB31" s="509"/>
      <c r="AC31" s="510"/>
      <c r="AD31" s="17"/>
    </row>
    <row r="32" spans="1:30" ht="16.5" customHeight="1">
      <c r="A32" s="5"/>
      <c r="B32" s="50"/>
      <c r="C32" s="823" t="s">
        <v>137</v>
      </c>
      <c r="D32" s="7"/>
      <c r="E32" s="458"/>
      <c r="F32" s="511"/>
      <c r="G32" s="512"/>
      <c r="H32" s="513">
        <f>IF(G32="A",200,IF(G32="B",60,20))</f>
        <v>20</v>
      </c>
      <c r="I32" s="514">
        <f>IF(F32&gt;100,F32,100)*$F$20/100</f>
        <v>153.49</v>
      </c>
      <c r="J32" s="515"/>
      <c r="K32" s="459"/>
      <c r="L32" s="516">
        <f>IF(D32="","",(K32-J32)*24)</f>
      </c>
      <c r="M32" s="382">
        <f>IF(D32="","",ROUND((K32-J32)*24*60,0))</f>
      </c>
      <c r="N32" s="517"/>
      <c r="O32" s="518">
        <f>IF(D32="","","--")</f>
      </c>
      <c r="P32" s="223">
        <f>IF(D32="","","NO")</f>
      </c>
      <c r="Q32" s="223">
        <f>IF(D32="","",IF(OR(N32="P",N32="RP"),"--","NO"))</f>
      </c>
      <c r="R32" s="519" t="str">
        <f>IF(N32="P",+I32*H32*ROUND(M32/60,2)/100,"--")</f>
        <v>--</v>
      </c>
      <c r="S32" s="520" t="str">
        <f>IF(N32="RP",I32*H32*ROUND(M32/60,2)*0.01*O32/100,"--")</f>
        <v>--</v>
      </c>
      <c r="T32" s="521" t="str">
        <f>IF(AND(N32="F",Q32="NO"),IF(P32="SI",1.2,1)*I32*H32,"--")</f>
        <v>--</v>
      </c>
      <c r="U32" s="522" t="str">
        <f>IF(AND(M32&gt;10,N32="F"),IF(M32&lt;=300,ROUND(M32/60,2),5)*I32*H32*IF(P32="SI",1.2,1),"--")</f>
        <v>--</v>
      </c>
      <c r="V32" s="523" t="str">
        <f>IF(AND(N32="F",M32&gt;300),IF(P32="SI",1.2,1)*(ROUND(M32/60,2)-5)*I32*H32*0.1,"--")</f>
        <v>--</v>
      </c>
      <c r="W32" s="524" t="str">
        <f>IF(AND(N32="R",Q32="NO"),IF(P32="SI",1.2,1)*I32*H32*O32/100,"--")</f>
        <v>--</v>
      </c>
      <c r="X32" s="525" t="str">
        <f>IF(AND(M32&gt;10,N32="R"),IF(M32&lt;=300,ROUND(M32/60,2),5)*I32*H32*O32/100*IF(P32="SI",1.2,1),"--")</f>
        <v>--</v>
      </c>
      <c r="Y32" s="526" t="str">
        <f>IF(AND(N32="R",M32&gt;300),IF(P32="SI",1.2,1)*(ROUND(M32/60,2)-5)*I32*H32*O32/100*0.1,"--")</f>
        <v>--</v>
      </c>
      <c r="Z32" s="527" t="str">
        <f>IF(N32="RF",IF(P32="SI",1.2,1)*ROUND(M32/60,2)*I32*H32*0.1,"--")</f>
        <v>--</v>
      </c>
      <c r="AA32" s="528" t="str">
        <f>IF(N32="RR",IF(P32="SI",1.2,1)*ROUND(M32/60,2)*I32*H32*O32/100*0.1,"--")</f>
        <v>--</v>
      </c>
      <c r="AB32" s="529">
        <f>IF(D32="","","SI")</f>
      </c>
      <c r="AC32" s="16">
        <f>IF(D32="","",SUM(R32:AA32)*IF(AB32="SI",1,2))</f>
      </c>
      <c r="AD32" s="17"/>
    </row>
    <row r="33" spans="1:30" ht="16.5" customHeight="1">
      <c r="A33" s="5"/>
      <c r="B33" s="50"/>
      <c r="C33" s="823" t="s">
        <v>138</v>
      </c>
      <c r="D33" s="7"/>
      <c r="E33" s="458"/>
      <c r="F33" s="511"/>
      <c r="G33" s="512"/>
      <c r="H33" s="513">
        <f>IF(G33="A",200,IF(G33="B",60,20))</f>
        <v>20</v>
      </c>
      <c r="I33" s="514">
        <f>IF(F33&gt;100,F33,100)*$F$20/100</f>
        <v>153.49</v>
      </c>
      <c r="J33" s="515"/>
      <c r="K33" s="459"/>
      <c r="L33" s="516">
        <f>IF(D33="","",(K33-J33)*24)</f>
      </c>
      <c r="M33" s="382">
        <f>IF(D33="","",ROUND((K33-J33)*24*60,0))</f>
      </c>
      <c r="N33" s="517"/>
      <c r="O33" s="518">
        <f>IF(D33="","","--")</f>
      </c>
      <c r="P33" s="223">
        <f>IF(D33="","","NO")</f>
      </c>
      <c r="Q33" s="223">
        <f>IF(D33="","",IF(OR(N33="P",N33="RP"),"--","NO"))</f>
      </c>
      <c r="R33" s="519" t="str">
        <f>IF(N33="P",+I33*H33*ROUND(M33/60,2)/100,"--")</f>
        <v>--</v>
      </c>
      <c r="S33" s="520" t="str">
        <f>IF(N33="RP",I33*H33*ROUND(M33/60,2)*0.01*O33/100,"--")</f>
        <v>--</v>
      </c>
      <c r="T33" s="521" t="str">
        <f>IF(AND(N33="F",Q33="NO"),IF(P33="SI",1.2,1)*I33*H33,"--")</f>
        <v>--</v>
      </c>
      <c r="U33" s="522" t="str">
        <f>IF(AND(M33&gt;10,N33="F"),IF(M33&lt;=300,ROUND(M33/60,2),5)*I33*H33*IF(P33="SI",1.2,1),"--")</f>
        <v>--</v>
      </c>
      <c r="V33" s="523" t="str">
        <f>IF(AND(N33="F",M33&gt;300),IF(P33="SI",1.2,1)*(ROUND(M33/60,2)-5)*I33*H33*0.1,"--")</f>
        <v>--</v>
      </c>
      <c r="W33" s="524" t="str">
        <f>IF(AND(N33="R",Q33="NO"),IF(P33="SI",1.2,1)*I33*H33*O33/100,"--")</f>
        <v>--</v>
      </c>
      <c r="X33" s="525" t="str">
        <f>IF(AND(M33&gt;10,N33="R"),IF(M33&lt;=300,ROUND(M33/60,2),5)*I33*H33*O33/100*IF(P33="SI",1.2,1),"--")</f>
        <v>--</v>
      </c>
      <c r="Y33" s="526" t="str">
        <f>IF(AND(N33="R",M33&gt;300),IF(P33="SI",1.2,1)*(ROUND(M33/60,2)-5)*I33*H33*O33/100*0.1,"--")</f>
        <v>--</v>
      </c>
      <c r="Z33" s="527" t="str">
        <f>IF(N33="RF",IF(P33="SI",1.2,1)*ROUND(M33/60,2)*I33*H33*0.1,"--")</f>
        <v>--</v>
      </c>
      <c r="AA33" s="528" t="str">
        <f>IF(N33="RR",IF(P33="SI",1.2,1)*ROUND(M33/60,2)*I33*H33*O33/100*0.1,"--")</f>
        <v>--</v>
      </c>
      <c r="AB33" s="529">
        <f>IF(D33="","","SI")</f>
      </c>
      <c r="AC33" s="16">
        <f>IF(D33="","",SUM(R33:AA33)*IF(AB33="SI",1,2))</f>
      </c>
      <c r="AD33" s="17"/>
    </row>
    <row r="34" spans="1:30" ht="16.5" customHeight="1" thickBot="1">
      <c r="A34" s="32"/>
      <c r="B34" s="50"/>
      <c r="C34" s="798"/>
      <c r="D34" s="530"/>
      <c r="E34" s="531"/>
      <c r="F34" s="532"/>
      <c r="G34" s="533"/>
      <c r="H34" s="534"/>
      <c r="I34" s="535"/>
      <c r="J34" s="536"/>
      <c r="K34" s="536"/>
      <c r="L34" s="9"/>
      <c r="M34" s="9"/>
      <c r="N34" s="9"/>
      <c r="O34" s="537"/>
      <c r="P34" s="9"/>
      <c r="Q34" s="9"/>
      <c r="R34" s="538"/>
      <c r="S34" s="539"/>
      <c r="T34" s="540"/>
      <c r="U34" s="541"/>
      <c r="V34" s="542"/>
      <c r="W34" s="543"/>
      <c r="X34" s="544"/>
      <c r="Y34" s="545"/>
      <c r="Z34" s="546"/>
      <c r="AA34" s="547"/>
      <c r="AB34" s="548"/>
      <c r="AC34" s="549"/>
      <c r="AD34" s="229"/>
    </row>
    <row r="35" spans="1:30" ht="17.25" thickBot="1" thickTop="1">
      <c r="A35" s="32"/>
      <c r="B35" s="50"/>
      <c r="C35" s="469"/>
      <c r="D35" s="469"/>
      <c r="E35" s="550"/>
      <c r="F35" s="479"/>
      <c r="G35" s="551"/>
      <c r="H35" s="551"/>
      <c r="I35" s="552"/>
      <c r="J35" s="552"/>
      <c r="K35" s="552"/>
      <c r="L35" s="552"/>
      <c r="M35" s="552"/>
      <c r="N35" s="552"/>
      <c r="O35" s="553"/>
      <c r="P35" s="552"/>
      <c r="Q35" s="552"/>
      <c r="R35" s="554">
        <f aca="true" t="shared" si="0" ref="R35:AA35">SUM(R31:R34)</f>
        <v>0</v>
      </c>
      <c r="S35" s="555">
        <f t="shared" si="0"/>
        <v>0</v>
      </c>
      <c r="T35" s="556">
        <f t="shared" si="0"/>
        <v>0</v>
      </c>
      <c r="U35" s="556">
        <f t="shared" si="0"/>
        <v>0</v>
      </c>
      <c r="V35" s="556">
        <f t="shared" si="0"/>
        <v>0</v>
      </c>
      <c r="W35" s="557">
        <f t="shared" si="0"/>
        <v>0</v>
      </c>
      <c r="X35" s="557">
        <f t="shared" si="0"/>
        <v>0</v>
      </c>
      <c r="Y35" s="557">
        <f t="shared" si="0"/>
        <v>0</v>
      </c>
      <c r="Z35" s="558">
        <f t="shared" si="0"/>
        <v>0</v>
      </c>
      <c r="AA35" s="559">
        <f t="shared" si="0"/>
        <v>0</v>
      </c>
      <c r="AB35" s="560"/>
      <c r="AC35" s="561">
        <f>SUM(AC31:AC34)</f>
        <v>0</v>
      </c>
      <c r="AD35" s="229"/>
    </row>
    <row r="36" spans="1:30" ht="17.25" thickBot="1" thickTop="1">
      <c r="A36" s="32"/>
      <c r="B36" s="50"/>
      <c r="C36" s="873"/>
      <c r="D36" s="142"/>
      <c r="G36" s="881"/>
      <c r="H36" s="880"/>
      <c r="I36" s="882"/>
      <c r="J36" s="882"/>
      <c r="L36" s="552"/>
      <c r="M36" s="552"/>
      <c r="N36" s="552"/>
      <c r="O36" s="553"/>
      <c r="P36" s="552"/>
      <c r="Q36" s="552"/>
      <c r="R36" s="562"/>
      <c r="S36" s="563"/>
      <c r="T36" s="564"/>
      <c r="U36" s="564"/>
      <c r="V36" s="564"/>
      <c r="W36" s="562"/>
      <c r="X36" s="562"/>
      <c r="Y36" s="562"/>
      <c r="Z36" s="562"/>
      <c r="AA36" s="562"/>
      <c r="AB36" s="565"/>
      <c r="AC36" s="566"/>
      <c r="AD36" s="229"/>
    </row>
    <row r="37" spans="1:33" s="5" customFormat="1" ht="39" customHeight="1" thickBot="1" thickTop="1">
      <c r="A37" s="90"/>
      <c r="B37" s="95"/>
      <c r="C37" s="123" t="s">
        <v>13</v>
      </c>
      <c r="D37" s="119" t="s">
        <v>27</v>
      </c>
      <c r="E37" s="118" t="s">
        <v>28</v>
      </c>
      <c r="F37" s="1159" t="s">
        <v>29</v>
      </c>
      <c r="G37" s="1160"/>
      <c r="H37" s="129" t="s">
        <v>16</v>
      </c>
      <c r="I37" s="567"/>
      <c r="J37" s="118" t="s">
        <v>17</v>
      </c>
      <c r="K37" s="118" t="s">
        <v>18</v>
      </c>
      <c r="L37" s="119" t="s">
        <v>30</v>
      </c>
      <c r="M37" s="119" t="s">
        <v>31</v>
      </c>
      <c r="N37" s="88" t="s">
        <v>91</v>
      </c>
      <c r="O37" s="118" t="s">
        <v>32</v>
      </c>
      <c r="P37" s="1153" t="s">
        <v>160</v>
      </c>
      <c r="Q37" s="1155"/>
      <c r="R37" s="129" t="s">
        <v>34</v>
      </c>
      <c r="S37" s="570" t="s">
        <v>20</v>
      </c>
      <c r="T37" s="571" t="s">
        <v>92</v>
      </c>
      <c r="U37" s="572"/>
      <c r="V37" s="573" t="s">
        <v>22</v>
      </c>
      <c r="W37" s="876" t="s">
        <v>161</v>
      </c>
      <c r="X37" s="575"/>
      <c r="Y37" s="575"/>
      <c r="Z37" s="575"/>
      <c r="AA37" s="576"/>
      <c r="AB37" s="132" t="s">
        <v>63</v>
      </c>
      <c r="AC37" s="121" t="s">
        <v>24</v>
      </c>
      <c r="AD37" s="17"/>
      <c r="AF37"/>
      <c r="AG37"/>
    </row>
    <row r="38" spans="1:30" ht="15.75" thickTop="1">
      <c r="A38" s="5"/>
      <c r="B38" s="50"/>
      <c r="C38" s="10"/>
      <c r="D38" s="10"/>
      <c r="E38" s="10"/>
      <c r="F38" s="1156"/>
      <c r="G38" s="1158"/>
      <c r="H38" s="578"/>
      <c r="I38" s="579"/>
      <c r="J38" s="10"/>
      <c r="K38" s="10"/>
      <c r="L38" s="10"/>
      <c r="M38" s="10"/>
      <c r="N38" s="10"/>
      <c r="O38" s="580"/>
      <c r="P38" s="1156"/>
      <c r="Q38" s="1158"/>
      <c r="R38" s="133"/>
      <c r="S38" s="583"/>
      <c r="T38" s="584"/>
      <c r="U38" s="585"/>
      <c r="V38" s="586"/>
      <c r="W38" s="877"/>
      <c r="X38" s="588"/>
      <c r="Y38" s="588"/>
      <c r="Z38" s="588"/>
      <c r="AA38" s="589"/>
      <c r="AB38" s="580"/>
      <c r="AC38" s="590"/>
      <c r="AD38" s="17"/>
    </row>
    <row r="39" spans="1:30" ht="15">
      <c r="A39" s="5"/>
      <c r="B39" s="50"/>
      <c r="C39" s="823" t="s">
        <v>137</v>
      </c>
      <c r="D39" s="591"/>
      <c r="E39" s="592"/>
      <c r="F39" s="1161"/>
      <c r="G39" s="1162"/>
      <c r="H39" s="595">
        <f>F39*$F$21</f>
        <v>0</v>
      </c>
      <c r="I39" s="596"/>
      <c r="J39" s="380"/>
      <c r="K39" s="185"/>
      <c r="L39" s="294">
        <f>IF(D39="","",(K39-J39)*24)</f>
      </c>
      <c r="M39" s="14">
        <f>IF(D39="","",(K39-J39)*24*60)</f>
      </c>
      <c r="N39" s="13"/>
      <c r="O39" s="8">
        <f>IF(D39="","",IF(N39="P","--","NO"))</f>
      </c>
      <c r="P39" s="1169">
        <f>IF(D39="","","--")</f>
      </c>
      <c r="Q39" s="1170"/>
      <c r="R39" s="442">
        <f>IF(OR(N39="P",N39="RP"),20/10,20)</f>
        <v>20</v>
      </c>
      <c r="S39" s="601" t="str">
        <f>IF(N39="P",H39*R39*ROUND(M39/60,2),"--")</f>
        <v>--</v>
      </c>
      <c r="T39" s="602" t="str">
        <f>IF(AND(N39="F",O39="NO"),H39*R39,"--")</f>
        <v>--</v>
      </c>
      <c r="U39" s="603" t="str">
        <f>IF(N39="F",H39*R39*ROUND(M39/60,2),"--")</f>
        <v>--</v>
      </c>
      <c r="V39" s="376" t="str">
        <f>IF(N39="RF",H39*R39*ROUND(M39/60,2),"--")</f>
        <v>--</v>
      </c>
      <c r="W39" s="879" t="str">
        <f>IF(N39="RP",H39*R39*P39/100*ROUND(M39/60,2),"--")</f>
        <v>--</v>
      </c>
      <c r="X39" s="605"/>
      <c r="Y39" s="605"/>
      <c r="Z39" s="605"/>
      <c r="AA39" s="606"/>
      <c r="AB39" s="304">
        <f>IF(D39="","","SI")</f>
      </c>
      <c r="AC39" s="305">
        <f>IF(D39="","",SUM(S39:W39)*IF(AB39="SI",1,2)*IF(AND(P39&lt;&gt;"--",N39="RF"),P39/100,1))</f>
      </c>
      <c r="AD39" s="229"/>
    </row>
    <row r="40" spans="1:30" ht="15">
      <c r="A40" s="5"/>
      <c r="B40" s="50"/>
      <c r="C40" s="823" t="s">
        <v>138</v>
      </c>
      <c r="D40" s="591"/>
      <c r="E40" s="592"/>
      <c r="F40" s="1161"/>
      <c r="G40" s="1162"/>
      <c r="H40" s="595">
        <f>F40*$F$21</f>
        <v>0</v>
      </c>
      <c r="I40" s="596"/>
      <c r="J40" s="607"/>
      <c r="K40" s="597"/>
      <c r="L40" s="294">
        <f>IF(D40="","",(K40-J40)*24)</f>
      </c>
      <c r="M40" s="14">
        <f>IF(D40="","",(K40-J40)*24*60)</f>
      </c>
      <c r="N40" s="13"/>
      <c r="O40" s="8">
        <f>IF(D40="","",IF(N40="P","--","NO"))</f>
      </c>
      <c r="P40" s="1169">
        <f>IF(D40="","","--")</f>
      </c>
      <c r="Q40" s="1170"/>
      <c r="R40" s="442">
        <f>IF(OR(N40="P",N40="RP"),20/10,20)</f>
        <v>20</v>
      </c>
      <c r="S40" s="601" t="str">
        <f>IF(N40="P",H40*R40*ROUND(M40/60,2),"--")</f>
        <v>--</v>
      </c>
      <c r="T40" s="602" t="str">
        <f>IF(AND(N40="F",O40="NO"),H40*R40,"--")</f>
        <v>--</v>
      </c>
      <c r="U40" s="603" t="str">
        <f>IF(N40="F",H40*R40*ROUND(M40/60,2),"--")</f>
        <v>--</v>
      </c>
      <c r="V40" s="376" t="str">
        <f>IF(N40="RF",H40*R40*ROUND(M40/60,2),"--")</f>
        <v>--</v>
      </c>
      <c r="W40" s="879" t="str">
        <f>IF(N40="RP",H40*R40*P40/100*ROUND(M40/60,2),"--")</f>
        <v>--</v>
      </c>
      <c r="X40" s="605"/>
      <c r="Y40" s="605"/>
      <c r="Z40" s="605"/>
      <c r="AA40" s="606"/>
      <c r="AB40" s="304">
        <f>IF(D40="","","SI")</f>
      </c>
      <c r="AC40" s="305">
        <f>IF(D40="","",SUM(S40:W40)*IF(AB40="SI",1,2)*IF(AND(P40&lt;&gt;"--",N40="RF"),P40/100,1))</f>
      </c>
      <c r="AD40" s="229"/>
    </row>
    <row r="41" spans="1:30" ht="15">
      <c r="A41" s="5"/>
      <c r="B41" s="50"/>
      <c r="C41" s="823" t="s">
        <v>139</v>
      </c>
      <c r="D41" s="591"/>
      <c r="E41" s="592"/>
      <c r="F41" s="1161"/>
      <c r="G41" s="1162"/>
      <c r="H41" s="595">
        <f>F41*$F$21</f>
        <v>0</v>
      </c>
      <c r="I41" s="596"/>
      <c r="J41" s="607"/>
      <c r="K41" s="597"/>
      <c r="L41" s="294">
        <f>IF(D41="","",(K41-J41)*24)</f>
      </c>
      <c r="M41" s="14">
        <f>IF(D41="","",(K41-J41)*24*60)</f>
      </c>
      <c r="N41" s="13"/>
      <c r="O41" s="8">
        <f>IF(D41="","",IF(N41="P","--","NO"))</f>
      </c>
      <c r="P41" s="1169">
        <f>IF(D41="","","--")</f>
      </c>
      <c r="Q41" s="1170"/>
      <c r="R41" s="442">
        <f>IF(OR(N41="P",N41="RP"),20/10,20)</f>
        <v>20</v>
      </c>
      <c r="S41" s="601" t="str">
        <f>IF(N41="P",H41*R41*ROUND(M41/60,2),"--")</f>
        <v>--</v>
      </c>
      <c r="T41" s="602" t="str">
        <f>IF(AND(N41="F",O41="NO"),H41*R41,"--")</f>
        <v>--</v>
      </c>
      <c r="U41" s="603" t="str">
        <f>IF(N41="F",H41*R41*ROUND(M41/60,2),"--")</f>
        <v>--</v>
      </c>
      <c r="V41" s="376" t="str">
        <f>IF(N41="RF",H41*R41*ROUND(M41/60,2),"--")</f>
        <v>--</v>
      </c>
      <c r="W41" s="879" t="str">
        <f>IF(N41="RP",H41*R41*P41/100*ROUND(M41/60,2),"--")</f>
        <v>--</v>
      </c>
      <c r="X41" s="605"/>
      <c r="Y41" s="605"/>
      <c r="Z41" s="605"/>
      <c r="AA41" s="606"/>
      <c r="AB41" s="304">
        <f>IF(D41="","","SI")</f>
      </c>
      <c r="AC41" s="305">
        <f>IF(D41="","",SUM(S41:W41)*IF(AB41="SI",1,2)*IF(AND(P41&lt;&gt;"--",N41="RF"),P41/100,1))</f>
      </c>
      <c r="AD41" s="229"/>
    </row>
    <row r="42" spans="1:30" ht="15">
      <c r="A42" s="5"/>
      <c r="B42" s="50"/>
      <c r="C42" s="823" t="s">
        <v>140</v>
      </c>
      <c r="D42" s="591"/>
      <c r="E42" s="592"/>
      <c r="F42" s="1161"/>
      <c r="G42" s="1162"/>
      <c r="H42" s="595">
        <f>F42*$F$21</f>
        <v>0</v>
      </c>
      <c r="I42" s="596"/>
      <c r="J42" s="607"/>
      <c r="K42" s="597"/>
      <c r="L42" s="294">
        <f>IF(D42="","",(K42-J42)*24)</f>
      </c>
      <c r="M42" s="14">
        <f>IF(D42="","",(K42-J42)*24*60)</f>
      </c>
      <c r="N42" s="13"/>
      <c r="O42" s="8">
        <f>IF(D42="","",IF(N42="P","--","NO"))</f>
      </c>
      <c r="P42" s="1169">
        <f>IF(D42="","","--")</f>
      </c>
      <c r="Q42" s="1170"/>
      <c r="R42" s="442">
        <f>IF(OR(N42="P",N42="RP"),20/10,20)</f>
        <v>20</v>
      </c>
      <c r="S42" s="601" t="str">
        <f>IF(N42="P",H42*R42*ROUND(M42/60,2),"--")</f>
        <v>--</v>
      </c>
      <c r="T42" s="602" t="str">
        <f>IF(AND(N42="F",O42="NO"),H42*R42,"--")</f>
        <v>--</v>
      </c>
      <c r="U42" s="603" t="str">
        <f>IF(N42="F",H42*R42*ROUND(M42/60,2),"--")</f>
        <v>--</v>
      </c>
      <c r="V42" s="376" t="str">
        <f>IF(N42="RF",H42*R42*ROUND(M42/60,2),"--")</f>
        <v>--</v>
      </c>
      <c r="W42" s="879" t="str">
        <f>IF(N42="RP",H42*R42*P42/100*ROUND(M42/60,2),"--")</f>
        <v>--</v>
      </c>
      <c r="X42" s="605"/>
      <c r="Y42" s="605"/>
      <c r="Z42" s="605"/>
      <c r="AA42" s="606"/>
      <c r="AB42" s="304">
        <f>IF(D42="","","SI")</f>
      </c>
      <c r="AC42" s="305">
        <f>IF(D42="","",SUM(S42:W42)*IF(AB42="SI",1,2)*IF(AND(P42&lt;&gt;"--",N42="RF"),P42/100,1))</f>
      </c>
      <c r="AD42" s="229"/>
    </row>
    <row r="43" spans="1:30" ht="16.5" thickBot="1">
      <c r="A43" s="32"/>
      <c r="B43" s="50"/>
      <c r="C43" s="608"/>
      <c r="D43" s="609"/>
      <c r="E43" s="610"/>
      <c r="F43" s="1151"/>
      <c r="G43" s="1152"/>
      <c r="H43" s="613"/>
      <c r="I43" s="614"/>
      <c r="J43" s="615"/>
      <c r="K43" s="616"/>
      <c r="L43" s="617"/>
      <c r="M43" s="618"/>
      <c r="N43" s="619"/>
      <c r="O43" s="9"/>
      <c r="P43" s="1163"/>
      <c r="Q43" s="1165"/>
      <c r="R43" s="622"/>
      <c r="S43" s="623"/>
      <c r="T43" s="624"/>
      <c r="U43" s="625"/>
      <c r="V43" s="626"/>
      <c r="W43" s="878"/>
      <c r="X43" s="628"/>
      <c r="Y43" s="628"/>
      <c r="Z43" s="628"/>
      <c r="AA43" s="629"/>
      <c r="AB43" s="630"/>
      <c r="AC43" s="631"/>
      <c r="AD43" s="229"/>
    </row>
    <row r="44" spans="1:30" ht="17.25" thickBot="1" thickTop="1">
      <c r="A44" s="32"/>
      <c r="B44" s="50"/>
      <c r="C44" s="98"/>
      <c r="D44" s="203"/>
      <c r="E44" s="203"/>
      <c r="F44" s="407"/>
      <c r="G44" s="632"/>
      <c r="H44" s="633"/>
      <c r="I44" s="634"/>
      <c r="J44" s="635"/>
      <c r="K44" s="636"/>
      <c r="L44" s="637"/>
      <c r="M44" s="633"/>
      <c r="N44" s="638"/>
      <c r="O44" s="192"/>
      <c r="P44" s="639"/>
      <c r="Q44" s="884"/>
      <c r="R44" s="874"/>
      <c r="S44" s="874"/>
      <c r="T44" s="874"/>
      <c r="U44" s="875"/>
      <c r="V44" s="875"/>
      <c r="W44" s="875"/>
      <c r="X44" s="875"/>
      <c r="Y44" s="875"/>
      <c r="Z44" s="875"/>
      <c r="AA44" s="875"/>
      <c r="AB44" s="875"/>
      <c r="AC44" s="642">
        <f>SUM(AC38:AC43)</f>
        <v>0</v>
      </c>
      <c r="AD44" s="229"/>
    </row>
    <row r="45" spans="1:30" ht="17.25" thickBot="1" thickTop="1">
      <c r="A45" s="32"/>
      <c r="B45" s="50"/>
      <c r="C45" s="98"/>
      <c r="D45" s="203"/>
      <c r="E45" s="203"/>
      <c r="F45" s="407"/>
      <c r="G45" s="632"/>
      <c r="H45" s="633"/>
      <c r="I45" s="634"/>
      <c r="J45" s="635"/>
      <c r="K45" s="636"/>
      <c r="L45" s="637"/>
      <c r="M45" s="633"/>
      <c r="N45" s="638"/>
      <c r="O45" s="192"/>
      <c r="P45" s="639"/>
      <c r="Q45" s="886"/>
      <c r="R45" s="887"/>
      <c r="S45" s="887"/>
      <c r="T45" s="887"/>
      <c r="U45" s="888"/>
      <c r="V45" s="888"/>
      <c r="W45" s="888"/>
      <c r="X45" s="888"/>
      <c r="Y45" s="888"/>
      <c r="Z45" s="888"/>
      <c r="AA45" s="888"/>
      <c r="AB45" s="888"/>
      <c r="AC45" s="885"/>
      <c r="AD45" s="229"/>
    </row>
    <row r="46" spans="1:33" s="5" customFormat="1" ht="37.5" customHeight="1" thickBot="1" thickTop="1">
      <c r="A46" s="90"/>
      <c r="B46" s="95"/>
      <c r="C46" s="123" t="s">
        <v>13</v>
      </c>
      <c r="D46" s="119" t="s">
        <v>27</v>
      </c>
      <c r="E46" s="118" t="s">
        <v>28</v>
      </c>
      <c r="F46" s="1159" t="s">
        <v>170</v>
      </c>
      <c r="G46" s="1160"/>
      <c r="H46" s="129" t="s">
        <v>16</v>
      </c>
      <c r="I46" s="567"/>
      <c r="J46" s="118" t="s">
        <v>17</v>
      </c>
      <c r="K46" s="118" t="s">
        <v>18</v>
      </c>
      <c r="L46" s="119" t="s">
        <v>30</v>
      </c>
      <c r="M46" s="119" t="s">
        <v>31</v>
      </c>
      <c r="N46" s="88" t="s">
        <v>91</v>
      </c>
      <c r="O46" s="118" t="s">
        <v>32</v>
      </c>
      <c r="P46" s="1153" t="s">
        <v>160</v>
      </c>
      <c r="Q46" s="1155"/>
      <c r="R46" s="129" t="s">
        <v>34</v>
      </c>
      <c r="S46" s="570" t="s">
        <v>20</v>
      </c>
      <c r="T46" s="571" t="s">
        <v>92</v>
      </c>
      <c r="U46" s="572"/>
      <c r="V46" s="573" t="s">
        <v>22</v>
      </c>
      <c r="W46" s="876" t="s">
        <v>161</v>
      </c>
      <c r="X46" s="575"/>
      <c r="Y46" s="575"/>
      <c r="Z46" s="575"/>
      <c r="AA46" s="576"/>
      <c r="AB46" s="132" t="s">
        <v>63</v>
      </c>
      <c r="AC46" s="121" t="s">
        <v>24</v>
      </c>
      <c r="AD46" s="17"/>
      <c r="AF46"/>
      <c r="AG46"/>
    </row>
    <row r="47" spans="1:30" ht="15.75" thickTop="1">
      <c r="A47" s="5"/>
      <c r="B47" s="50"/>
      <c r="C47" s="10"/>
      <c r="D47" s="10"/>
      <c r="E47" s="10"/>
      <c r="F47" s="1156"/>
      <c r="G47" s="1158"/>
      <c r="H47" s="578"/>
      <c r="I47" s="579"/>
      <c r="J47" s="10"/>
      <c r="K47" s="10"/>
      <c r="L47" s="10"/>
      <c r="M47" s="10"/>
      <c r="N47" s="10"/>
      <c r="O47" s="580"/>
      <c r="P47" s="1156"/>
      <c r="Q47" s="1158"/>
      <c r="R47" s="133"/>
      <c r="S47" s="583"/>
      <c r="T47" s="584"/>
      <c r="U47" s="585"/>
      <c r="V47" s="586"/>
      <c r="W47" s="877"/>
      <c r="X47" s="588"/>
      <c r="Y47" s="588"/>
      <c r="Z47" s="588"/>
      <c r="AA47" s="589"/>
      <c r="AB47" s="580"/>
      <c r="AC47" s="590"/>
      <c r="AD47" s="17"/>
    </row>
    <row r="48" spans="1:30" ht="15">
      <c r="A48" s="5"/>
      <c r="B48" s="50"/>
      <c r="C48" s="823" t="s">
        <v>137</v>
      </c>
      <c r="D48" s="591" t="s">
        <v>215</v>
      </c>
      <c r="E48" s="592" t="s">
        <v>261</v>
      </c>
      <c r="F48" s="1161">
        <v>80</v>
      </c>
      <c r="G48" s="1162"/>
      <c r="H48" s="595">
        <f>F48*$F$21</f>
        <v>33.44</v>
      </c>
      <c r="I48" s="596"/>
      <c r="J48" s="380">
        <v>40206.302083333336</v>
      </c>
      <c r="K48" s="185">
        <v>40206.72777777778</v>
      </c>
      <c r="L48" s="294">
        <f>IF(D48="","",(K48-J48)*24)</f>
        <v>10.21666666661622</v>
      </c>
      <c r="M48" s="14">
        <f>IF(D48="","",(K48-J48)*24*60)</f>
        <v>612.9999999969732</v>
      </c>
      <c r="N48" s="13" t="s">
        <v>191</v>
      </c>
      <c r="O48" s="8" t="str">
        <f>IF(D48="","",IF(N48="P","--","NO"))</f>
        <v>--</v>
      </c>
      <c r="P48" s="1169" t="str">
        <f>IF(D48="","","--")</f>
        <v>--</v>
      </c>
      <c r="Q48" s="1170"/>
      <c r="R48" s="442">
        <f>IF(OR(N48="P",N48="RP"),20/10,20)</f>
        <v>2</v>
      </c>
      <c r="S48" s="601">
        <f>IF(N48="P",H48*R48*ROUND(M48/60,2),"--")</f>
        <v>683.5136</v>
      </c>
      <c r="T48" s="602" t="str">
        <f>IF(AND(N48="F",O48="NO"),H48*R48,"--")</f>
        <v>--</v>
      </c>
      <c r="U48" s="603" t="str">
        <f>IF(N48="F",H48*R48*ROUND(M48/60,2),"--")</f>
        <v>--</v>
      </c>
      <c r="V48" s="376" t="str">
        <f>IF(N48="RF",H48*R48*ROUND(M48/60,2),"--")</f>
        <v>--</v>
      </c>
      <c r="W48" s="879" t="str">
        <f>IF(N48="RP",H48*R48*P48/100*ROUND(M48/60,2),"--")</f>
        <v>--</v>
      </c>
      <c r="X48" s="605"/>
      <c r="Y48" s="605"/>
      <c r="Z48" s="605"/>
      <c r="AA48" s="606"/>
      <c r="AB48" s="304" t="str">
        <f>IF(D48="","","SI")</f>
        <v>SI</v>
      </c>
      <c r="AC48" s="305">
        <f>IF(D48="","",SUM(S48:W48)*IF(AB48="SI",1,2)*IF(AND(P48&lt;&gt;"--",N48="RF"),P48/100,1))</f>
        <v>683.5136</v>
      </c>
      <c r="AD48" s="229"/>
    </row>
    <row r="49" spans="1:30" ht="15">
      <c r="A49" s="5"/>
      <c r="B49" s="50"/>
      <c r="C49" s="823" t="s">
        <v>138</v>
      </c>
      <c r="D49" s="591" t="s">
        <v>215</v>
      </c>
      <c r="E49" s="592" t="s">
        <v>261</v>
      </c>
      <c r="F49" s="1161">
        <v>80</v>
      </c>
      <c r="G49" s="1162"/>
      <c r="H49" s="595">
        <f>F49*$F$21</f>
        <v>33.44</v>
      </c>
      <c r="I49" s="596"/>
      <c r="J49" s="607">
        <v>40207.32638888889</v>
      </c>
      <c r="K49" s="597">
        <v>40207.70138888889</v>
      </c>
      <c r="L49" s="294">
        <f>IF(D49="","",(K49-J49)*24)</f>
        <v>9</v>
      </c>
      <c r="M49" s="14">
        <f>IF(D49="","",(K49-J49)*24*60)</f>
        <v>540</v>
      </c>
      <c r="N49" s="13" t="s">
        <v>191</v>
      </c>
      <c r="O49" s="8" t="str">
        <f>IF(D49="","",IF(N49="P","--","NO"))</f>
        <v>--</v>
      </c>
      <c r="P49" s="1169" t="str">
        <f>IF(D49="","","--")</f>
        <v>--</v>
      </c>
      <c r="Q49" s="1170"/>
      <c r="R49" s="442">
        <f>IF(OR(N49="P",N49="RP"),20/10,20)</f>
        <v>2</v>
      </c>
      <c r="S49" s="601">
        <f>IF(N49="P",H49*R49*ROUND(M49/60,2),"--")</f>
        <v>601.92</v>
      </c>
      <c r="T49" s="602" t="str">
        <f>IF(AND(N49="F",O49="NO"),H49*R49,"--")</f>
        <v>--</v>
      </c>
      <c r="U49" s="603" t="str">
        <f>IF(N49="F",H49*R49*ROUND(M49/60,2),"--")</f>
        <v>--</v>
      </c>
      <c r="V49" s="376" t="str">
        <f>IF(N49="RF",H49*R49*ROUND(M49/60,2),"--")</f>
        <v>--</v>
      </c>
      <c r="W49" s="879" t="str">
        <f>IF(N49="RP",H49*R49*P49/100*ROUND(M49/60,2),"--")</f>
        <v>--</v>
      </c>
      <c r="X49" s="605"/>
      <c r="Y49" s="605"/>
      <c r="Z49" s="605"/>
      <c r="AA49" s="606"/>
      <c r="AB49" s="304" t="str">
        <f>IF(D49="","","SI")</f>
        <v>SI</v>
      </c>
      <c r="AC49" s="305">
        <f>IF(D49="","",SUM(S49:W49)*IF(AB49="SI",1,2)*IF(AND(P49&lt;&gt;"--",N49="RF"),P49/100,1))</f>
        <v>601.92</v>
      </c>
      <c r="AD49" s="229"/>
    </row>
    <row r="50" spans="1:30" ht="15">
      <c r="A50" s="5"/>
      <c r="B50" s="50"/>
      <c r="C50" s="823" t="s">
        <v>139</v>
      </c>
      <c r="D50" s="591"/>
      <c r="E50" s="592"/>
      <c r="F50" s="1161"/>
      <c r="G50" s="1162"/>
      <c r="H50" s="595">
        <f>F50*$F$21</f>
        <v>0</v>
      </c>
      <c r="I50" s="596"/>
      <c r="J50" s="607"/>
      <c r="K50" s="597"/>
      <c r="L50" s="294">
        <f>IF(D50="","",(K50-J50)*24)</f>
      </c>
      <c r="M50" s="14">
        <f>IF(D50="","",(K50-J50)*24*60)</f>
      </c>
      <c r="N50" s="13"/>
      <c r="O50" s="8">
        <f>IF(D50="","",IF(N50="P","--","NO"))</f>
      </c>
      <c r="P50" s="1169">
        <f>IF(D50="","","--")</f>
      </c>
      <c r="Q50" s="1170"/>
      <c r="R50" s="442">
        <f>IF(OR(N50="P",N50="RP"),20/10,20)</f>
        <v>20</v>
      </c>
      <c r="S50" s="601" t="str">
        <f>IF(N50="P",H50*R50*ROUND(M50/60,2),"--")</f>
        <v>--</v>
      </c>
      <c r="T50" s="602" t="str">
        <f>IF(AND(N50="F",O50="NO"),H50*R50,"--")</f>
        <v>--</v>
      </c>
      <c r="U50" s="603" t="str">
        <f>IF(N50="F",H50*R50*ROUND(M50/60,2),"--")</f>
        <v>--</v>
      </c>
      <c r="V50" s="376" t="str">
        <f>IF(N50="RF",H50*R50*ROUND(M50/60,2),"--")</f>
        <v>--</v>
      </c>
      <c r="W50" s="879" t="str">
        <f>IF(N50="RP",H50*R50*P50/100*ROUND(M50/60,2),"--")</f>
        <v>--</v>
      </c>
      <c r="X50" s="605"/>
      <c r="Y50" s="605"/>
      <c r="Z50" s="605"/>
      <c r="AA50" s="606"/>
      <c r="AB50" s="304">
        <f>IF(D50="","","SI")</f>
      </c>
      <c r="AC50" s="305">
        <f>IF(D50="","",AB50/1500*#REF!)</f>
      </c>
      <c r="AD50" s="229"/>
    </row>
    <row r="51" spans="1:30" ht="15">
      <c r="A51" s="5"/>
      <c r="B51" s="50"/>
      <c r="C51" s="823" t="s">
        <v>140</v>
      </c>
      <c r="D51" s="591"/>
      <c r="E51" s="592"/>
      <c r="F51" s="1161"/>
      <c r="G51" s="1162"/>
      <c r="H51" s="595">
        <f>F51*$F$21</f>
        <v>0</v>
      </c>
      <c r="I51" s="596"/>
      <c r="J51" s="607"/>
      <c r="K51" s="597"/>
      <c r="L51" s="294">
        <f>IF(D51="","",(K51-J51)*24)</f>
      </c>
      <c r="M51" s="14">
        <f>IF(D51="","",(K51-J51)*24*60)</f>
      </c>
      <c r="N51" s="13"/>
      <c r="O51" s="8">
        <f>IF(D51="","",IF(N51="P","--","NO"))</f>
      </c>
      <c r="P51" s="1169">
        <f>IF(D51="","","--")</f>
      </c>
      <c r="Q51" s="1170"/>
      <c r="R51" s="442">
        <f>IF(OR(N51="P",N51="RP"),20/10,20)</f>
        <v>20</v>
      </c>
      <c r="S51" s="601" t="str">
        <f>IF(N51="P",H51*R51*ROUND(M51/60,2),"--")</f>
        <v>--</v>
      </c>
      <c r="T51" s="602" t="str">
        <f>IF(AND(N51="F",O51="NO"),H51*R51,"--")</f>
        <v>--</v>
      </c>
      <c r="U51" s="603" t="str">
        <f>IF(N51="F",H51*R51*ROUND(M51/60,2),"--")</f>
        <v>--</v>
      </c>
      <c r="V51" s="376" t="str">
        <f>IF(N51="RF",H51*R51*ROUND(M51/60,2),"--")</f>
        <v>--</v>
      </c>
      <c r="W51" s="879" t="str">
        <f>IF(N51="RP",H51*R51*P51/100*ROUND(M51/60,2),"--")</f>
        <v>--</v>
      </c>
      <c r="X51" s="605"/>
      <c r="Y51" s="605"/>
      <c r="Z51" s="605"/>
      <c r="AA51" s="606"/>
      <c r="AB51" s="304">
        <f>IF(D51="","","SI")</f>
      </c>
      <c r="AC51" s="305">
        <f>IF(D51="","",AB51/1500*#REF!)</f>
      </c>
      <c r="AD51" s="229"/>
    </row>
    <row r="52" spans="1:30" ht="16.5" thickBot="1">
      <c r="A52" s="32"/>
      <c r="B52" s="50"/>
      <c r="C52" s="608"/>
      <c r="D52" s="609"/>
      <c r="E52" s="610"/>
      <c r="F52" s="1151"/>
      <c r="G52" s="1152"/>
      <c r="H52" s="613"/>
      <c r="I52" s="614"/>
      <c r="J52" s="615"/>
      <c r="K52" s="616"/>
      <c r="L52" s="617"/>
      <c r="M52" s="618"/>
      <c r="N52" s="619"/>
      <c r="O52" s="9"/>
      <c r="P52" s="1163"/>
      <c r="Q52" s="1165"/>
      <c r="R52" s="622"/>
      <c r="S52" s="623"/>
      <c r="T52" s="624"/>
      <c r="U52" s="625"/>
      <c r="V52" s="626"/>
      <c r="W52" s="878"/>
      <c r="X52" s="628"/>
      <c r="Y52" s="628"/>
      <c r="Z52" s="628"/>
      <c r="AA52" s="629"/>
      <c r="AB52" s="630"/>
      <c r="AC52" s="631"/>
      <c r="AD52" s="229"/>
    </row>
    <row r="53" spans="1:30" ht="17.25" thickBot="1" thickTop="1">
      <c r="A53" s="32"/>
      <c r="B53" s="50"/>
      <c r="C53" s="98"/>
      <c r="D53" s="203"/>
      <c r="E53" s="203"/>
      <c r="F53" s="407"/>
      <c r="G53" s="632"/>
      <c r="H53" s="633"/>
      <c r="I53" s="634"/>
      <c r="J53" s="635"/>
      <c r="K53" s="636"/>
      <c r="L53" s="637"/>
      <c r="M53" s="633"/>
      <c r="N53" s="638"/>
      <c r="O53" s="192"/>
      <c r="P53" s="639"/>
      <c r="Q53" s="640"/>
      <c r="R53" s="874"/>
      <c r="S53" s="874"/>
      <c r="T53" s="874"/>
      <c r="U53" s="875"/>
      <c r="V53" s="875"/>
      <c r="W53" s="875"/>
      <c r="X53" s="875"/>
      <c r="Y53" s="875"/>
      <c r="Z53" s="875"/>
      <c r="AA53" s="875"/>
      <c r="AB53" s="193"/>
      <c r="AC53" s="642">
        <f>SUM(AC47:AC52)</f>
        <v>1285.4335999999998</v>
      </c>
      <c r="AD53" s="229"/>
    </row>
    <row r="54" spans="1:30" ht="17.25" thickBot="1" thickTop="1">
      <c r="A54" s="32"/>
      <c r="B54" s="50"/>
      <c r="C54" s="98"/>
      <c r="D54" s="203"/>
      <c r="E54" s="203"/>
      <c r="F54" s="407"/>
      <c r="G54" s="632"/>
      <c r="H54" s="633"/>
      <c r="I54" s="634"/>
      <c r="J54" s="480" t="s">
        <v>42</v>
      </c>
      <c r="K54" s="481">
        <f>AC35+AC44+AC53</f>
        <v>1285.4335999999998</v>
      </c>
      <c r="L54" s="637"/>
      <c r="M54" s="633"/>
      <c r="N54" s="643"/>
      <c r="O54" s="644"/>
      <c r="P54" s="639"/>
      <c r="Q54" s="640"/>
      <c r="R54" s="641"/>
      <c r="S54" s="641"/>
      <c r="T54" s="641"/>
      <c r="U54" s="193"/>
      <c r="V54" s="193"/>
      <c r="W54" s="193"/>
      <c r="X54" s="193"/>
      <c r="Y54" s="193"/>
      <c r="Z54" s="193"/>
      <c r="AA54" s="193"/>
      <c r="AB54" s="193"/>
      <c r="AC54" s="645"/>
      <c r="AD54" s="229"/>
    </row>
    <row r="55" spans="1:30" ht="13.5" customHeight="1" thickTop="1">
      <c r="A55" s="32"/>
      <c r="B55" s="466"/>
      <c r="C55" s="469"/>
      <c r="D55" s="646"/>
      <c r="E55" s="647"/>
      <c r="F55" s="648"/>
      <c r="G55" s="649"/>
      <c r="H55" s="649"/>
      <c r="I55" s="647"/>
      <c r="J55" s="457"/>
      <c r="K55" s="457"/>
      <c r="L55" s="647"/>
      <c r="M55" s="647"/>
      <c r="N55" s="647"/>
      <c r="O55" s="650"/>
      <c r="P55" s="647"/>
      <c r="Q55" s="647"/>
      <c r="R55" s="651"/>
      <c r="S55" s="652"/>
      <c r="T55" s="652"/>
      <c r="U55" s="653"/>
      <c r="AC55" s="653"/>
      <c r="AD55" s="654"/>
    </row>
    <row r="56" spans="1:30" ht="16.5" customHeight="1">
      <c r="A56" s="32"/>
      <c r="B56" s="466"/>
      <c r="C56" s="655" t="s">
        <v>93</v>
      </c>
      <c r="D56" s="656" t="s">
        <v>126</v>
      </c>
      <c r="E56" s="647"/>
      <c r="F56" s="648"/>
      <c r="G56" s="649"/>
      <c r="H56" s="649"/>
      <c r="I56" s="647"/>
      <c r="J56" s="457"/>
      <c r="K56" s="457"/>
      <c r="L56" s="647"/>
      <c r="M56" s="647"/>
      <c r="N56" s="647"/>
      <c r="O56" s="650"/>
      <c r="P56" s="647"/>
      <c r="Q56" s="647"/>
      <c r="R56" s="651"/>
      <c r="S56" s="652"/>
      <c r="T56" s="652"/>
      <c r="U56" s="653"/>
      <c r="AC56" s="653"/>
      <c r="AD56" s="654"/>
    </row>
    <row r="57" spans="1:30" ht="16.5" customHeight="1">
      <c r="A57" s="32"/>
      <c r="B57" s="466"/>
      <c r="C57" s="655"/>
      <c r="D57" s="646"/>
      <c r="E57" s="647"/>
      <c r="F57" s="648"/>
      <c r="G57" s="649"/>
      <c r="H57" s="649"/>
      <c r="I57" s="647"/>
      <c r="J57" s="457"/>
      <c r="K57" s="457"/>
      <c r="L57" s="647"/>
      <c r="M57" s="647"/>
      <c r="N57" s="647"/>
      <c r="O57" s="650"/>
      <c r="P57" s="647"/>
      <c r="Q57" s="647"/>
      <c r="R57" s="647"/>
      <c r="S57" s="651"/>
      <c r="T57" s="652"/>
      <c r="AD57" s="654"/>
    </row>
    <row r="58" spans="2:30" s="32" customFormat="1" ht="16.5" customHeight="1">
      <c r="B58" s="466"/>
      <c r="C58" s="469"/>
      <c r="D58" s="657" t="s">
        <v>0</v>
      </c>
      <c r="E58" s="552" t="s">
        <v>94</v>
      </c>
      <c r="F58" s="552" t="s">
        <v>43</v>
      </c>
      <c r="G58" s="658" t="s">
        <v>127</v>
      </c>
      <c r="H58" s="553"/>
      <c r="I58" s="552"/>
      <c r="J58"/>
      <c r="K58" s="659" t="s">
        <v>128</v>
      </c>
      <c r="L58"/>
      <c r="M58"/>
      <c r="O58" s="659" t="s">
        <v>129</v>
      </c>
      <c r="P58" s="660"/>
      <c r="Q58" s="661"/>
      <c r="R58" s="662"/>
      <c r="S58" s="33"/>
      <c r="T58"/>
      <c r="U58"/>
      <c r="V58"/>
      <c r="W58"/>
      <c r="X58" s="33"/>
      <c r="Y58" s="33"/>
      <c r="Z58" s="33"/>
      <c r="AA58" s="33"/>
      <c r="AB58" s="33"/>
      <c r="AC58" s="663" t="s">
        <v>130</v>
      </c>
      <c r="AD58" s="654"/>
    </row>
    <row r="59" spans="2:30" s="32" customFormat="1" ht="16.5" customHeight="1">
      <c r="B59" s="466"/>
      <c r="C59" s="469"/>
      <c r="D59" s="552" t="s">
        <v>95</v>
      </c>
      <c r="E59" s="664">
        <v>267</v>
      </c>
      <c r="F59" s="665">
        <v>500</v>
      </c>
      <c r="G59" s="666">
        <f>E59*$F$20*$L$21/100</f>
        <v>304904.8152</v>
      </c>
      <c r="H59" s="666">
        <f>F59*$F$20*$L$21/100</f>
        <v>570982.8</v>
      </c>
      <c r="I59" s="666">
        <f>G59*$F$20*$L$21/100</f>
        <v>348190810.2327572</v>
      </c>
      <c r="J59" s="169"/>
      <c r="K59" s="667">
        <v>1285005</v>
      </c>
      <c r="L59" s="169"/>
      <c r="M59" s="1109" t="s">
        <v>320</v>
      </c>
      <c r="R59" s="662"/>
      <c r="S59" s="33"/>
      <c r="T59"/>
      <c r="U59"/>
      <c r="V59"/>
      <c r="W59"/>
      <c r="X59" s="33"/>
      <c r="Y59" s="33"/>
      <c r="Z59" s="33"/>
      <c r="AA59" s="33"/>
      <c r="AB59" s="669"/>
      <c r="AC59" s="478">
        <f>K59+G59</f>
        <v>1589909.8152</v>
      </c>
      <c r="AD59" s="654"/>
    </row>
    <row r="60" spans="2:30" s="32" customFormat="1" ht="16.5" customHeight="1">
      <c r="B60" s="466"/>
      <c r="C60" s="469"/>
      <c r="D60" s="552" t="s">
        <v>96</v>
      </c>
      <c r="E60" s="664">
        <f>3*3.6</f>
        <v>10.8</v>
      </c>
      <c r="F60" s="665">
        <v>500</v>
      </c>
      <c r="G60" s="666">
        <f>E60*$F$20*$L$21/100</f>
        <v>12333.228480000002</v>
      </c>
      <c r="H60" s="670"/>
      <c r="I60" s="671"/>
      <c r="J60" s="169"/>
      <c r="K60" s="666">
        <v>43536</v>
      </c>
      <c r="L60" s="169"/>
      <c r="M60" s="1109" t="s">
        <v>320</v>
      </c>
      <c r="O60" s="672"/>
      <c r="P60"/>
      <c r="Q60" s="662"/>
      <c r="R60" s="662"/>
      <c r="S60" s="33"/>
      <c r="T60"/>
      <c r="U60"/>
      <c r="V60"/>
      <c r="W60"/>
      <c r="X60" s="33"/>
      <c r="Y60" s="33"/>
      <c r="Z60" s="33"/>
      <c r="AA60" s="33"/>
      <c r="AB60" s="33"/>
      <c r="AC60" s="478">
        <f>K60+G60</f>
        <v>55869.228480000005</v>
      </c>
      <c r="AD60" s="654"/>
    </row>
    <row r="61" spans="2:30" s="32" customFormat="1" ht="16.5" customHeight="1">
      <c r="B61" s="466"/>
      <c r="C61" s="469"/>
      <c r="D61" s="552"/>
      <c r="E61" s="664"/>
      <c r="F61" s="665"/>
      <c r="G61" s="666"/>
      <c r="H61" s="670"/>
      <c r="I61" s="671"/>
      <c r="J61" s="169"/>
      <c r="K61" s="666"/>
      <c r="L61" s="169"/>
      <c r="M61" s="668"/>
      <c r="O61" s="672"/>
      <c r="P61"/>
      <c r="Q61" s="662"/>
      <c r="R61" s="662"/>
      <c r="S61" s="33"/>
      <c r="T61"/>
      <c r="U61"/>
      <c r="V61"/>
      <c r="W61"/>
      <c r="X61" s="33"/>
      <c r="Y61" s="33"/>
      <c r="Z61" s="33"/>
      <c r="AA61" s="33"/>
      <c r="AB61" s="33"/>
      <c r="AC61" s="478"/>
      <c r="AD61" s="654"/>
    </row>
    <row r="62" spans="2:30" s="32" customFormat="1" ht="16.5" customHeight="1">
      <c r="B62" s="466"/>
      <c r="C62" s="469"/>
      <c r="E62" s="670"/>
      <c r="I62" s="658" t="s">
        <v>133</v>
      </c>
      <c r="J62"/>
      <c r="K62" s="662"/>
      <c r="L62" s="662"/>
      <c r="M62" s="670" t="s">
        <v>49</v>
      </c>
      <c r="N62"/>
      <c r="O62" s="552" t="s">
        <v>43</v>
      </c>
      <c r="P62" t="s">
        <v>110</v>
      </c>
      <c r="Q62" s="662"/>
      <c r="R62" s="662"/>
      <c r="S62" s="33"/>
      <c r="T62"/>
      <c r="U62"/>
      <c r="V62"/>
      <c r="W62"/>
      <c r="X62" s="33"/>
      <c r="Y62" s="33"/>
      <c r="Z62" s="33"/>
      <c r="AA62" s="33"/>
      <c r="AB62" s="33"/>
      <c r="AC62" s="478"/>
      <c r="AD62" s="654"/>
    </row>
    <row r="63" spans="2:35" s="32" customFormat="1" ht="16.5" customHeight="1">
      <c r="B63" s="466"/>
      <c r="C63" s="469"/>
      <c r="E63" s="748"/>
      <c r="M63" s="748" t="s">
        <v>311</v>
      </c>
      <c r="O63" s="143">
        <v>500</v>
      </c>
      <c r="P63" s="143">
        <v>2</v>
      </c>
      <c r="Q63" s="662"/>
      <c r="R63" s="662"/>
      <c r="S63" s="33"/>
      <c r="T63"/>
      <c r="U63"/>
      <c r="V63"/>
      <c r="W63"/>
      <c r="X63" s="33"/>
      <c r="Y63" s="33"/>
      <c r="Z63" s="33"/>
      <c r="AA63" s="33"/>
      <c r="AB63" s="33"/>
      <c r="AC63" s="478">
        <f>P63*P18*L21</f>
        <v>124554.528</v>
      </c>
      <c r="AD63" s="1092"/>
      <c r="AE63"/>
      <c r="AF63"/>
      <c r="AG63"/>
      <c r="AH63"/>
      <c r="AI63"/>
    </row>
    <row r="64" spans="2:35" s="32" customFormat="1" ht="16.5" customHeight="1">
      <c r="B64" s="466"/>
      <c r="C64" s="469"/>
      <c r="E64" s="748"/>
      <c r="M64" s="748" t="s">
        <v>312</v>
      </c>
      <c r="O64" s="143">
        <v>500</v>
      </c>
      <c r="P64" s="143">
        <v>3</v>
      </c>
      <c r="Q64" s="662"/>
      <c r="R64" s="662"/>
      <c r="S64" s="33"/>
      <c r="T64"/>
      <c r="U64"/>
      <c r="V64"/>
      <c r="W64"/>
      <c r="X64" s="33"/>
      <c r="Y64" s="33"/>
      <c r="Z64" s="33"/>
      <c r="AA64" s="33"/>
      <c r="AB64" s="33"/>
      <c r="AC64" s="478">
        <f>P18*P64*L21</f>
        <v>186831.792</v>
      </c>
      <c r="AD64" s="1092"/>
      <c r="AE64"/>
      <c r="AF64"/>
      <c r="AG64"/>
      <c r="AH64"/>
      <c r="AI64"/>
    </row>
    <row r="65" spans="2:35" s="32" customFormat="1" ht="16.5" customHeight="1">
      <c r="B65" s="466"/>
      <c r="C65" s="469"/>
      <c r="D65"/>
      <c r="E65"/>
      <c r="F65"/>
      <c r="G65" s="143"/>
      <c r="H65"/>
      <c r="P65"/>
      <c r="Q65" s="662"/>
      <c r="R65" s="662"/>
      <c r="S65" s="33"/>
      <c r="T65"/>
      <c r="U65"/>
      <c r="V65"/>
      <c r="W65"/>
      <c r="X65" s="33"/>
      <c r="Y65" s="33"/>
      <c r="Z65" s="33"/>
      <c r="AA65" s="33"/>
      <c r="AB65" s="33"/>
      <c r="AC65" s="478">
        <f>SUM(AC63:AI64)</f>
        <v>311386.32</v>
      </c>
      <c r="AD65" s="1092"/>
      <c r="AE65"/>
      <c r="AF65"/>
      <c r="AG65"/>
      <c r="AH65"/>
      <c r="AI65"/>
    </row>
    <row r="66" spans="2:30" s="32" customFormat="1" ht="16.5" customHeight="1" thickBot="1">
      <c r="B66" s="466"/>
      <c r="C66" s="469"/>
      <c r="E66" s="474"/>
      <c r="F66" s="552"/>
      <c r="G66" s="553"/>
      <c r="H66"/>
      <c r="I66" s="552"/>
      <c r="J66" s="552"/>
      <c r="K66"/>
      <c r="L66" s="478"/>
      <c r="M66" s="661"/>
      <c r="N66" s="661"/>
      <c r="O66" s="667"/>
      <c r="P66" s="169"/>
      <c r="Q66" s="668"/>
      <c r="R66" s="662"/>
      <c r="S66" s="33"/>
      <c r="T66"/>
      <c r="U66"/>
      <c r="V66"/>
      <c r="W66"/>
      <c r="X66" s="33"/>
      <c r="Y66" s="33"/>
      <c r="Z66" s="33"/>
      <c r="AA66" s="33"/>
      <c r="AB66" s="33"/>
      <c r="AC66" s="478"/>
      <c r="AD66" s="654"/>
    </row>
    <row r="67" spans="1:30" ht="16.5" customHeight="1" thickBot="1">
      <c r="A67" s="32"/>
      <c r="B67" s="466"/>
      <c r="C67" s="469"/>
      <c r="D67" s="457"/>
      <c r="E67" s="474"/>
      <c r="F67" s="552"/>
      <c r="G67" s="552"/>
      <c r="H67" s="553"/>
      <c r="J67" s="552"/>
      <c r="L67" s="673"/>
      <c r="M67" s="661"/>
      <c r="N67" s="661"/>
      <c r="O67" s="662"/>
      <c r="P67" s="662"/>
      <c r="Q67" s="662"/>
      <c r="R67" s="662"/>
      <c r="S67" s="662"/>
      <c r="AB67" s="1117" t="s">
        <v>317</v>
      </c>
      <c r="AC67" s="1119">
        <f>SUM(AC59:AC66)</f>
        <v>2268551.68368</v>
      </c>
      <c r="AD67" s="654"/>
    </row>
    <row r="68" spans="2:30" ht="16.5" customHeight="1" thickBot="1">
      <c r="B68" s="466"/>
      <c r="C68" s="655" t="s">
        <v>97</v>
      </c>
      <c r="D68" s="674" t="s">
        <v>98</v>
      </c>
      <c r="E68" s="552"/>
      <c r="F68" s="675"/>
      <c r="G68" s="551"/>
      <c r="H68" s="457"/>
      <c r="I68" s="457"/>
      <c r="J68" s="457"/>
      <c r="K68" s="552"/>
      <c r="L68" s="552"/>
      <c r="M68" s="457"/>
      <c r="N68" s="552"/>
      <c r="O68" s="457"/>
      <c r="P68" s="457"/>
      <c r="Q68" s="457"/>
      <c r="R68" s="457"/>
      <c r="S68" s="457"/>
      <c r="T68" s="457"/>
      <c r="U68" s="457"/>
      <c r="AC68" s="457"/>
      <c r="AD68" s="654"/>
    </row>
    <row r="69" spans="2:30" s="32" customFormat="1" ht="16.5" customHeight="1" thickBot="1">
      <c r="B69" s="466"/>
      <c r="C69" s="469"/>
      <c r="D69" s="657" t="s">
        <v>99</v>
      </c>
      <c r="E69" s="676">
        <f>10*K54*K26/AC67</f>
        <v>289.85712457157416</v>
      </c>
      <c r="G69" s="551"/>
      <c r="L69" s="552"/>
      <c r="N69" s="552"/>
      <c r="O69" s="553"/>
      <c r="V69"/>
      <c r="W69"/>
      <c r="AB69" s="1117" t="s">
        <v>318</v>
      </c>
      <c r="AC69" s="1119">
        <v>2046176.07</v>
      </c>
      <c r="AD69" s="654"/>
    </row>
    <row r="70" spans="2:30" s="32" customFormat="1" ht="16.5" customHeight="1">
      <c r="B70" s="466"/>
      <c r="C70" s="469"/>
      <c r="E70" s="677"/>
      <c r="F70" s="479"/>
      <c r="G70" s="551"/>
      <c r="J70" s="551"/>
      <c r="K70" s="566"/>
      <c r="L70" s="552"/>
      <c r="M70" s="552"/>
      <c r="N70" s="552"/>
      <c r="O70" s="553"/>
      <c r="P70" s="552"/>
      <c r="Q70" s="552"/>
      <c r="R70" s="565"/>
      <c r="S70" s="565"/>
      <c r="T70" s="565"/>
      <c r="U70" s="678"/>
      <c r="V70"/>
      <c r="W70"/>
      <c r="AC70" s="678"/>
      <c r="AD70" s="654"/>
    </row>
    <row r="71" spans="2:30" ht="16.5" customHeight="1">
      <c r="B71" s="466"/>
      <c r="C71" s="469"/>
      <c r="D71" s="679" t="s">
        <v>100</v>
      </c>
      <c r="E71" s="680"/>
      <c r="F71" s="479"/>
      <c r="G71" s="551"/>
      <c r="H71" s="457"/>
      <c r="I71" s="457"/>
      <c r="N71" s="552"/>
      <c r="O71" s="553"/>
      <c r="P71" s="552"/>
      <c r="Q71" s="552"/>
      <c r="R71" s="660"/>
      <c r="S71" s="660"/>
      <c r="T71" s="660"/>
      <c r="U71" s="661"/>
      <c r="AC71" s="661"/>
      <c r="AD71" s="654"/>
    </row>
    <row r="72" spans="2:30" ht="16.5" customHeight="1" thickBot="1">
      <c r="B72" s="466"/>
      <c r="C72" s="469"/>
      <c r="D72" s="679"/>
      <c r="E72" s="680"/>
      <c r="F72" s="479"/>
      <c r="G72" s="551"/>
      <c r="H72" s="457"/>
      <c r="I72" s="457"/>
      <c r="N72" s="552"/>
      <c r="O72" s="553"/>
      <c r="P72" s="552"/>
      <c r="Q72" s="552"/>
      <c r="R72" s="660"/>
      <c r="S72" s="660"/>
      <c r="T72" s="660"/>
      <c r="U72" s="661"/>
      <c r="AC72" s="661"/>
      <c r="AD72" s="654"/>
    </row>
    <row r="73" spans="2:30" s="681" customFormat="1" ht="21" thickBot="1" thickTop="1">
      <c r="B73" s="682"/>
      <c r="C73" s="683"/>
      <c r="D73" s="684"/>
      <c r="E73" s="685"/>
      <c r="F73" s="686"/>
      <c r="G73" s="687"/>
      <c r="I73"/>
      <c r="J73" s="688" t="s">
        <v>101</v>
      </c>
      <c r="K73" s="689">
        <f>IF(E69&gt;3*K26,K26*3,E69)</f>
        <v>289.85712457157416</v>
      </c>
      <c r="M73" s="690"/>
      <c r="N73" s="690"/>
      <c r="O73" s="691"/>
      <c r="P73" s="690"/>
      <c r="Q73" s="690"/>
      <c r="R73" s="692"/>
      <c r="S73" s="692"/>
      <c r="T73" s="692"/>
      <c r="U73" s="693"/>
      <c r="V73"/>
      <c r="W73"/>
      <c r="AC73" s="693"/>
      <c r="AD73" s="694"/>
    </row>
    <row r="74" spans="2:30" ht="16.5" customHeight="1" thickBot="1" thickTop="1">
      <c r="B74" s="57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194"/>
      <c r="W74" s="194"/>
      <c r="X74" s="194"/>
      <c r="Y74" s="194"/>
      <c r="Z74" s="194"/>
      <c r="AA74" s="194"/>
      <c r="AB74" s="194"/>
      <c r="AC74" s="59"/>
      <c r="AD74" s="695"/>
    </row>
    <row r="75" spans="2:23" ht="16.5" customHeight="1" thickTop="1">
      <c r="B75" s="1"/>
      <c r="C75" s="73"/>
      <c r="W75" s="1"/>
    </row>
  </sheetData>
  <sheetProtection password="CC12"/>
  <mergeCells count="28">
    <mergeCell ref="F52:G52"/>
    <mergeCell ref="F50:G50"/>
    <mergeCell ref="F51:G51"/>
    <mergeCell ref="P50:Q50"/>
    <mergeCell ref="P51:Q51"/>
    <mergeCell ref="P52:Q52"/>
    <mergeCell ref="F48:G48"/>
    <mergeCell ref="F49:G49"/>
    <mergeCell ref="P48:Q48"/>
    <mergeCell ref="P49:Q49"/>
    <mergeCell ref="F46:G46"/>
    <mergeCell ref="F47:G47"/>
    <mergeCell ref="P46:Q46"/>
    <mergeCell ref="P47:Q47"/>
    <mergeCell ref="P41:Q41"/>
    <mergeCell ref="P42:Q42"/>
    <mergeCell ref="P43:Q43"/>
    <mergeCell ref="P37:Q37"/>
    <mergeCell ref="P38:Q38"/>
    <mergeCell ref="P39:Q39"/>
    <mergeCell ref="P40:Q40"/>
    <mergeCell ref="F37:G37"/>
    <mergeCell ref="F38:G38"/>
    <mergeCell ref="F39:G39"/>
    <mergeCell ref="F43:G43"/>
    <mergeCell ref="F42:G42"/>
    <mergeCell ref="F40:G40"/>
    <mergeCell ref="F41:G4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25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GL114"/>
  <sheetViews>
    <sheetView zoomScale="50" zoomScaleNormal="50" workbookViewId="0" topLeftCell="A40">
      <selection activeCell="J98" sqref="J98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57"/>
      <c r="V1" s="958"/>
    </row>
    <row r="2" spans="2:22" s="18" customFormat="1" ht="26.25">
      <c r="B2" s="397" t="str">
        <f>'TOT-0110'!B2</f>
        <v>ANEXO II al Memorandum D.T.E.E. N°    679       / 2011           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959"/>
    </row>
    <row r="3" spans="1:22" s="25" customFormat="1" ht="11.25">
      <c r="A3" s="23" t="s">
        <v>2</v>
      </c>
      <c r="B3" s="124"/>
      <c r="U3" s="960"/>
      <c r="V3" s="960"/>
    </row>
    <row r="4" spans="1:22" s="25" customFormat="1" ht="11.25">
      <c r="A4" s="23" t="s">
        <v>3</v>
      </c>
      <c r="B4" s="124"/>
      <c r="U4" s="124"/>
      <c r="V4" s="960"/>
    </row>
    <row r="5" spans="21:22" ht="9.75" customHeight="1">
      <c r="U5" s="22"/>
      <c r="V5" s="958"/>
    </row>
    <row r="6" spans="2:178" s="961" customFormat="1" ht="23.25">
      <c r="B6" s="962" t="s">
        <v>283</v>
      </c>
      <c r="C6" s="962"/>
      <c r="D6" s="963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4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2"/>
      <c r="AH6" s="962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962"/>
      <c r="AX6" s="962"/>
      <c r="AY6" s="962"/>
      <c r="AZ6" s="962"/>
      <c r="BA6" s="962"/>
      <c r="BB6" s="962"/>
      <c r="BC6" s="962"/>
      <c r="BD6" s="962"/>
      <c r="BE6" s="962"/>
      <c r="BF6" s="962"/>
      <c r="BG6" s="962"/>
      <c r="BH6" s="962"/>
      <c r="BI6" s="962"/>
      <c r="BJ6" s="962"/>
      <c r="BK6" s="962"/>
      <c r="BL6" s="962"/>
      <c r="BM6" s="962"/>
      <c r="BN6" s="962"/>
      <c r="BO6" s="962"/>
      <c r="BP6" s="962"/>
      <c r="BQ6" s="962"/>
      <c r="BR6" s="962"/>
      <c r="BS6" s="962"/>
      <c r="BT6" s="962"/>
      <c r="BU6" s="962"/>
      <c r="BV6" s="962"/>
      <c r="BW6" s="962"/>
      <c r="BX6" s="962"/>
      <c r="BY6" s="962"/>
      <c r="BZ6" s="962"/>
      <c r="CA6" s="962"/>
      <c r="CB6" s="962"/>
      <c r="CC6" s="962"/>
      <c r="CD6" s="962"/>
      <c r="CE6" s="962"/>
      <c r="CF6" s="962"/>
      <c r="CG6" s="962"/>
      <c r="CH6" s="962"/>
      <c r="CI6" s="962"/>
      <c r="CJ6" s="962"/>
      <c r="CK6" s="962"/>
      <c r="CL6" s="962"/>
      <c r="CM6" s="962"/>
      <c r="CN6" s="962"/>
      <c r="CO6" s="962"/>
      <c r="CP6" s="962"/>
      <c r="CQ6" s="962"/>
      <c r="CR6" s="962"/>
      <c r="CS6" s="962"/>
      <c r="CT6" s="962"/>
      <c r="CU6" s="962"/>
      <c r="CV6" s="962"/>
      <c r="CW6" s="962"/>
      <c r="CX6" s="962"/>
      <c r="CY6" s="962"/>
      <c r="CZ6" s="962"/>
      <c r="DA6" s="962"/>
      <c r="DB6" s="962"/>
      <c r="DC6" s="962"/>
      <c r="DD6" s="962"/>
      <c r="DE6" s="962"/>
      <c r="DF6" s="962"/>
      <c r="DG6" s="962"/>
      <c r="DH6" s="962"/>
      <c r="DI6" s="962"/>
      <c r="DJ6" s="962"/>
      <c r="DK6" s="962"/>
      <c r="DL6" s="962"/>
      <c r="DM6" s="962"/>
      <c r="DN6" s="962"/>
      <c r="DO6" s="962"/>
      <c r="DP6" s="962"/>
      <c r="DQ6" s="962"/>
      <c r="DR6" s="962"/>
      <c r="DS6" s="962"/>
      <c r="DT6" s="962"/>
      <c r="DU6" s="962"/>
      <c r="DV6" s="962"/>
      <c r="DW6" s="962"/>
      <c r="DX6" s="962"/>
      <c r="DY6" s="962"/>
      <c r="DZ6" s="962"/>
      <c r="EA6" s="962"/>
      <c r="EB6" s="962"/>
      <c r="EC6" s="962"/>
      <c r="ED6" s="962"/>
      <c r="EE6" s="962"/>
      <c r="EF6" s="962"/>
      <c r="EG6" s="962"/>
      <c r="EH6" s="962"/>
      <c r="EI6" s="962"/>
      <c r="EJ6" s="962"/>
      <c r="EK6" s="962"/>
      <c r="EL6" s="962"/>
      <c r="EM6" s="962"/>
      <c r="EN6" s="962"/>
      <c r="EO6" s="962"/>
      <c r="EP6" s="962"/>
      <c r="EQ6" s="962"/>
      <c r="ER6" s="962"/>
      <c r="ES6" s="962"/>
      <c r="ET6" s="962"/>
      <c r="EU6" s="962"/>
      <c r="EV6" s="962"/>
      <c r="EW6" s="962"/>
      <c r="EX6" s="962"/>
      <c r="EY6" s="962"/>
      <c r="EZ6" s="962"/>
      <c r="FA6" s="962"/>
      <c r="FB6" s="962"/>
      <c r="FC6" s="962"/>
      <c r="FD6" s="962"/>
      <c r="FE6" s="962"/>
      <c r="FF6" s="962"/>
      <c r="FG6" s="962"/>
      <c r="FH6" s="962"/>
      <c r="FI6" s="962"/>
      <c r="FJ6" s="962"/>
      <c r="FK6" s="962"/>
      <c r="FL6" s="962"/>
      <c r="FM6" s="962"/>
      <c r="FN6" s="962"/>
      <c r="FO6" s="962"/>
      <c r="FP6" s="962"/>
      <c r="FQ6" s="962"/>
      <c r="FR6" s="962"/>
      <c r="FS6" s="962"/>
      <c r="FT6" s="962"/>
      <c r="FU6" s="962"/>
      <c r="FV6" s="962"/>
    </row>
    <row r="7" spans="2:178" s="32" customFormat="1" ht="9.75" customHeight="1"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883"/>
      <c r="V7" s="883"/>
      <c r="W7" s="670"/>
      <c r="X7" s="670"/>
      <c r="Y7" s="670"/>
      <c r="Z7" s="670"/>
      <c r="AA7" s="670"/>
      <c r="AB7" s="670"/>
      <c r="AC7" s="670"/>
      <c r="AD7" s="670"/>
      <c r="AE7" s="670"/>
      <c r="AF7" s="670"/>
      <c r="AG7" s="670"/>
      <c r="AH7" s="670"/>
      <c r="AI7" s="670"/>
      <c r="AJ7" s="670"/>
      <c r="AK7" s="670"/>
      <c r="AL7" s="670"/>
      <c r="AM7" s="670"/>
      <c r="AN7" s="670"/>
      <c r="AO7" s="670"/>
      <c r="AP7" s="670"/>
      <c r="AQ7" s="670"/>
      <c r="AR7" s="670"/>
      <c r="AS7" s="670"/>
      <c r="AT7" s="670"/>
      <c r="AU7" s="670"/>
      <c r="AV7" s="670"/>
      <c r="AW7" s="670"/>
      <c r="AX7" s="670"/>
      <c r="AY7" s="670"/>
      <c r="AZ7" s="670"/>
      <c r="BA7" s="670"/>
      <c r="BB7" s="670"/>
      <c r="BC7" s="670"/>
      <c r="BD7" s="670"/>
      <c r="BE7" s="670"/>
      <c r="BF7" s="670"/>
      <c r="BG7" s="670"/>
      <c r="BH7" s="670"/>
      <c r="BI7" s="670"/>
      <c r="BJ7" s="670"/>
      <c r="BK7" s="670"/>
      <c r="BL7" s="670"/>
      <c r="BM7" s="670"/>
      <c r="BN7" s="670"/>
      <c r="BO7" s="670"/>
      <c r="BP7" s="670"/>
      <c r="BQ7" s="670"/>
      <c r="BR7" s="670"/>
      <c r="BS7" s="670"/>
      <c r="BT7" s="670"/>
      <c r="BU7" s="670"/>
      <c r="BV7" s="670"/>
      <c r="BW7" s="670"/>
      <c r="BX7" s="670"/>
      <c r="BY7" s="670"/>
      <c r="BZ7" s="670"/>
      <c r="CA7" s="670"/>
      <c r="CB7" s="670"/>
      <c r="CC7" s="670"/>
      <c r="CD7" s="670"/>
      <c r="CE7" s="670"/>
      <c r="CF7" s="670"/>
      <c r="CG7" s="670"/>
      <c r="CH7" s="670"/>
      <c r="CI7" s="670"/>
      <c r="CJ7" s="670"/>
      <c r="CK7" s="670"/>
      <c r="CL7" s="670"/>
      <c r="CM7" s="670"/>
      <c r="CN7" s="670"/>
      <c r="CO7" s="670"/>
      <c r="CP7" s="670"/>
      <c r="CQ7" s="670"/>
      <c r="CR7" s="670"/>
      <c r="CS7" s="670"/>
      <c r="CT7" s="670"/>
      <c r="CU7" s="670"/>
      <c r="CV7" s="670"/>
      <c r="CW7" s="670"/>
      <c r="CX7" s="670"/>
      <c r="CY7" s="670"/>
      <c r="CZ7" s="670"/>
      <c r="DA7" s="670"/>
      <c r="DB7" s="670"/>
      <c r="DC7" s="670"/>
      <c r="DD7" s="670"/>
      <c r="DE7" s="670"/>
      <c r="DF7" s="670"/>
      <c r="DG7" s="670"/>
      <c r="DH7" s="670"/>
      <c r="DI7" s="670"/>
      <c r="DJ7" s="670"/>
      <c r="DK7" s="670"/>
      <c r="DL7" s="670"/>
      <c r="DM7" s="670"/>
      <c r="DN7" s="670"/>
      <c r="DO7" s="670"/>
      <c r="DP7" s="670"/>
      <c r="DQ7" s="670"/>
      <c r="DR7" s="670"/>
      <c r="DS7" s="670"/>
      <c r="DT7" s="670"/>
      <c r="DU7" s="670"/>
      <c r="DV7" s="670"/>
      <c r="DW7" s="670"/>
      <c r="DX7" s="670"/>
      <c r="DY7" s="670"/>
      <c r="DZ7" s="670"/>
      <c r="EA7" s="670"/>
      <c r="EB7" s="670"/>
      <c r="EC7" s="670"/>
      <c r="ED7" s="670"/>
      <c r="EE7" s="670"/>
      <c r="EF7" s="670"/>
      <c r="EG7" s="670"/>
      <c r="EH7" s="670"/>
      <c r="EI7" s="670"/>
      <c r="EJ7" s="670"/>
      <c r="EK7" s="670"/>
      <c r="EL7" s="670"/>
      <c r="EM7" s="670"/>
      <c r="EN7" s="670"/>
      <c r="EO7" s="670"/>
      <c r="EP7" s="670"/>
      <c r="EQ7" s="670"/>
      <c r="ER7" s="670"/>
      <c r="ES7" s="670"/>
      <c r="ET7" s="670"/>
      <c r="EU7" s="670"/>
      <c r="EV7" s="670"/>
      <c r="EW7" s="670"/>
      <c r="EX7" s="670"/>
      <c r="EY7" s="670"/>
      <c r="EZ7" s="670"/>
      <c r="FA7" s="670"/>
      <c r="FB7" s="670"/>
      <c r="FC7" s="670"/>
      <c r="FD7" s="670"/>
      <c r="FE7" s="670"/>
      <c r="FF7" s="670"/>
      <c r="FG7" s="670"/>
      <c r="FH7" s="670"/>
      <c r="FI7" s="670"/>
      <c r="FJ7" s="670"/>
      <c r="FK7" s="670"/>
      <c r="FL7" s="670"/>
      <c r="FM7" s="670"/>
      <c r="FN7" s="670"/>
      <c r="FO7" s="670"/>
      <c r="FP7" s="670"/>
      <c r="FQ7" s="670"/>
      <c r="FR7" s="670"/>
      <c r="FS7" s="670"/>
      <c r="FT7" s="670"/>
      <c r="FU7" s="670"/>
      <c r="FV7" s="670"/>
    </row>
    <row r="8" spans="2:178" s="965" customFormat="1" ht="23.25">
      <c r="B8" s="962" t="s">
        <v>50</v>
      </c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6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3"/>
      <c r="AJ8" s="963"/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3"/>
      <c r="AX8" s="963"/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3"/>
      <c r="BL8" s="963"/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3"/>
      <c r="BZ8" s="963"/>
      <c r="CA8" s="963"/>
      <c r="CB8" s="963"/>
      <c r="CC8" s="963"/>
      <c r="CD8" s="963"/>
      <c r="CE8" s="963"/>
      <c r="CF8" s="963"/>
      <c r="CG8" s="963"/>
      <c r="CH8" s="963"/>
      <c r="CI8" s="963"/>
      <c r="CJ8" s="963"/>
      <c r="CK8" s="963"/>
      <c r="CL8" s="963"/>
      <c r="CM8" s="963"/>
      <c r="CN8" s="963"/>
      <c r="CO8" s="963"/>
      <c r="CP8" s="963"/>
      <c r="CQ8" s="963"/>
      <c r="CR8" s="963"/>
      <c r="CS8" s="963"/>
      <c r="CT8" s="963"/>
      <c r="CU8" s="963"/>
      <c r="CV8" s="963"/>
      <c r="CW8" s="963"/>
      <c r="CX8" s="963"/>
      <c r="CY8" s="963"/>
      <c r="CZ8" s="963"/>
      <c r="DA8" s="963"/>
      <c r="DB8" s="963"/>
      <c r="DC8" s="963"/>
      <c r="DD8" s="963"/>
      <c r="DE8" s="963"/>
      <c r="DF8" s="963"/>
      <c r="DG8" s="963"/>
      <c r="DH8" s="963"/>
      <c r="DI8" s="963"/>
      <c r="DJ8" s="963"/>
      <c r="DK8" s="963"/>
      <c r="DL8" s="963"/>
      <c r="DM8" s="963"/>
      <c r="DN8" s="963"/>
      <c r="DO8" s="963"/>
      <c r="DP8" s="963"/>
      <c r="DQ8" s="963"/>
      <c r="DR8" s="963"/>
      <c r="DS8" s="963"/>
      <c r="DT8" s="963"/>
      <c r="DU8" s="963"/>
      <c r="DV8" s="963"/>
      <c r="DW8" s="963"/>
      <c r="DX8" s="963"/>
      <c r="DY8" s="963"/>
      <c r="DZ8" s="963"/>
      <c r="EA8" s="963"/>
      <c r="EB8" s="963"/>
      <c r="EC8" s="963"/>
      <c r="ED8" s="963"/>
      <c r="EE8" s="963"/>
      <c r="EF8" s="963"/>
      <c r="EG8" s="963"/>
      <c r="EH8" s="963"/>
      <c r="EI8" s="963"/>
      <c r="EJ8" s="963"/>
      <c r="EK8" s="963"/>
      <c r="EL8" s="963"/>
      <c r="EM8" s="963"/>
      <c r="EN8" s="963"/>
      <c r="EO8" s="963"/>
      <c r="EP8" s="963"/>
      <c r="EQ8" s="963"/>
      <c r="ER8" s="963"/>
      <c r="ES8" s="963"/>
      <c r="ET8" s="963"/>
      <c r="EU8" s="963"/>
      <c r="EV8" s="963"/>
      <c r="EW8" s="963"/>
      <c r="EX8" s="963"/>
      <c r="EY8" s="963"/>
      <c r="EZ8" s="963"/>
      <c r="FA8" s="963"/>
      <c r="FB8" s="963"/>
      <c r="FC8" s="963"/>
      <c r="FD8" s="963"/>
      <c r="FE8" s="963"/>
      <c r="FF8" s="963"/>
      <c r="FG8" s="963"/>
      <c r="FH8" s="963"/>
      <c r="FI8" s="963"/>
      <c r="FJ8" s="963"/>
      <c r="FK8" s="963"/>
      <c r="FL8" s="963"/>
      <c r="FM8" s="963"/>
      <c r="FN8" s="963"/>
      <c r="FO8" s="963"/>
      <c r="FP8" s="963"/>
      <c r="FQ8" s="963"/>
      <c r="FR8" s="963"/>
      <c r="FS8" s="963"/>
      <c r="FT8" s="963"/>
      <c r="FU8" s="963"/>
      <c r="FV8" s="963"/>
    </row>
    <row r="9" spans="2:178" s="32" customFormat="1" ht="9.75" customHeight="1"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883"/>
      <c r="V9" s="883"/>
      <c r="W9" s="670"/>
      <c r="X9" s="670"/>
      <c r="Y9" s="670"/>
      <c r="Z9" s="670"/>
      <c r="AA9" s="670"/>
      <c r="AB9" s="670"/>
      <c r="AC9" s="670"/>
      <c r="AD9" s="670"/>
      <c r="AE9" s="670"/>
      <c r="AF9" s="670"/>
      <c r="AG9" s="670"/>
      <c r="AH9" s="670"/>
      <c r="AI9" s="670"/>
      <c r="AJ9" s="670"/>
      <c r="AK9" s="670"/>
      <c r="AL9" s="670"/>
      <c r="AM9" s="670"/>
      <c r="AN9" s="670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  <c r="BS9" s="670"/>
      <c r="BT9" s="670"/>
      <c r="BU9" s="670"/>
      <c r="BV9" s="670"/>
      <c r="BW9" s="670"/>
      <c r="BX9" s="670"/>
      <c r="BY9" s="670"/>
      <c r="BZ9" s="670"/>
      <c r="CA9" s="670"/>
      <c r="CB9" s="670"/>
      <c r="CC9" s="670"/>
      <c r="CD9" s="670"/>
      <c r="CE9" s="670"/>
      <c r="CF9" s="670"/>
      <c r="CG9" s="670"/>
      <c r="CH9" s="670"/>
      <c r="CI9" s="670"/>
      <c r="CJ9" s="670"/>
      <c r="CK9" s="670"/>
      <c r="CL9" s="670"/>
      <c r="CM9" s="670"/>
      <c r="CN9" s="670"/>
      <c r="CO9" s="670"/>
      <c r="CP9" s="670"/>
      <c r="CQ9" s="670"/>
      <c r="CR9" s="670"/>
      <c r="CS9" s="670"/>
      <c r="CT9" s="670"/>
      <c r="CU9" s="670"/>
      <c r="CV9" s="670"/>
      <c r="CW9" s="670"/>
      <c r="CX9" s="670"/>
      <c r="CY9" s="670"/>
      <c r="CZ9" s="670"/>
      <c r="DA9" s="670"/>
      <c r="DB9" s="670"/>
      <c r="DC9" s="670"/>
      <c r="DD9" s="670"/>
      <c r="DE9" s="670"/>
      <c r="DF9" s="670"/>
      <c r="DG9" s="670"/>
      <c r="DH9" s="670"/>
      <c r="DI9" s="670"/>
      <c r="DJ9" s="670"/>
      <c r="DK9" s="670"/>
      <c r="DL9" s="670"/>
      <c r="DM9" s="670"/>
      <c r="DN9" s="670"/>
      <c r="DO9" s="670"/>
      <c r="DP9" s="670"/>
      <c r="DQ9" s="670"/>
      <c r="DR9" s="670"/>
      <c r="DS9" s="670"/>
      <c r="DT9" s="670"/>
      <c r="DU9" s="670"/>
      <c r="DV9" s="670"/>
      <c r="DW9" s="670"/>
      <c r="DX9" s="670"/>
      <c r="DY9" s="670"/>
      <c r="DZ9" s="670"/>
      <c r="EA9" s="670"/>
      <c r="EB9" s="670"/>
      <c r="EC9" s="670"/>
      <c r="ED9" s="670"/>
      <c r="EE9" s="670"/>
      <c r="EF9" s="670"/>
      <c r="EG9" s="670"/>
      <c r="EH9" s="670"/>
      <c r="EI9" s="670"/>
      <c r="EJ9" s="670"/>
      <c r="EK9" s="670"/>
      <c r="EL9" s="670"/>
      <c r="EM9" s="670"/>
      <c r="EN9" s="670"/>
      <c r="EO9" s="670"/>
      <c r="EP9" s="670"/>
      <c r="EQ9" s="670"/>
      <c r="ER9" s="670"/>
      <c r="ES9" s="670"/>
      <c r="ET9" s="670"/>
      <c r="EU9" s="670"/>
      <c r="EV9" s="670"/>
      <c r="EW9" s="670"/>
      <c r="EX9" s="670"/>
      <c r="EY9" s="670"/>
      <c r="EZ9" s="670"/>
      <c r="FA9" s="670"/>
      <c r="FB9" s="670"/>
      <c r="FC9" s="670"/>
      <c r="FD9" s="670"/>
      <c r="FE9" s="670"/>
      <c r="FF9" s="670"/>
      <c r="FG9" s="670"/>
      <c r="FH9" s="670"/>
      <c r="FI9" s="670"/>
      <c r="FJ9" s="670"/>
      <c r="FK9" s="670"/>
      <c r="FL9" s="670"/>
      <c r="FM9" s="670"/>
      <c r="FN9" s="670"/>
      <c r="FO9" s="670"/>
      <c r="FP9" s="670"/>
      <c r="FQ9" s="670"/>
      <c r="FR9" s="670"/>
      <c r="FS9" s="670"/>
      <c r="FT9" s="670"/>
      <c r="FU9" s="670"/>
      <c r="FV9" s="670"/>
    </row>
    <row r="10" spans="2:178" s="965" customFormat="1" ht="23.25">
      <c r="B10" s="962" t="s">
        <v>284</v>
      </c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6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3"/>
      <c r="AL10" s="963"/>
      <c r="AM10" s="963"/>
      <c r="AN10" s="963"/>
      <c r="AO10" s="963"/>
      <c r="AP10" s="963"/>
      <c r="AQ10" s="963"/>
      <c r="AR10" s="963"/>
      <c r="AS10" s="963"/>
      <c r="AT10" s="963"/>
      <c r="AU10" s="963"/>
      <c r="AV10" s="963"/>
      <c r="AW10" s="963"/>
      <c r="AX10" s="963"/>
      <c r="AY10" s="963"/>
      <c r="AZ10" s="963"/>
      <c r="BA10" s="963"/>
      <c r="BB10" s="963"/>
      <c r="BC10" s="963"/>
      <c r="BD10" s="963"/>
      <c r="BE10" s="963"/>
      <c r="BF10" s="963"/>
      <c r="BG10" s="963"/>
      <c r="BH10" s="963"/>
      <c r="BI10" s="963"/>
      <c r="BJ10" s="963"/>
      <c r="BK10" s="963"/>
      <c r="BL10" s="963"/>
      <c r="BM10" s="963"/>
      <c r="BN10" s="963"/>
      <c r="BO10" s="963"/>
      <c r="BP10" s="963"/>
      <c r="BQ10" s="963"/>
      <c r="BR10" s="963"/>
      <c r="BS10" s="963"/>
      <c r="BT10" s="963"/>
      <c r="BU10" s="963"/>
      <c r="BV10" s="963"/>
      <c r="BW10" s="963"/>
      <c r="BX10" s="963"/>
      <c r="BY10" s="963"/>
      <c r="BZ10" s="963"/>
      <c r="CA10" s="963"/>
      <c r="CB10" s="963"/>
      <c r="CC10" s="963"/>
      <c r="CD10" s="963"/>
      <c r="CE10" s="963"/>
      <c r="CF10" s="963"/>
      <c r="CG10" s="963"/>
      <c r="CH10" s="963"/>
      <c r="CI10" s="963"/>
      <c r="CJ10" s="963"/>
      <c r="CK10" s="963"/>
      <c r="CL10" s="963"/>
      <c r="CM10" s="963"/>
      <c r="CN10" s="963"/>
      <c r="CO10" s="963"/>
      <c r="CP10" s="963"/>
      <c r="CQ10" s="963"/>
      <c r="CR10" s="963"/>
      <c r="CS10" s="963"/>
      <c r="CT10" s="963"/>
      <c r="CU10" s="963"/>
      <c r="CV10" s="963"/>
      <c r="CW10" s="963"/>
      <c r="CX10" s="963"/>
      <c r="CY10" s="963"/>
      <c r="CZ10" s="963"/>
      <c r="DA10" s="963"/>
      <c r="DB10" s="963"/>
      <c r="DC10" s="963"/>
      <c r="DD10" s="963"/>
      <c r="DE10" s="963"/>
      <c r="DF10" s="963"/>
      <c r="DG10" s="963"/>
      <c r="DH10" s="963"/>
      <c r="DI10" s="963"/>
      <c r="DJ10" s="963"/>
      <c r="DK10" s="963"/>
      <c r="DL10" s="963"/>
      <c r="DM10" s="963"/>
      <c r="DN10" s="963"/>
      <c r="DO10" s="963"/>
      <c r="DP10" s="963"/>
      <c r="DQ10" s="963"/>
      <c r="DR10" s="963"/>
      <c r="DS10" s="963"/>
      <c r="DT10" s="963"/>
      <c r="DU10" s="963"/>
      <c r="DV10" s="963"/>
      <c r="DW10" s="963"/>
      <c r="DX10" s="963"/>
      <c r="DY10" s="963"/>
      <c r="DZ10" s="963"/>
      <c r="EA10" s="963"/>
      <c r="EB10" s="963"/>
      <c r="EC10" s="963"/>
      <c r="ED10" s="963"/>
      <c r="EE10" s="963"/>
      <c r="EF10" s="963"/>
      <c r="EG10" s="963"/>
      <c r="EH10" s="963"/>
      <c r="EI10" s="963"/>
      <c r="EJ10" s="963"/>
      <c r="EK10" s="963"/>
      <c r="EL10" s="963"/>
      <c r="EM10" s="963"/>
      <c r="EN10" s="963"/>
      <c r="EO10" s="963"/>
      <c r="EP10" s="963"/>
      <c r="EQ10" s="963"/>
      <c r="ER10" s="963"/>
      <c r="ES10" s="963"/>
      <c r="ET10" s="963"/>
      <c r="EU10" s="963"/>
      <c r="EV10" s="963"/>
      <c r="EW10" s="963"/>
      <c r="EX10" s="963"/>
      <c r="EY10" s="963"/>
      <c r="EZ10" s="963"/>
      <c r="FA10" s="963"/>
      <c r="FB10" s="963"/>
      <c r="FC10" s="963"/>
      <c r="FD10" s="963"/>
      <c r="FE10" s="963"/>
      <c r="FF10" s="963"/>
      <c r="FG10" s="963"/>
      <c r="FH10" s="963"/>
      <c r="FI10" s="963"/>
      <c r="FJ10" s="963"/>
      <c r="FK10" s="963"/>
      <c r="FL10" s="963"/>
      <c r="FM10" s="963"/>
      <c r="FN10" s="963"/>
      <c r="FO10" s="963"/>
      <c r="FP10" s="963"/>
      <c r="FQ10" s="963"/>
      <c r="FR10" s="963"/>
      <c r="FS10" s="963"/>
      <c r="FT10" s="963"/>
      <c r="FU10" s="963"/>
      <c r="FV10" s="963"/>
    </row>
    <row r="11" spans="2:178" s="32" customFormat="1" ht="9.75" customHeight="1" thickBot="1"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883"/>
      <c r="V11" s="883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/>
      <c r="AM11" s="670"/>
      <c r="AN11" s="670"/>
      <c r="AO11" s="670"/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0"/>
      <c r="BF11" s="670"/>
      <c r="BG11" s="670"/>
      <c r="BH11" s="670"/>
      <c r="BI11" s="670"/>
      <c r="BJ11" s="670"/>
      <c r="BK11" s="670"/>
      <c r="BL11" s="670"/>
      <c r="BM11" s="670"/>
      <c r="BN11" s="670"/>
      <c r="BO11" s="670"/>
      <c r="BP11" s="670"/>
      <c r="BQ11" s="670"/>
      <c r="BR11" s="670"/>
      <c r="BS11" s="670"/>
      <c r="BT11" s="670"/>
      <c r="BU11" s="670"/>
      <c r="BV11" s="670"/>
      <c r="BW11" s="670"/>
      <c r="BX11" s="670"/>
      <c r="BY11" s="670"/>
      <c r="BZ11" s="670"/>
      <c r="CA11" s="670"/>
      <c r="CB11" s="670"/>
      <c r="CC11" s="670"/>
      <c r="CD11" s="670"/>
      <c r="CE11" s="670"/>
      <c r="CF11" s="670"/>
      <c r="CG11" s="670"/>
      <c r="CH11" s="670"/>
      <c r="CI11" s="670"/>
      <c r="CJ11" s="670"/>
      <c r="CK11" s="670"/>
      <c r="CL11" s="670"/>
      <c r="CM11" s="670"/>
      <c r="CN11" s="670"/>
      <c r="CO11" s="670"/>
      <c r="CP11" s="670"/>
      <c r="CQ11" s="670"/>
      <c r="CR11" s="670"/>
      <c r="CS11" s="670"/>
      <c r="CT11" s="670"/>
      <c r="CU11" s="670"/>
      <c r="CV11" s="670"/>
      <c r="CW11" s="670"/>
      <c r="CX11" s="670"/>
      <c r="CY11" s="670"/>
      <c r="CZ11" s="670"/>
      <c r="DA11" s="670"/>
      <c r="DB11" s="670"/>
      <c r="DC11" s="670"/>
      <c r="DD11" s="670"/>
      <c r="DE11" s="670"/>
      <c r="DF11" s="670"/>
      <c r="DG11" s="670"/>
      <c r="DH11" s="670"/>
      <c r="DI11" s="670"/>
      <c r="DJ11" s="670"/>
      <c r="DK11" s="670"/>
      <c r="DL11" s="670"/>
      <c r="DM11" s="670"/>
      <c r="DN11" s="670"/>
      <c r="DO11" s="670"/>
      <c r="DP11" s="670"/>
      <c r="DQ11" s="670"/>
      <c r="DR11" s="670"/>
      <c r="DS11" s="670"/>
      <c r="DT11" s="670"/>
      <c r="DU11" s="670"/>
      <c r="DV11" s="670"/>
      <c r="DW11" s="670"/>
      <c r="DX11" s="670"/>
      <c r="DY11" s="670"/>
      <c r="DZ11" s="670"/>
      <c r="EA11" s="670"/>
      <c r="EB11" s="670"/>
      <c r="EC11" s="670"/>
      <c r="ED11" s="670"/>
      <c r="EE11" s="670"/>
      <c r="EF11" s="670"/>
      <c r="EG11" s="670"/>
      <c r="EH11" s="670"/>
      <c r="EI11" s="670"/>
      <c r="EJ11" s="670"/>
      <c r="EK11" s="670"/>
      <c r="EL11" s="670"/>
      <c r="EM11" s="670"/>
      <c r="EN11" s="670"/>
      <c r="EO11" s="670"/>
      <c r="EP11" s="670"/>
      <c r="EQ11" s="670"/>
      <c r="ER11" s="670"/>
      <c r="ES11" s="670"/>
      <c r="ET11" s="670"/>
      <c r="EU11" s="670"/>
      <c r="EV11" s="670"/>
      <c r="EW11" s="670"/>
      <c r="EX11" s="670"/>
      <c r="EY11" s="670"/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0"/>
      <c r="FL11" s="670"/>
      <c r="FM11" s="670"/>
      <c r="FN11" s="670"/>
      <c r="FO11" s="670"/>
      <c r="FP11" s="670"/>
      <c r="FQ11" s="670"/>
      <c r="FR11" s="670"/>
      <c r="FS11" s="670"/>
      <c r="FT11" s="670"/>
      <c r="FU11" s="670"/>
      <c r="FV11" s="670"/>
    </row>
    <row r="12" spans="2:177" s="32" customFormat="1" ht="9.75" customHeight="1" thickTop="1"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9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70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0"/>
      <c r="DO12" s="670"/>
      <c r="DP12" s="670"/>
      <c r="DQ12" s="670"/>
      <c r="DR12" s="670"/>
      <c r="DS12" s="670"/>
      <c r="DT12" s="670"/>
      <c r="DU12" s="670"/>
      <c r="DV12" s="670"/>
      <c r="DW12" s="670"/>
      <c r="DX12" s="670"/>
      <c r="DY12" s="670"/>
      <c r="DZ12" s="670"/>
      <c r="EA12" s="670"/>
      <c r="EB12" s="670"/>
      <c r="EC12" s="670"/>
      <c r="ED12" s="670"/>
      <c r="EE12" s="670"/>
      <c r="EF12" s="670"/>
      <c r="EG12" s="670"/>
      <c r="EH12" s="670"/>
      <c r="EI12" s="670"/>
      <c r="EJ12" s="670"/>
      <c r="EK12" s="670"/>
      <c r="EL12" s="670"/>
      <c r="EM12" s="670"/>
      <c r="EN12" s="670"/>
      <c r="EO12" s="670"/>
      <c r="EP12" s="670"/>
      <c r="EQ12" s="670"/>
      <c r="ER12" s="670"/>
      <c r="ES12" s="670"/>
      <c r="ET12" s="670"/>
      <c r="EU12" s="670"/>
      <c r="EV12" s="670"/>
      <c r="EW12" s="670"/>
      <c r="EX12" s="670"/>
      <c r="EY12" s="670"/>
      <c r="EZ12" s="670"/>
      <c r="FA12" s="670"/>
      <c r="FB12" s="670"/>
      <c r="FC12" s="670"/>
      <c r="FD12" s="670"/>
      <c r="FE12" s="670"/>
      <c r="FF12" s="670"/>
      <c r="FG12" s="670"/>
      <c r="FH12" s="670"/>
      <c r="FI12" s="670"/>
      <c r="FJ12" s="670"/>
      <c r="FK12" s="670"/>
      <c r="FL12" s="670"/>
      <c r="FM12" s="670"/>
      <c r="FN12" s="670"/>
      <c r="FO12" s="670"/>
      <c r="FP12" s="670"/>
      <c r="FQ12" s="670"/>
      <c r="FR12" s="670"/>
      <c r="FS12" s="670"/>
      <c r="FT12" s="670"/>
      <c r="FU12" s="670"/>
    </row>
    <row r="13" spans="2:177" s="32" customFormat="1" ht="19.5">
      <c r="B13" s="37" t="s">
        <v>285</v>
      </c>
      <c r="C13" s="970"/>
      <c r="D13" s="970"/>
      <c r="E13" s="970"/>
      <c r="F13" s="970"/>
      <c r="G13" s="970"/>
      <c r="H13" s="970"/>
      <c r="I13" s="970"/>
      <c r="J13" s="970"/>
      <c r="K13" s="970"/>
      <c r="L13" s="970"/>
      <c r="M13" s="970"/>
      <c r="N13" s="970"/>
      <c r="O13" s="970"/>
      <c r="P13" s="970"/>
      <c r="Q13" s="970"/>
      <c r="R13" s="970"/>
      <c r="S13" s="970"/>
      <c r="T13" s="970"/>
      <c r="U13" s="971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  <c r="BS13" s="670"/>
      <c r="BT13" s="670"/>
      <c r="BU13" s="670"/>
      <c r="BV13" s="670"/>
      <c r="BW13" s="670"/>
      <c r="BX13" s="670"/>
      <c r="BY13" s="670"/>
      <c r="BZ13" s="670"/>
      <c r="CA13" s="670"/>
      <c r="CB13" s="670"/>
      <c r="CC13" s="670"/>
      <c r="CD13" s="670"/>
      <c r="CE13" s="670"/>
      <c r="CF13" s="670"/>
      <c r="CG13" s="670"/>
      <c r="CH13" s="670"/>
      <c r="CI13" s="670"/>
      <c r="CJ13" s="670"/>
      <c r="CK13" s="670"/>
      <c r="CL13" s="670"/>
      <c r="CM13" s="670"/>
      <c r="CN13" s="670"/>
      <c r="CO13" s="670"/>
      <c r="CP13" s="670"/>
      <c r="CQ13" s="670"/>
      <c r="CR13" s="670"/>
      <c r="CS13" s="670"/>
      <c r="CT13" s="670"/>
      <c r="CU13" s="670"/>
      <c r="CV13" s="670"/>
      <c r="CW13" s="670"/>
      <c r="CX13" s="670"/>
      <c r="CY13" s="670"/>
      <c r="CZ13" s="670"/>
      <c r="DA13" s="670"/>
      <c r="DB13" s="670"/>
      <c r="DC13" s="670"/>
      <c r="DD13" s="670"/>
      <c r="DE13" s="670"/>
      <c r="DF13" s="670"/>
      <c r="DG13" s="670"/>
      <c r="DH13" s="670"/>
      <c r="DI13" s="670"/>
      <c r="DJ13" s="670"/>
      <c r="DK13" s="670"/>
      <c r="DL13" s="670"/>
      <c r="DM13" s="670"/>
      <c r="DN13" s="670"/>
      <c r="DO13" s="670"/>
      <c r="DP13" s="670"/>
      <c r="DQ13" s="670"/>
      <c r="DR13" s="670"/>
      <c r="DS13" s="670"/>
      <c r="DT13" s="670"/>
      <c r="DU13" s="670"/>
      <c r="DV13" s="670"/>
      <c r="DW13" s="670"/>
      <c r="DX13" s="670"/>
      <c r="DY13" s="670"/>
      <c r="DZ13" s="670"/>
      <c r="EA13" s="670"/>
      <c r="EB13" s="670"/>
      <c r="EC13" s="670"/>
      <c r="ED13" s="670"/>
      <c r="EE13" s="670"/>
      <c r="EF13" s="670"/>
      <c r="EG13" s="670"/>
      <c r="EH13" s="670"/>
      <c r="EI13" s="670"/>
      <c r="EJ13" s="670"/>
      <c r="EK13" s="670"/>
      <c r="EL13" s="670"/>
      <c r="EM13" s="670"/>
      <c r="EN13" s="670"/>
      <c r="EO13" s="670"/>
      <c r="EP13" s="670"/>
      <c r="EQ13" s="670"/>
      <c r="ER13" s="670"/>
      <c r="ES13" s="670"/>
      <c r="ET13" s="670"/>
      <c r="EU13" s="670"/>
      <c r="EV13" s="670"/>
      <c r="EW13" s="670"/>
      <c r="EX13" s="670"/>
      <c r="EY13" s="670"/>
      <c r="EZ13" s="670"/>
      <c r="FA13" s="670"/>
      <c r="FB13" s="670"/>
      <c r="FC13" s="670"/>
      <c r="FD13" s="670"/>
      <c r="FE13" s="670"/>
      <c r="FF13" s="670"/>
      <c r="FG13" s="670"/>
      <c r="FH13" s="670"/>
      <c r="FI13" s="670"/>
      <c r="FJ13" s="670"/>
      <c r="FK13" s="670"/>
      <c r="FL13" s="670"/>
      <c r="FM13" s="670"/>
      <c r="FN13" s="670"/>
      <c r="FO13" s="670"/>
      <c r="FP13" s="670"/>
      <c r="FQ13" s="670"/>
      <c r="FR13" s="670"/>
      <c r="FS13" s="670"/>
      <c r="FT13" s="670"/>
      <c r="FU13" s="670"/>
    </row>
    <row r="14" spans="2:21" s="32" customFormat="1" ht="9.75" customHeight="1" thickBot="1">
      <c r="B14" s="46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72"/>
    </row>
    <row r="15" spans="2:21" s="973" customFormat="1" ht="33.75" customHeight="1" thickBot="1" thickTop="1">
      <c r="B15" s="974"/>
      <c r="C15" s="84"/>
      <c r="D15" s="84" t="s">
        <v>0</v>
      </c>
      <c r="E15" s="132" t="s">
        <v>14</v>
      </c>
      <c r="F15" s="132" t="s">
        <v>15</v>
      </c>
      <c r="G15" s="975" t="s">
        <v>286</v>
      </c>
      <c r="H15" s="975">
        <v>39814</v>
      </c>
      <c r="I15" s="975">
        <v>39845</v>
      </c>
      <c r="J15" s="975">
        <v>39873</v>
      </c>
      <c r="K15" s="975">
        <v>39904</v>
      </c>
      <c r="L15" s="975">
        <v>39934</v>
      </c>
      <c r="M15" s="975">
        <v>39965</v>
      </c>
      <c r="N15" s="975">
        <v>39995</v>
      </c>
      <c r="O15" s="975">
        <v>40026</v>
      </c>
      <c r="P15" s="975">
        <v>40057</v>
      </c>
      <c r="Q15" s="975">
        <v>40087</v>
      </c>
      <c r="R15" s="975">
        <v>40118</v>
      </c>
      <c r="S15" s="975">
        <v>40148</v>
      </c>
      <c r="T15" s="975">
        <v>40179</v>
      </c>
      <c r="U15" s="976"/>
    </row>
    <row r="16" spans="2:21" s="977" customFormat="1" ht="9.75" customHeight="1" thickTop="1">
      <c r="B16" s="978"/>
      <c r="C16" s="979"/>
      <c r="D16" s="980"/>
      <c r="E16" s="980"/>
      <c r="F16" s="980"/>
      <c r="G16" s="980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982"/>
      <c r="U16" s="983"/>
    </row>
    <row r="17" spans="2:21" s="977" customFormat="1" ht="19.5" customHeight="1">
      <c r="B17" s="978"/>
      <c r="C17" s="984">
        <f>IF('[1]BASE'!C17=0,"",'[1]BASE'!C17)</f>
        <v>1</v>
      </c>
      <c r="D17" s="984" t="str">
        <f>IF('[1]BASE'!D17=0,"",'[1]BASE'!D17)</f>
        <v>ABASTO - OLAVARRIA 1</v>
      </c>
      <c r="E17" s="984">
        <f>IF('[1]BASE'!E17=0,"",'[1]BASE'!E17)</f>
        <v>500</v>
      </c>
      <c r="F17" s="984">
        <f>IF('[1]BASE'!F17=0,"",'[1]BASE'!F17)</f>
        <v>291</v>
      </c>
      <c r="G17" s="985" t="str">
        <f>IF('[1]BASE'!G17=0,"",'[1]BASE'!G17)</f>
        <v>B</v>
      </c>
      <c r="H17" s="986">
        <f>IF('[1]BASE'!GG17=0,"",'[1]BASE'!GG17)</f>
      </c>
      <c r="I17" s="986">
        <f>IF('[1]BASE'!GH17=0,"",'[1]BASE'!GH17)</f>
      </c>
      <c r="J17" s="986">
        <f>IF('[1]BASE'!GI17=0,"",'[1]BASE'!GI17)</f>
      </c>
      <c r="K17" s="986">
        <f>IF('[1]BASE'!GJ17=0,"",'[1]BASE'!GJ17)</f>
      </c>
      <c r="L17" s="986">
        <f>IF('[1]BASE'!GK17=0,"",'[1]BASE'!GK17)</f>
      </c>
      <c r="M17" s="986">
        <f>IF('[1]BASE'!GL17=0,"",'[1]BASE'!GL17)</f>
      </c>
      <c r="N17" s="986">
        <f>IF('[1]BASE'!GM17=0,"",'[1]BASE'!GM17)</f>
      </c>
      <c r="O17" s="986">
        <f>IF('[1]BASE'!GN17=0,"",'[1]BASE'!GN17)</f>
      </c>
      <c r="P17" s="986">
        <f>IF('[1]BASE'!GO17=0,"",'[1]BASE'!GO17)</f>
      </c>
      <c r="Q17" s="986">
        <f>IF('[1]BASE'!GP17=0,"",'[1]BASE'!GP17)</f>
      </c>
      <c r="R17" s="986">
        <f>IF('[1]BASE'!GQ17=0,"",'[1]BASE'!GQ17)</f>
      </c>
      <c r="S17" s="986">
        <f>IF('[1]BASE'!GR17=0,"",'[1]BASE'!GR17)</f>
      </c>
      <c r="T17" s="987"/>
      <c r="U17" s="983"/>
    </row>
    <row r="18" spans="2:21" s="977" customFormat="1" ht="19.5" customHeight="1">
      <c r="B18" s="978"/>
      <c r="C18" s="988">
        <f>IF('[1]BASE'!C18=0,"",'[1]BASE'!C18)</f>
        <v>2</v>
      </c>
      <c r="D18" s="988" t="str">
        <f>IF('[1]BASE'!D18=0,"",'[1]BASE'!D18)</f>
        <v>ABASTO - OLAVARRIA 2</v>
      </c>
      <c r="E18" s="988">
        <f>IF('[1]BASE'!E18=0,"",'[1]BASE'!E18)</f>
        <v>500</v>
      </c>
      <c r="F18" s="988">
        <f>IF('[1]BASE'!F18=0,"",'[1]BASE'!F18)</f>
        <v>301.9</v>
      </c>
      <c r="G18" s="989">
        <f>IF('[1]BASE'!G18=0,"",'[1]BASE'!G18)</f>
      </c>
      <c r="H18" s="986">
        <f>IF('[1]BASE'!GG18=0,"",'[1]BASE'!GG18)</f>
      </c>
      <c r="I18" s="986">
        <f>IF('[1]BASE'!GH18=0,"",'[1]BASE'!GH18)</f>
      </c>
      <c r="J18" s="986">
        <f>IF('[1]BASE'!GI18=0,"",'[1]BASE'!GI18)</f>
      </c>
      <c r="K18" s="986">
        <f>IF('[1]BASE'!GJ18=0,"",'[1]BASE'!GJ18)</f>
      </c>
      <c r="L18" s="986">
        <f>IF('[1]BASE'!GK18=0,"",'[1]BASE'!GK18)</f>
      </c>
      <c r="M18" s="986">
        <f>IF('[1]BASE'!GL18=0,"",'[1]BASE'!GL18)</f>
      </c>
      <c r="N18" s="986">
        <f>IF('[1]BASE'!GM18=0,"",'[1]BASE'!GM18)</f>
      </c>
      <c r="O18" s="986">
        <f>IF('[1]BASE'!GN18=0,"",'[1]BASE'!GN18)</f>
      </c>
      <c r="P18" s="986">
        <f>IF('[1]BASE'!GO18=0,"",'[1]BASE'!GO18)</f>
      </c>
      <c r="Q18" s="986">
        <f>IF('[1]BASE'!GP18=0,"",'[1]BASE'!GP18)</f>
      </c>
      <c r="R18" s="986">
        <f>IF('[1]BASE'!GQ18=0,"",'[1]BASE'!GQ18)</f>
      </c>
      <c r="S18" s="986">
        <f>IF('[1]BASE'!GR18=0,"",'[1]BASE'!GR18)</f>
      </c>
      <c r="T18" s="987"/>
      <c r="U18" s="983"/>
    </row>
    <row r="19" spans="2:21" s="977" customFormat="1" ht="19.5" customHeight="1">
      <c r="B19" s="978"/>
      <c r="C19" s="990">
        <f>IF('[1]BASE'!C19=0,"",'[1]BASE'!C19)</f>
        <v>3</v>
      </c>
      <c r="D19" s="990" t="str">
        <f>IF('[1]BASE'!D19=0,"",'[1]BASE'!D19)</f>
        <v>AGUA DEL CAJON - CHOCON OESTE</v>
      </c>
      <c r="E19" s="990">
        <f>IF('[1]BASE'!E19=0,"",'[1]BASE'!E19)</f>
        <v>500</v>
      </c>
      <c r="F19" s="990">
        <f>IF('[1]BASE'!F19=0,"",'[1]BASE'!F19)</f>
        <v>52</v>
      </c>
      <c r="G19" s="991">
        <f>IF('[1]BASE'!G19=0,"",'[1]BASE'!G19)</f>
      </c>
      <c r="H19" s="986">
        <f>IF('[1]BASE'!GG19=0,"",'[1]BASE'!GG19)</f>
      </c>
      <c r="I19" s="986">
        <f>IF('[1]BASE'!GH19=0,"",'[1]BASE'!GH19)</f>
      </c>
      <c r="J19" s="986">
        <f>IF('[1]BASE'!GI19=0,"",'[1]BASE'!GI19)</f>
      </c>
      <c r="K19" s="986">
        <f>IF('[1]BASE'!GJ19=0,"",'[1]BASE'!GJ19)</f>
      </c>
      <c r="L19" s="986">
        <f>IF('[1]BASE'!GK19=0,"",'[1]BASE'!GK19)</f>
      </c>
      <c r="M19" s="986">
        <f>IF('[1]BASE'!GL19=0,"",'[1]BASE'!GL19)</f>
      </c>
      <c r="N19" s="986">
        <f>IF('[1]BASE'!GM19=0,"",'[1]BASE'!GM19)</f>
      </c>
      <c r="O19" s="986">
        <f>IF('[1]BASE'!GN19=0,"",'[1]BASE'!GN19)</f>
      </c>
      <c r="P19" s="986">
        <f>IF('[1]BASE'!GO19=0,"",'[1]BASE'!GO19)</f>
      </c>
      <c r="Q19" s="986">
        <f>IF('[1]BASE'!GP19=0,"",'[1]BASE'!GP19)</f>
      </c>
      <c r="R19" s="986">
        <f>IF('[1]BASE'!GQ19=0,"",'[1]BASE'!GQ19)</f>
      </c>
      <c r="S19" s="986">
        <f>IF('[1]BASE'!GR19=0,"",'[1]BASE'!GR19)</f>
      </c>
      <c r="T19" s="987"/>
      <c r="U19" s="983"/>
    </row>
    <row r="20" spans="2:21" s="977" customFormat="1" ht="19.5" customHeight="1">
      <c r="B20" s="978"/>
      <c r="C20" s="988">
        <f>IF('[1]BASE'!C20=0,"",'[1]BASE'!C20)</f>
        <v>4</v>
      </c>
      <c r="D20" s="988" t="str">
        <f>IF('[1]BASE'!D20=0,"",'[1]BASE'!D20)</f>
        <v>ALICURA - E.T. P.del A. 1 (5LG1)</v>
      </c>
      <c r="E20" s="988">
        <f>IF('[1]BASE'!E20=0,"",'[1]BASE'!E20)</f>
        <v>500</v>
      </c>
      <c r="F20" s="988">
        <f>IF('[1]BASE'!F20=0,"",'[1]BASE'!F20)</f>
        <v>76</v>
      </c>
      <c r="G20" s="989" t="str">
        <f>IF('[1]BASE'!G20=0,"",'[1]BASE'!G20)</f>
        <v>C</v>
      </c>
      <c r="H20" s="986">
        <f>IF('[1]BASE'!GG20=0,"",'[1]BASE'!GG20)</f>
      </c>
      <c r="I20" s="986">
        <f>IF('[1]BASE'!GH20=0,"",'[1]BASE'!GH20)</f>
      </c>
      <c r="J20" s="986">
        <f>IF('[1]BASE'!GI20=0,"",'[1]BASE'!GI20)</f>
      </c>
      <c r="K20" s="986">
        <f>IF('[1]BASE'!GJ20=0,"",'[1]BASE'!GJ20)</f>
      </c>
      <c r="L20" s="986">
        <f>IF('[1]BASE'!GK20=0,"",'[1]BASE'!GK20)</f>
      </c>
      <c r="M20" s="986">
        <f>IF('[1]BASE'!GL20=0,"",'[1]BASE'!GL20)</f>
      </c>
      <c r="N20" s="986">
        <f>IF('[1]BASE'!GM20=0,"",'[1]BASE'!GM20)</f>
      </c>
      <c r="O20" s="986">
        <f>IF('[1]BASE'!GN20=0,"",'[1]BASE'!GN20)</f>
      </c>
      <c r="P20" s="986">
        <f>IF('[1]BASE'!GO20=0,"",'[1]BASE'!GO20)</f>
      </c>
      <c r="Q20" s="986">
        <f>IF('[1]BASE'!GP20=0,"",'[1]BASE'!GP20)</f>
      </c>
      <c r="R20" s="986">
        <f>IF('[1]BASE'!GQ20=0,"",'[1]BASE'!GQ20)</f>
      </c>
      <c r="S20" s="986">
        <f>IF('[1]BASE'!GR20=0,"",'[1]BASE'!GR20)</f>
      </c>
      <c r="T20" s="987"/>
      <c r="U20" s="983"/>
    </row>
    <row r="21" spans="2:21" s="977" customFormat="1" ht="19.5" customHeight="1">
      <c r="B21" s="978"/>
      <c r="C21" s="990">
        <f>IF('[1]BASE'!C21=0,"",'[1]BASE'!C21)</f>
        <v>5</v>
      </c>
      <c r="D21" s="990" t="str">
        <f>IF('[1]BASE'!D21=0,"",'[1]BASE'!D21)</f>
        <v>ALICURA - E.T. P.del A. 2 (5LG2)</v>
      </c>
      <c r="E21" s="990">
        <f>IF('[1]BASE'!E21=0,"",'[1]BASE'!E21)</f>
        <v>500</v>
      </c>
      <c r="F21" s="990">
        <f>IF('[1]BASE'!F21=0,"",'[1]BASE'!F21)</f>
        <v>76</v>
      </c>
      <c r="G21" s="991" t="str">
        <f>IF('[1]BASE'!G21=0,"",'[1]BASE'!G21)</f>
        <v>C</v>
      </c>
      <c r="H21" s="986">
        <f>IF('[1]BASE'!GG21=0,"",'[1]BASE'!GG21)</f>
      </c>
      <c r="I21" s="986">
        <f>IF('[1]BASE'!GH21=0,"",'[1]BASE'!GH21)</f>
      </c>
      <c r="J21" s="986">
        <f>IF('[1]BASE'!GI21=0,"",'[1]BASE'!GI21)</f>
      </c>
      <c r="K21" s="986">
        <f>IF('[1]BASE'!GJ21=0,"",'[1]BASE'!GJ21)</f>
      </c>
      <c r="L21" s="986">
        <f>IF('[1]BASE'!GK21=0,"",'[1]BASE'!GK21)</f>
      </c>
      <c r="M21" s="986">
        <f>IF('[1]BASE'!GL21=0,"",'[1]BASE'!GL21)</f>
      </c>
      <c r="N21" s="986">
        <f>IF('[1]BASE'!GM21=0,"",'[1]BASE'!GM21)</f>
      </c>
      <c r="O21" s="986">
        <f>IF('[1]BASE'!GN21=0,"",'[1]BASE'!GN21)</f>
      </c>
      <c r="P21" s="986">
        <f>IF('[1]BASE'!GO21=0,"",'[1]BASE'!GO21)</f>
      </c>
      <c r="Q21" s="986">
        <f>IF('[1]BASE'!GP21=0,"",'[1]BASE'!GP21)</f>
      </c>
      <c r="R21" s="986">
        <f>IF('[1]BASE'!GQ21=0,"",'[1]BASE'!GQ21)</f>
      </c>
      <c r="S21" s="986">
        <f>IF('[1]BASE'!GR21=0,"",'[1]BASE'!GR21)</f>
      </c>
      <c r="T21" s="987"/>
      <c r="U21" s="983"/>
    </row>
    <row r="22" spans="2:21" s="977" customFormat="1" ht="19.5" customHeight="1">
      <c r="B22" s="978"/>
      <c r="C22" s="988">
        <f>IF('[1]BASE'!C22=0,"",'[1]BASE'!C22)</f>
        <v>6</v>
      </c>
      <c r="D22" s="988" t="str">
        <f>IF('[1]BASE'!D22=0,"",'[1]BASE'!D22)</f>
        <v>ALMAFUERTE - EMBALSE </v>
      </c>
      <c r="E22" s="988">
        <f>IF('[1]BASE'!E22=0,"",'[1]BASE'!E22)</f>
        <v>500</v>
      </c>
      <c r="F22" s="988">
        <f>IF('[1]BASE'!F22=0,"",'[1]BASE'!F22)</f>
        <v>12</v>
      </c>
      <c r="G22" s="989" t="str">
        <f>IF('[1]BASE'!G22=0,"",'[1]BASE'!G22)</f>
        <v>A</v>
      </c>
      <c r="H22" s="986">
        <f>IF('[1]BASE'!GG22=0,"",'[1]BASE'!GG22)</f>
      </c>
      <c r="I22" s="986">
        <f>IF('[1]BASE'!GH22=0,"",'[1]BASE'!GH22)</f>
      </c>
      <c r="J22" s="986">
        <f>IF('[1]BASE'!GI22=0,"",'[1]BASE'!GI22)</f>
      </c>
      <c r="K22" s="986">
        <f>IF('[1]BASE'!GJ22=0,"",'[1]BASE'!GJ22)</f>
      </c>
      <c r="L22" s="986">
        <f>IF('[1]BASE'!GK22=0,"",'[1]BASE'!GK22)</f>
      </c>
      <c r="M22" s="986">
        <f>IF('[1]BASE'!GL22=0,"",'[1]BASE'!GL22)</f>
      </c>
      <c r="N22" s="986">
        <f>IF('[1]BASE'!GM22=0,"",'[1]BASE'!GM22)</f>
      </c>
      <c r="O22" s="986">
        <f>IF('[1]BASE'!GN22=0,"",'[1]BASE'!GN22)</f>
      </c>
      <c r="P22" s="986">
        <f>IF('[1]BASE'!GO22=0,"",'[1]BASE'!GO22)</f>
      </c>
      <c r="Q22" s="986">
        <f>IF('[1]BASE'!GP22=0,"",'[1]BASE'!GP22)</f>
      </c>
      <c r="R22" s="986">
        <f>IF('[1]BASE'!GQ22=0,"",'[1]BASE'!GQ22)</f>
      </c>
      <c r="S22" s="986">
        <f>IF('[1]BASE'!GR22=0,"",'[1]BASE'!GR22)</f>
      </c>
      <c r="T22" s="987"/>
      <c r="U22" s="983"/>
    </row>
    <row r="23" spans="2:21" s="977" customFormat="1" ht="19.5" customHeight="1">
      <c r="B23" s="978"/>
      <c r="C23" s="990">
        <f>IF('[1]BASE'!C23=0,"",'[1]BASE'!C23)</f>
        <v>7</v>
      </c>
      <c r="D23" s="990" t="str">
        <f>IF('[1]BASE'!D23=0,"",'[1]BASE'!D23)</f>
        <v> ALMAFUERTE - ROSARIO OESTE</v>
      </c>
      <c r="E23" s="990">
        <f>IF('[1]BASE'!E23=0,"",'[1]BASE'!E23)</f>
        <v>500</v>
      </c>
      <c r="F23" s="990">
        <f>IF('[1]BASE'!F23=0,"",'[1]BASE'!F23)</f>
        <v>345</v>
      </c>
      <c r="G23" s="991" t="str">
        <f>IF('[1]BASE'!G23=0,"",'[1]BASE'!G23)</f>
        <v>B</v>
      </c>
      <c r="H23" s="986">
        <f>IF('[1]BASE'!GG23=0,"",'[1]BASE'!GG23)</f>
      </c>
      <c r="I23" s="986">
        <f>IF('[1]BASE'!GH23=0,"",'[1]BASE'!GH23)</f>
      </c>
      <c r="J23" s="986">
        <f>IF('[1]BASE'!GI23=0,"",'[1]BASE'!GI23)</f>
      </c>
      <c r="K23" s="986">
        <f>IF('[1]BASE'!GJ23=0,"",'[1]BASE'!GJ23)</f>
      </c>
      <c r="L23" s="986">
        <f>IF('[1]BASE'!GK23=0,"",'[1]BASE'!GK23)</f>
      </c>
      <c r="M23" s="986">
        <f>IF('[1]BASE'!GL23=0,"",'[1]BASE'!GL23)</f>
      </c>
      <c r="N23" s="986">
        <f>IF('[1]BASE'!GM23=0,"",'[1]BASE'!GM23)</f>
      </c>
      <c r="O23" s="986">
        <f>IF('[1]BASE'!GN23=0,"",'[1]BASE'!GN23)</f>
      </c>
      <c r="P23" s="986">
        <f>IF('[1]BASE'!GO23=0,"",'[1]BASE'!GO23)</f>
      </c>
      <c r="Q23" s="986">
        <f>IF('[1]BASE'!GP23=0,"",'[1]BASE'!GP23)</f>
      </c>
      <c r="R23" s="986">
        <f>IF('[1]BASE'!GQ23=0,"",'[1]BASE'!GQ23)</f>
      </c>
      <c r="S23" s="986">
        <f>IF('[1]BASE'!GR23=0,"",'[1]BASE'!GR23)</f>
      </c>
      <c r="T23" s="987"/>
      <c r="U23" s="983"/>
    </row>
    <row r="24" spans="2:21" s="977" customFormat="1" ht="19.5" customHeight="1">
      <c r="B24" s="978"/>
      <c r="C24" s="988">
        <f>IF('[1]BASE'!C24=0,"",'[1]BASE'!C24)</f>
        <v>8</v>
      </c>
      <c r="D24" s="988" t="str">
        <f>IF('[1]BASE'!D24=0,"",'[1]BASE'!D24)</f>
        <v>BAHIA BLANCA - CHOELE CHOEL 1</v>
      </c>
      <c r="E24" s="988">
        <f>IF('[1]BASE'!E24=0,"",'[1]BASE'!E24)</f>
        <v>500</v>
      </c>
      <c r="F24" s="988">
        <f>IF('[1]BASE'!F24=0,"",'[1]BASE'!F24)</f>
        <v>346</v>
      </c>
      <c r="G24" s="989" t="str">
        <f>IF('[1]BASE'!G24=0,"",'[1]BASE'!G24)</f>
        <v>B</v>
      </c>
      <c r="H24" s="986">
        <f>IF('[1]BASE'!GG24=0,"",'[1]BASE'!GG24)</f>
      </c>
      <c r="I24" s="986">
        <f>IF('[1]BASE'!GH24=0,"",'[1]BASE'!GH24)</f>
      </c>
      <c r="J24" s="986">
        <f>IF('[1]BASE'!GI24=0,"",'[1]BASE'!GI24)</f>
      </c>
      <c r="K24" s="986">
        <f>IF('[1]BASE'!GJ24=0,"",'[1]BASE'!GJ24)</f>
      </c>
      <c r="L24" s="986">
        <f>IF('[1]BASE'!GK24=0,"",'[1]BASE'!GK24)</f>
      </c>
      <c r="M24" s="986">
        <f>IF('[1]BASE'!GL24=0,"",'[1]BASE'!GL24)</f>
      </c>
      <c r="N24" s="986">
        <f>IF('[1]BASE'!GM24=0,"",'[1]BASE'!GM24)</f>
      </c>
      <c r="O24" s="986">
        <f>IF('[1]BASE'!GN24=0,"",'[1]BASE'!GN24)</f>
      </c>
      <c r="P24" s="986">
        <f>IF('[1]BASE'!GO24=0,"",'[1]BASE'!GO24)</f>
      </c>
      <c r="Q24" s="986">
        <f>IF('[1]BASE'!GP24=0,"",'[1]BASE'!GP24)</f>
      </c>
      <c r="R24" s="986">
        <f>IF('[1]BASE'!GQ24=0,"",'[1]BASE'!GQ24)</f>
      </c>
      <c r="S24" s="986">
        <f>IF('[1]BASE'!GR24=0,"",'[1]BASE'!GR24)</f>
      </c>
      <c r="T24" s="987"/>
      <c r="U24" s="983"/>
    </row>
    <row r="25" spans="2:21" s="977" customFormat="1" ht="19.5" customHeight="1">
      <c r="B25" s="978"/>
      <c r="C25" s="990">
        <f>IF('[1]BASE'!C25=0,"",'[1]BASE'!C25)</f>
        <v>9</v>
      </c>
      <c r="D25" s="990" t="str">
        <f>IF('[1]BASE'!D25=0,"",'[1]BASE'!D25)</f>
        <v>BAHIA BLANCA - CHOELE CHOEL 2</v>
      </c>
      <c r="E25" s="990">
        <f>IF('[1]BASE'!E25=0,"",'[1]BASE'!E25)</f>
        <v>500</v>
      </c>
      <c r="F25" s="990">
        <f>IF('[1]BASE'!F25=0,"",'[1]BASE'!F25)</f>
        <v>348.4</v>
      </c>
      <c r="G25" s="991">
        <f>IF('[1]BASE'!G25=0,"",'[1]BASE'!G25)</f>
      </c>
      <c r="H25" s="986">
        <f>IF('[1]BASE'!GG25=0,"",'[1]BASE'!GG25)</f>
      </c>
      <c r="I25" s="986">
        <f>IF('[1]BASE'!GH25=0,"",'[1]BASE'!GH25)</f>
      </c>
      <c r="J25" s="986">
        <f>IF('[1]BASE'!GI25=0,"",'[1]BASE'!GI25)</f>
      </c>
      <c r="K25" s="986">
        <f>IF('[1]BASE'!GJ25=0,"",'[1]BASE'!GJ25)</f>
      </c>
      <c r="L25" s="986">
        <f>IF('[1]BASE'!GK25=0,"",'[1]BASE'!GK25)</f>
      </c>
      <c r="M25" s="986">
        <f>IF('[1]BASE'!GL25=0,"",'[1]BASE'!GL25)</f>
      </c>
      <c r="N25" s="986">
        <f>IF('[1]BASE'!GM25=0,"",'[1]BASE'!GM25)</f>
      </c>
      <c r="O25" s="986">
        <f>IF('[1]BASE'!GN25=0,"",'[1]BASE'!GN25)</f>
      </c>
      <c r="P25" s="986">
        <f>IF('[1]BASE'!GO25=0,"",'[1]BASE'!GO25)</f>
      </c>
      <c r="Q25" s="986">
        <f>IF('[1]BASE'!GP25=0,"",'[1]BASE'!GP25)</f>
      </c>
      <c r="R25" s="986">
        <f>IF('[1]BASE'!GQ25=0,"",'[1]BASE'!GQ25)</f>
      </c>
      <c r="S25" s="986">
        <f>IF('[1]BASE'!GR25=0,"",'[1]BASE'!GR25)</f>
      </c>
      <c r="T25" s="987"/>
      <c r="U25" s="983"/>
    </row>
    <row r="26" spans="2:21" s="977" customFormat="1" ht="19.5" customHeight="1">
      <c r="B26" s="978"/>
      <c r="C26" s="988">
        <f>IF('[1]BASE'!C26=0,"",'[1]BASE'!C26)</f>
        <v>10</v>
      </c>
      <c r="D26" s="988" t="str">
        <f>IF('[1]BASE'!D26=0,"",'[1]BASE'!D26)</f>
        <v>CERR. de la CTA - P.BAND. (A3)</v>
      </c>
      <c r="E26" s="988">
        <f>IF('[1]BASE'!E26=0,"",'[1]BASE'!E26)</f>
        <v>500</v>
      </c>
      <c r="F26" s="988">
        <f>IF('[1]BASE'!F26=0,"",'[1]BASE'!F26)</f>
        <v>27</v>
      </c>
      <c r="G26" s="989" t="str">
        <f>IF('[1]BASE'!G26=0,"",'[1]BASE'!G26)</f>
        <v>C</v>
      </c>
      <c r="H26" s="986">
        <f>IF('[1]BASE'!GG26=0,"",'[1]BASE'!GG26)</f>
      </c>
      <c r="I26" s="986">
        <f>IF('[1]BASE'!GH26=0,"",'[1]BASE'!GH26)</f>
      </c>
      <c r="J26" s="986">
        <f>IF('[1]BASE'!GI26=0,"",'[1]BASE'!GI26)</f>
        <v>1</v>
      </c>
      <c r="K26" s="986">
        <f>IF('[1]BASE'!GJ26=0,"",'[1]BASE'!GJ26)</f>
      </c>
      <c r="L26" s="986">
        <f>IF('[1]BASE'!GK26=0,"",'[1]BASE'!GK26)</f>
      </c>
      <c r="M26" s="986">
        <f>IF('[1]BASE'!GL26=0,"",'[1]BASE'!GL26)</f>
      </c>
      <c r="N26" s="986">
        <f>IF('[1]BASE'!GM26=0,"",'[1]BASE'!GM26)</f>
      </c>
      <c r="O26" s="986">
        <f>IF('[1]BASE'!GN26=0,"",'[1]BASE'!GN26)</f>
      </c>
      <c r="P26" s="986">
        <f>IF('[1]BASE'!GO26=0,"",'[1]BASE'!GO26)</f>
      </c>
      <c r="Q26" s="986">
        <f>IF('[1]BASE'!GP26=0,"",'[1]BASE'!GP26)</f>
      </c>
      <c r="R26" s="986">
        <f>IF('[1]BASE'!GQ26=0,"",'[1]BASE'!GQ26)</f>
        <v>1</v>
      </c>
      <c r="S26" s="986">
        <f>IF('[1]BASE'!GR26=0,"",'[1]BASE'!GR26)</f>
      </c>
      <c r="T26" s="987"/>
      <c r="U26" s="983"/>
    </row>
    <row r="27" spans="2:21" s="977" customFormat="1" ht="19.5" customHeight="1">
      <c r="B27" s="978"/>
      <c r="C27" s="990">
        <f>IF('[1]BASE'!C27=0,"",'[1]BASE'!C27)</f>
        <v>11</v>
      </c>
      <c r="D27" s="990" t="str">
        <f>IF('[1]BASE'!D27=0,"",'[1]BASE'!D27)</f>
        <v>COLONIA ELIA - CAMPANA</v>
      </c>
      <c r="E27" s="990">
        <f>IF('[1]BASE'!E27=0,"",'[1]BASE'!E27)</f>
        <v>500</v>
      </c>
      <c r="F27" s="990">
        <f>IF('[1]BASE'!F27=0,"",'[1]BASE'!F27)</f>
        <v>194</v>
      </c>
      <c r="G27" s="991" t="str">
        <f>IF('[1]BASE'!G27=0,"",'[1]BASE'!G27)</f>
        <v>C</v>
      </c>
      <c r="H27" s="986">
        <f>IF('[1]BASE'!GG27=0,"",'[1]BASE'!GG27)</f>
      </c>
      <c r="I27" s="986">
        <f>IF('[1]BASE'!GH27=0,"",'[1]BASE'!GH27)</f>
      </c>
      <c r="J27" s="986">
        <f>IF('[1]BASE'!GI27=0,"",'[1]BASE'!GI27)</f>
      </c>
      <c r="K27" s="986">
        <f>IF('[1]BASE'!GJ27=0,"",'[1]BASE'!GJ27)</f>
      </c>
      <c r="L27" s="986">
        <f>IF('[1]BASE'!GK27=0,"",'[1]BASE'!GK27)</f>
      </c>
      <c r="M27" s="986">
        <f>IF('[1]BASE'!GL27=0,"",'[1]BASE'!GL27)</f>
      </c>
      <c r="N27" s="986">
        <f>IF('[1]BASE'!GM27=0,"",'[1]BASE'!GM27)</f>
      </c>
      <c r="O27" s="986">
        <f>IF('[1]BASE'!GN27=0,"",'[1]BASE'!GN27)</f>
      </c>
      <c r="P27" s="986">
        <f>IF('[1]BASE'!GO27=0,"",'[1]BASE'!GO27)</f>
      </c>
      <c r="Q27" s="986">
        <f>IF('[1]BASE'!GP27=0,"",'[1]BASE'!GP27)</f>
      </c>
      <c r="R27" s="986">
        <f>IF('[1]BASE'!GQ27=0,"",'[1]BASE'!GQ27)</f>
      </c>
      <c r="S27" s="986">
        <f>IF('[1]BASE'!GR27=0,"",'[1]BASE'!GR27)</f>
      </c>
      <c r="T27" s="987"/>
      <c r="U27" s="983"/>
    </row>
    <row r="28" spans="2:21" s="977" customFormat="1" ht="19.5" customHeight="1">
      <c r="B28" s="978"/>
      <c r="C28" s="988">
        <f>IF('[1]BASE'!C28=0,"",'[1]BASE'!C28)</f>
        <v>12</v>
      </c>
      <c r="D28" s="988" t="str">
        <f>IF('[1]BASE'!D28=0,"",'[1]BASE'!D28)</f>
        <v>CHO. W. - CHOELE CHOEL (5WH1)</v>
      </c>
      <c r="E28" s="988">
        <f>IF('[1]BASE'!E28=0,"",'[1]BASE'!E28)</f>
        <v>500</v>
      </c>
      <c r="F28" s="988">
        <f>IF('[1]BASE'!F28=0,"",'[1]BASE'!F28)</f>
        <v>269</v>
      </c>
      <c r="G28" s="989" t="str">
        <f>IF('[1]BASE'!G28=0,"",'[1]BASE'!G28)</f>
        <v>B</v>
      </c>
      <c r="H28" s="986">
        <f>IF('[1]BASE'!GG28=0,"",'[1]BASE'!GG28)</f>
      </c>
      <c r="I28" s="986">
        <f>IF('[1]BASE'!GH28=0,"",'[1]BASE'!GH28)</f>
      </c>
      <c r="J28" s="986">
        <f>IF('[1]BASE'!GI28=0,"",'[1]BASE'!GI28)</f>
      </c>
      <c r="K28" s="986">
        <f>IF('[1]BASE'!GJ28=0,"",'[1]BASE'!GJ28)</f>
      </c>
      <c r="L28" s="986">
        <f>IF('[1]BASE'!GK28=0,"",'[1]BASE'!GK28)</f>
      </c>
      <c r="M28" s="986">
        <f>IF('[1]BASE'!GL28=0,"",'[1]BASE'!GL28)</f>
      </c>
      <c r="N28" s="986">
        <f>IF('[1]BASE'!GM28=0,"",'[1]BASE'!GM28)</f>
      </c>
      <c r="O28" s="986">
        <f>IF('[1]BASE'!GN28=0,"",'[1]BASE'!GN28)</f>
      </c>
      <c r="P28" s="986">
        <f>IF('[1]BASE'!GO28=0,"",'[1]BASE'!GO28)</f>
      </c>
      <c r="Q28" s="986">
        <f>IF('[1]BASE'!GP28=0,"",'[1]BASE'!GP28)</f>
      </c>
      <c r="R28" s="986">
        <f>IF('[1]BASE'!GQ28=0,"",'[1]BASE'!GQ28)</f>
      </c>
      <c r="S28" s="986">
        <f>IF('[1]BASE'!GR28=0,"",'[1]BASE'!GR28)</f>
      </c>
      <c r="T28" s="987"/>
      <c r="U28" s="983"/>
    </row>
    <row r="29" spans="2:21" s="977" customFormat="1" ht="19.5" customHeight="1">
      <c r="B29" s="978"/>
      <c r="C29" s="990">
        <f>IF('[1]BASE'!C29=0,"",'[1]BASE'!C29)</f>
        <v>13</v>
      </c>
      <c r="D29" s="990" t="str">
        <f>IF('[1]BASE'!D29=0,"",'[1]BASE'!D29)</f>
        <v>CHO.W. - CHO. 1 (5WC1)</v>
      </c>
      <c r="E29" s="990">
        <f>IF('[1]BASE'!E29=0,"",'[1]BASE'!E29)</f>
        <v>500</v>
      </c>
      <c r="F29" s="990">
        <f>IF('[1]BASE'!F29=0,"",'[1]BASE'!F29)</f>
        <v>4.5</v>
      </c>
      <c r="G29" s="991" t="str">
        <f>IF('[1]BASE'!G29=0,"",'[1]BASE'!G29)</f>
        <v>C</v>
      </c>
      <c r="H29" s="986">
        <f>IF('[1]BASE'!GG29=0,"",'[1]BASE'!GG29)</f>
      </c>
      <c r="I29" s="986">
        <f>IF('[1]BASE'!GH29=0,"",'[1]BASE'!GH29)</f>
      </c>
      <c r="J29" s="986">
        <f>IF('[1]BASE'!GI29=0,"",'[1]BASE'!GI29)</f>
      </c>
      <c r="K29" s="986">
        <f>IF('[1]BASE'!GJ29=0,"",'[1]BASE'!GJ29)</f>
      </c>
      <c r="L29" s="986">
        <f>IF('[1]BASE'!GK29=0,"",'[1]BASE'!GK29)</f>
      </c>
      <c r="M29" s="986">
        <f>IF('[1]BASE'!GL29=0,"",'[1]BASE'!GL29)</f>
      </c>
      <c r="N29" s="986">
        <f>IF('[1]BASE'!GM29=0,"",'[1]BASE'!GM29)</f>
      </c>
      <c r="O29" s="986">
        <f>IF('[1]BASE'!GN29=0,"",'[1]BASE'!GN29)</f>
      </c>
      <c r="P29" s="986">
        <f>IF('[1]BASE'!GO29=0,"",'[1]BASE'!GO29)</f>
      </c>
      <c r="Q29" s="986">
        <f>IF('[1]BASE'!GP29=0,"",'[1]BASE'!GP29)</f>
      </c>
      <c r="R29" s="986">
        <f>IF('[1]BASE'!GQ29=0,"",'[1]BASE'!GQ29)</f>
      </c>
      <c r="S29" s="986">
        <f>IF('[1]BASE'!GR29=0,"",'[1]BASE'!GR29)</f>
      </c>
      <c r="T29" s="987"/>
      <c r="U29" s="983"/>
    </row>
    <row r="30" spans="2:21" s="977" customFormat="1" ht="19.5" customHeight="1">
      <c r="B30" s="978"/>
      <c r="C30" s="988">
        <f>IF('[1]BASE'!C30=0,"",'[1]BASE'!C30)</f>
        <v>14</v>
      </c>
      <c r="D30" s="988" t="str">
        <f>IF('[1]BASE'!D30=0,"",'[1]BASE'!D30)</f>
        <v>CHO.W. - CHO. 2 (5WC2)</v>
      </c>
      <c r="E30" s="988">
        <f>IF('[1]BASE'!E30=0,"",'[1]BASE'!E30)</f>
        <v>500</v>
      </c>
      <c r="F30" s="988">
        <f>IF('[1]BASE'!F30=0,"",'[1]BASE'!F30)</f>
        <v>4.5</v>
      </c>
      <c r="G30" s="989" t="str">
        <f>IF('[1]BASE'!G30=0,"",'[1]BASE'!G30)</f>
        <v>C</v>
      </c>
      <c r="H30" s="986">
        <f>IF('[1]BASE'!GG30=0,"",'[1]BASE'!GG30)</f>
      </c>
      <c r="I30" s="986">
        <f>IF('[1]BASE'!GH30=0,"",'[1]BASE'!GH30)</f>
      </c>
      <c r="J30" s="986">
        <f>IF('[1]BASE'!GI30=0,"",'[1]BASE'!GI30)</f>
      </c>
      <c r="K30" s="986">
        <f>IF('[1]BASE'!GJ30=0,"",'[1]BASE'!GJ30)</f>
      </c>
      <c r="L30" s="986">
        <f>IF('[1]BASE'!GK30=0,"",'[1]BASE'!GK30)</f>
      </c>
      <c r="M30" s="986">
        <f>IF('[1]BASE'!GL30=0,"",'[1]BASE'!GL30)</f>
        <v>1</v>
      </c>
      <c r="N30" s="986">
        <f>IF('[1]BASE'!GM30=0,"",'[1]BASE'!GM30)</f>
      </c>
      <c r="O30" s="986">
        <f>IF('[1]BASE'!GN30=0,"",'[1]BASE'!GN30)</f>
      </c>
      <c r="P30" s="986">
        <f>IF('[1]BASE'!GO30=0,"",'[1]BASE'!GO30)</f>
        <v>1</v>
      </c>
      <c r="Q30" s="986">
        <f>IF('[1]BASE'!GP30=0,"",'[1]BASE'!GP30)</f>
      </c>
      <c r="R30" s="986">
        <f>IF('[1]BASE'!GQ30=0,"",'[1]BASE'!GQ30)</f>
        <v>1</v>
      </c>
      <c r="S30" s="986">
        <f>IF('[1]BASE'!GR30=0,"",'[1]BASE'!GR30)</f>
      </c>
      <c r="T30" s="987"/>
      <c r="U30" s="983"/>
    </row>
    <row r="31" spans="2:21" s="977" customFormat="1" ht="19.5" customHeight="1">
      <c r="B31" s="978"/>
      <c r="C31" s="990">
        <f>IF('[1]BASE'!C31=0,"",'[1]BASE'!C31)</f>
        <v>15</v>
      </c>
      <c r="D31" s="990" t="str">
        <f>IF('[1]BASE'!D31=0,"",'[1]BASE'!D31)</f>
        <v>CHOCON - C.H. CHOCON 1</v>
      </c>
      <c r="E31" s="990">
        <f>IF('[1]BASE'!E31=0,"",'[1]BASE'!E31)</f>
        <v>500</v>
      </c>
      <c r="F31" s="990">
        <f>IF('[1]BASE'!F31=0,"",'[1]BASE'!F31)</f>
        <v>3</v>
      </c>
      <c r="G31" s="991" t="str">
        <f>IF('[1]BASE'!G31=0,"",'[1]BASE'!G31)</f>
        <v>C</v>
      </c>
      <c r="H31" s="986">
        <f>IF('[1]BASE'!GG31=0,"",'[1]BASE'!GG31)</f>
      </c>
      <c r="I31" s="986">
        <f>IF('[1]BASE'!GH31=0,"",'[1]BASE'!GH31)</f>
      </c>
      <c r="J31" s="986">
        <f>IF('[1]BASE'!GI31=0,"",'[1]BASE'!GI31)</f>
      </c>
      <c r="K31" s="986">
        <f>IF('[1]BASE'!GJ31=0,"",'[1]BASE'!GJ31)</f>
      </c>
      <c r="L31" s="986">
        <f>IF('[1]BASE'!GK31=0,"",'[1]BASE'!GK31)</f>
      </c>
      <c r="M31" s="986">
        <f>IF('[1]BASE'!GL31=0,"",'[1]BASE'!GL31)</f>
      </c>
      <c r="N31" s="986">
        <f>IF('[1]BASE'!GM31=0,"",'[1]BASE'!GM31)</f>
      </c>
      <c r="O31" s="986">
        <f>IF('[1]BASE'!GN31=0,"",'[1]BASE'!GN31)</f>
      </c>
      <c r="P31" s="986">
        <f>IF('[1]BASE'!GO31=0,"",'[1]BASE'!GO31)</f>
      </c>
      <c r="Q31" s="986">
        <f>IF('[1]BASE'!GP31=0,"",'[1]BASE'!GP31)</f>
      </c>
      <c r="R31" s="986">
        <f>IF('[1]BASE'!GQ31=0,"",'[1]BASE'!GQ31)</f>
      </c>
      <c r="S31" s="986">
        <f>IF('[1]BASE'!GR31=0,"",'[1]BASE'!GR31)</f>
      </c>
      <c r="T31" s="987"/>
      <c r="U31" s="983"/>
    </row>
    <row r="32" spans="2:21" s="977" customFormat="1" ht="19.5" customHeight="1">
      <c r="B32" s="978"/>
      <c r="C32" s="988">
        <f>IF('[1]BASE'!C32=0,"",'[1]BASE'!C32)</f>
        <v>16</v>
      </c>
      <c r="D32" s="988" t="str">
        <f>IF('[1]BASE'!D32=0,"",'[1]BASE'!D32)</f>
        <v>CHOCON - C.H. CHOCON 2</v>
      </c>
      <c r="E32" s="988">
        <f>IF('[1]BASE'!E32=0,"",'[1]BASE'!E32)</f>
        <v>500</v>
      </c>
      <c r="F32" s="988">
        <f>IF('[1]BASE'!F32=0,"",'[1]BASE'!F32)</f>
        <v>3</v>
      </c>
      <c r="G32" s="989" t="str">
        <f>IF('[1]BASE'!G32=0,"",'[1]BASE'!G32)</f>
        <v>C</v>
      </c>
      <c r="H32" s="986">
        <f>IF('[1]BASE'!GG32=0,"",'[1]BASE'!GG32)</f>
      </c>
      <c r="I32" s="986">
        <f>IF('[1]BASE'!GH32=0,"",'[1]BASE'!GH32)</f>
      </c>
      <c r="J32" s="986">
        <f>IF('[1]BASE'!GI32=0,"",'[1]BASE'!GI32)</f>
      </c>
      <c r="K32" s="986">
        <f>IF('[1]BASE'!GJ32=0,"",'[1]BASE'!GJ32)</f>
      </c>
      <c r="L32" s="986">
        <f>IF('[1]BASE'!GK32=0,"",'[1]BASE'!GK32)</f>
      </c>
      <c r="M32" s="986">
        <f>IF('[1]BASE'!GL32=0,"",'[1]BASE'!GL32)</f>
      </c>
      <c r="N32" s="986">
        <f>IF('[1]BASE'!GM32=0,"",'[1]BASE'!GM32)</f>
      </c>
      <c r="O32" s="986">
        <f>IF('[1]BASE'!GN32=0,"",'[1]BASE'!GN32)</f>
      </c>
      <c r="P32" s="986">
        <f>IF('[1]BASE'!GO32=0,"",'[1]BASE'!GO32)</f>
      </c>
      <c r="Q32" s="986">
        <f>IF('[1]BASE'!GP32=0,"",'[1]BASE'!GP32)</f>
      </c>
      <c r="R32" s="986">
        <f>IF('[1]BASE'!GQ32=0,"",'[1]BASE'!GQ32)</f>
      </c>
      <c r="S32" s="986">
        <f>IF('[1]BASE'!GR32=0,"",'[1]BASE'!GR32)</f>
      </c>
      <c r="T32" s="987"/>
      <c r="U32" s="983"/>
    </row>
    <row r="33" spans="2:21" s="977" customFormat="1" ht="19.5" customHeight="1">
      <c r="B33" s="978"/>
      <c r="C33" s="990">
        <f>IF('[1]BASE'!C33=0,"",'[1]BASE'!C33)</f>
        <v>17</v>
      </c>
      <c r="D33" s="990" t="str">
        <f>IF('[1]BASE'!D33=0,"",'[1]BASE'!D33)</f>
        <v>CHOCON - C.H. CHOCON 3</v>
      </c>
      <c r="E33" s="990">
        <f>IF('[1]BASE'!E33=0,"",'[1]BASE'!E33)</f>
        <v>500</v>
      </c>
      <c r="F33" s="990">
        <f>IF('[1]BASE'!F33=0,"",'[1]BASE'!F33)</f>
        <v>3</v>
      </c>
      <c r="G33" s="991" t="str">
        <f>IF('[1]BASE'!G33=0,"",'[1]BASE'!G33)</f>
        <v>C</v>
      </c>
      <c r="H33" s="986">
        <f>IF('[1]BASE'!GG33=0,"",'[1]BASE'!GG33)</f>
      </c>
      <c r="I33" s="986">
        <f>IF('[1]BASE'!GH33=0,"",'[1]BASE'!GH33)</f>
      </c>
      <c r="J33" s="986">
        <f>IF('[1]BASE'!GI33=0,"",'[1]BASE'!GI33)</f>
      </c>
      <c r="K33" s="986">
        <f>IF('[1]BASE'!GJ33=0,"",'[1]BASE'!GJ33)</f>
      </c>
      <c r="L33" s="986">
        <f>IF('[1]BASE'!GK33=0,"",'[1]BASE'!GK33)</f>
      </c>
      <c r="M33" s="986">
        <f>IF('[1]BASE'!GL33=0,"",'[1]BASE'!GL33)</f>
      </c>
      <c r="N33" s="986">
        <f>IF('[1]BASE'!GM33=0,"",'[1]BASE'!GM33)</f>
      </c>
      <c r="O33" s="986">
        <f>IF('[1]BASE'!GN33=0,"",'[1]BASE'!GN33)</f>
      </c>
      <c r="P33" s="986">
        <f>IF('[1]BASE'!GO33=0,"",'[1]BASE'!GO33)</f>
      </c>
      <c r="Q33" s="986">
        <f>IF('[1]BASE'!GP33=0,"",'[1]BASE'!GP33)</f>
      </c>
      <c r="R33" s="986">
        <f>IF('[1]BASE'!GQ33=0,"",'[1]BASE'!GQ33)</f>
      </c>
      <c r="S33" s="986">
        <f>IF('[1]BASE'!GR33=0,"",'[1]BASE'!GR33)</f>
      </c>
      <c r="T33" s="987"/>
      <c r="U33" s="983"/>
    </row>
    <row r="34" spans="2:21" s="977" customFormat="1" ht="19.5" customHeight="1">
      <c r="B34" s="978"/>
      <c r="C34" s="988">
        <f>IF('[1]BASE'!C34=0,"",'[1]BASE'!C34)</f>
        <v>18</v>
      </c>
      <c r="D34" s="988" t="str">
        <f>IF('[1]BASE'!D34=0,"",'[1]BASE'!D34)</f>
        <v>CHOCON - PUELCHES 1</v>
      </c>
      <c r="E34" s="988">
        <f>IF('[1]BASE'!E34=0,"",'[1]BASE'!E34)</f>
        <v>500</v>
      </c>
      <c r="F34" s="988">
        <f>IF('[1]BASE'!F34=0,"",'[1]BASE'!F34)</f>
        <v>304</v>
      </c>
      <c r="G34" s="989" t="str">
        <f>IF('[1]BASE'!G34=0,"",'[1]BASE'!G34)</f>
        <v>A</v>
      </c>
      <c r="H34" s="986">
        <f>IF('[1]BASE'!GG34=0,"",'[1]BASE'!GG34)</f>
      </c>
      <c r="I34" s="986">
        <f>IF('[1]BASE'!GH34=0,"",'[1]BASE'!GH34)</f>
      </c>
      <c r="J34" s="986">
        <f>IF('[1]BASE'!GI34=0,"",'[1]BASE'!GI34)</f>
      </c>
      <c r="K34" s="986">
        <f>IF('[1]BASE'!GJ34=0,"",'[1]BASE'!GJ34)</f>
      </c>
      <c r="L34" s="986">
        <f>IF('[1]BASE'!GK34=0,"",'[1]BASE'!GK34)</f>
      </c>
      <c r="M34" s="986">
        <f>IF('[1]BASE'!GL34=0,"",'[1]BASE'!GL34)</f>
      </c>
      <c r="N34" s="986">
        <f>IF('[1]BASE'!GM34=0,"",'[1]BASE'!GM34)</f>
      </c>
      <c r="O34" s="986">
        <f>IF('[1]BASE'!GN34=0,"",'[1]BASE'!GN34)</f>
      </c>
      <c r="P34" s="986">
        <f>IF('[1]BASE'!GO34=0,"",'[1]BASE'!GO34)</f>
      </c>
      <c r="Q34" s="986">
        <f>IF('[1]BASE'!GP34=0,"",'[1]BASE'!GP34)</f>
        <v>1</v>
      </c>
      <c r="R34" s="986">
        <f>IF('[1]BASE'!GQ34=0,"",'[1]BASE'!GQ34)</f>
      </c>
      <c r="S34" s="986">
        <f>IF('[1]BASE'!GR34=0,"",'[1]BASE'!GR34)</f>
      </c>
      <c r="T34" s="987"/>
      <c r="U34" s="983"/>
    </row>
    <row r="35" spans="2:21" s="977" customFormat="1" ht="19.5" customHeight="1">
      <c r="B35" s="978"/>
      <c r="C35" s="990">
        <f>IF('[1]BASE'!C35=0,"",'[1]BASE'!C35)</f>
        <v>19</v>
      </c>
      <c r="D35" s="990" t="str">
        <f>IF('[1]BASE'!D35=0,"",'[1]BASE'!D35)</f>
        <v>CHOCON - PUELCHES 2</v>
      </c>
      <c r="E35" s="990">
        <f>IF('[1]BASE'!E35=0,"",'[1]BASE'!E35)</f>
        <v>500</v>
      </c>
      <c r="F35" s="990">
        <f>IF('[1]BASE'!F35=0,"",'[1]BASE'!F35)</f>
        <v>304</v>
      </c>
      <c r="G35" s="991" t="str">
        <f>IF('[1]BASE'!G35=0,"",'[1]BASE'!G35)</f>
        <v>A</v>
      </c>
      <c r="H35" s="986">
        <f>IF('[1]BASE'!GG35=0,"",'[1]BASE'!GG35)</f>
      </c>
      <c r="I35" s="986">
        <f>IF('[1]BASE'!GH35=0,"",'[1]BASE'!GH35)</f>
      </c>
      <c r="J35" s="986">
        <f>IF('[1]BASE'!GI35=0,"",'[1]BASE'!GI35)</f>
      </c>
      <c r="K35" s="986">
        <f>IF('[1]BASE'!GJ35=0,"",'[1]BASE'!GJ35)</f>
      </c>
      <c r="L35" s="986">
        <f>IF('[1]BASE'!GK35=0,"",'[1]BASE'!GK35)</f>
      </c>
      <c r="M35" s="986">
        <f>IF('[1]BASE'!GL35=0,"",'[1]BASE'!GL35)</f>
      </c>
      <c r="N35" s="986">
        <f>IF('[1]BASE'!GM35=0,"",'[1]BASE'!GM35)</f>
      </c>
      <c r="O35" s="986">
        <f>IF('[1]BASE'!GN35=0,"",'[1]BASE'!GN35)</f>
      </c>
      <c r="P35" s="986">
        <f>IF('[1]BASE'!GO35=0,"",'[1]BASE'!GO35)</f>
      </c>
      <c r="Q35" s="986">
        <f>IF('[1]BASE'!GP35=0,"",'[1]BASE'!GP35)</f>
      </c>
      <c r="R35" s="986">
        <f>IF('[1]BASE'!GQ35=0,"",'[1]BASE'!GQ35)</f>
      </c>
      <c r="S35" s="986">
        <f>IF('[1]BASE'!GR35=0,"",'[1]BASE'!GR35)</f>
      </c>
      <c r="T35" s="987"/>
      <c r="U35" s="983"/>
    </row>
    <row r="36" spans="2:21" s="977" customFormat="1" ht="19.5" customHeight="1">
      <c r="B36" s="978"/>
      <c r="C36" s="988">
        <f>IF('[1]BASE'!C36=0,"",'[1]BASE'!C36)</f>
        <v>20</v>
      </c>
      <c r="D36" s="988" t="str">
        <f>IF('[1]BASE'!D36=0,"",'[1]BASE'!D36)</f>
        <v>E.T.P.del AGUILA - CENTRAL P.del A. 1</v>
      </c>
      <c r="E36" s="988">
        <f>IF('[1]BASE'!E36=0,"",'[1]BASE'!E36)</f>
        <v>500</v>
      </c>
      <c r="F36" s="988">
        <f>IF('[1]BASE'!F36=0,"",'[1]BASE'!F36)</f>
        <v>5.6</v>
      </c>
      <c r="G36" s="989" t="str">
        <f>IF('[1]BASE'!G36=0,"",'[1]BASE'!G36)</f>
        <v>C</v>
      </c>
      <c r="H36" s="986">
        <f>IF('[1]BASE'!GG36=0,"",'[1]BASE'!GG36)</f>
      </c>
      <c r="I36" s="986">
        <f>IF('[1]BASE'!GH36=0,"",'[1]BASE'!GH36)</f>
      </c>
      <c r="J36" s="986">
        <f>IF('[1]BASE'!GI36=0,"",'[1]BASE'!GI36)</f>
      </c>
      <c r="K36" s="986">
        <f>IF('[1]BASE'!GJ36=0,"",'[1]BASE'!GJ36)</f>
      </c>
      <c r="L36" s="986">
        <f>IF('[1]BASE'!GK36=0,"",'[1]BASE'!GK36)</f>
      </c>
      <c r="M36" s="986">
        <f>IF('[1]BASE'!GL36=0,"",'[1]BASE'!GL36)</f>
      </c>
      <c r="N36" s="986">
        <f>IF('[1]BASE'!GM36=0,"",'[1]BASE'!GM36)</f>
      </c>
      <c r="O36" s="986">
        <f>IF('[1]BASE'!GN36=0,"",'[1]BASE'!GN36)</f>
      </c>
      <c r="P36" s="986">
        <f>IF('[1]BASE'!GO36=0,"",'[1]BASE'!GO36)</f>
      </c>
      <c r="Q36" s="986">
        <f>IF('[1]BASE'!GP36=0,"",'[1]BASE'!GP36)</f>
      </c>
      <c r="R36" s="986">
        <f>IF('[1]BASE'!GQ36=0,"",'[1]BASE'!GQ36)</f>
      </c>
      <c r="S36" s="986">
        <f>IF('[1]BASE'!GR36=0,"",'[1]BASE'!GR36)</f>
      </c>
      <c r="T36" s="987"/>
      <c r="U36" s="983"/>
    </row>
    <row r="37" spans="2:21" s="977" customFormat="1" ht="19.5" customHeight="1">
      <c r="B37" s="978"/>
      <c r="C37" s="990">
        <f>IF('[1]BASE'!C37=0,"",'[1]BASE'!C37)</f>
        <v>21</v>
      </c>
      <c r="D37" s="990" t="str">
        <f>IF('[1]BASE'!D37=0,"",'[1]BASE'!D37)</f>
        <v>E.T.P.del AGUILA - CENTRAL P.del A. 2</v>
      </c>
      <c r="E37" s="990">
        <f>IF('[1]BASE'!E37=0,"",'[1]BASE'!E37)</f>
        <v>500</v>
      </c>
      <c r="F37" s="990">
        <f>IF('[1]BASE'!F37=0,"",'[1]BASE'!F37)</f>
        <v>5.6</v>
      </c>
      <c r="G37" s="991" t="str">
        <f>IF('[1]BASE'!G37=0,"",'[1]BASE'!G37)</f>
        <v>C</v>
      </c>
      <c r="H37" s="986">
        <f>IF('[1]BASE'!GG37=0,"",'[1]BASE'!GG37)</f>
      </c>
      <c r="I37" s="986">
        <f>IF('[1]BASE'!GH37=0,"",'[1]BASE'!GH37)</f>
      </c>
      <c r="J37" s="986">
        <f>IF('[1]BASE'!GI37=0,"",'[1]BASE'!GI37)</f>
      </c>
      <c r="K37" s="986">
        <f>IF('[1]BASE'!GJ37=0,"",'[1]BASE'!GJ37)</f>
      </c>
      <c r="L37" s="986">
        <f>IF('[1]BASE'!GK37=0,"",'[1]BASE'!GK37)</f>
      </c>
      <c r="M37" s="986">
        <f>IF('[1]BASE'!GL37=0,"",'[1]BASE'!GL37)</f>
      </c>
      <c r="N37" s="986">
        <f>IF('[1]BASE'!GM37=0,"",'[1]BASE'!GM37)</f>
      </c>
      <c r="O37" s="986">
        <f>IF('[1]BASE'!GN37=0,"",'[1]BASE'!GN37)</f>
      </c>
      <c r="P37" s="986">
        <f>IF('[1]BASE'!GO37=0,"",'[1]BASE'!GO37)</f>
      </c>
      <c r="Q37" s="986">
        <f>IF('[1]BASE'!GP37=0,"",'[1]BASE'!GP37)</f>
      </c>
      <c r="R37" s="986">
        <f>IF('[1]BASE'!GQ37=0,"",'[1]BASE'!GQ37)</f>
      </c>
      <c r="S37" s="986">
        <f>IF('[1]BASE'!GR37=0,"",'[1]BASE'!GR37)</f>
      </c>
      <c r="T37" s="987"/>
      <c r="U37" s="983"/>
    </row>
    <row r="38" spans="2:21" s="977" customFormat="1" ht="19.5" customHeight="1">
      <c r="B38" s="978"/>
      <c r="C38" s="988">
        <f>IF('[1]BASE'!C38=0,"",'[1]BASE'!C38)</f>
        <v>22</v>
      </c>
      <c r="D38" s="988" t="str">
        <f>IF('[1]BASE'!D38=0,"",'[1]BASE'!D38)</f>
        <v>EL BRACHO - RECREO(5)</v>
      </c>
      <c r="E38" s="988">
        <f>IF('[1]BASE'!E38=0,"",'[1]BASE'!E38)</f>
        <v>500</v>
      </c>
      <c r="F38" s="988">
        <f>IF('[1]BASE'!F38=0,"",'[1]BASE'!F38)</f>
        <v>255</v>
      </c>
      <c r="G38" s="989" t="str">
        <f>IF('[1]BASE'!G38=0,"",'[1]BASE'!G38)</f>
        <v>C</v>
      </c>
      <c r="H38" s="986">
        <f>IF('[1]BASE'!GG38=0,"",'[1]BASE'!GG38)</f>
      </c>
      <c r="I38" s="986">
        <f>IF('[1]BASE'!GH38=0,"",'[1]BASE'!GH38)</f>
      </c>
      <c r="J38" s="986">
        <f>IF('[1]BASE'!GI38=0,"",'[1]BASE'!GI38)</f>
      </c>
      <c r="K38" s="986">
        <f>IF('[1]BASE'!GJ38=0,"",'[1]BASE'!GJ38)</f>
      </c>
      <c r="L38" s="986">
        <f>IF('[1]BASE'!GK38=0,"",'[1]BASE'!GK38)</f>
      </c>
      <c r="M38" s="986">
        <f>IF('[1]BASE'!GL38=0,"",'[1]BASE'!GL38)</f>
      </c>
      <c r="N38" s="986">
        <f>IF('[1]BASE'!GM38=0,"",'[1]BASE'!GM38)</f>
      </c>
      <c r="O38" s="986">
        <f>IF('[1]BASE'!GN38=0,"",'[1]BASE'!GN38)</f>
      </c>
      <c r="P38" s="986">
        <f>IF('[1]BASE'!GO38=0,"",'[1]BASE'!GO38)</f>
      </c>
      <c r="Q38" s="986">
        <f>IF('[1]BASE'!GP38=0,"",'[1]BASE'!GP38)</f>
      </c>
      <c r="R38" s="986">
        <f>IF('[1]BASE'!GQ38=0,"",'[1]BASE'!GQ38)</f>
      </c>
      <c r="S38" s="986">
        <f>IF('[1]BASE'!GR38=0,"",'[1]BASE'!GR38)</f>
      </c>
      <c r="T38" s="987"/>
      <c r="U38" s="983"/>
    </row>
    <row r="39" spans="2:21" s="977" customFormat="1" ht="19.5" customHeight="1">
      <c r="B39" s="978"/>
      <c r="C39" s="990">
        <f>IF('[1]BASE'!C39=0,"",'[1]BASE'!C39)</f>
        <v>23</v>
      </c>
      <c r="D39" s="990" t="str">
        <f>IF('[1]BASE'!D39=0,"",'[1]BASE'!D39)</f>
        <v>EZEIZA - ABASTO 1</v>
      </c>
      <c r="E39" s="990">
        <f>IF('[1]BASE'!E39=0,"",'[1]BASE'!E39)</f>
        <v>500</v>
      </c>
      <c r="F39" s="990">
        <f>IF('[1]BASE'!F39=0,"",'[1]BASE'!F39)</f>
        <v>58</v>
      </c>
      <c r="G39" s="991" t="str">
        <f>IF('[1]BASE'!G39=0,"",'[1]BASE'!G39)</f>
        <v>C</v>
      </c>
      <c r="H39" s="986">
        <f>IF('[1]BASE'!GG39=0,"",'[1]BASE'!GG39)</f>
      </c>
      <c r="I39" s="986">
        <f>IF('[1]BASE'!GH39=0,"",'[1]BASE'!GH39)</f>
      </c>
      <c r="J39" s="986">
        <f>IF('[1]BASE'!GI39=0,"",'[1]BASE'!GI39)</f>
      </c>
      <c r="K39" s="986">
        <f>IF('[1]BASE'!GJ39=0,"",'[1]BASE'!GJ39)</f>
      </c>
      <c r="L39" s="986">
        <f>IF('[1]BASE'!GK39=0,"",'[1]BASE'!GK39)</f>
      </c>
      <c r="M39" s="986">
        <f>IF('[1]BASE'!GL39=0,"",'[1]BASE'!GL39)</f>
      </c>
      <c r="N39" s="986">
        <f>IF('[1]BASE'!GM39=0,"",'[1]BASE'!GM39)</f>
      </c>
      <c r="O39" s="986">
        <f>IF('[1]BASE'!GN39=0,"",'[1]BASE'!GN39)</f>
      </c>
      <c r="P39" s="986">
        <f>IF('[1]BASE'!GO39=0,"",'[1]BASE'!GO39)</f>
      </c>
      <c r="Q39" s="986">
        <f>IF('[1]BASE'!GP39=0,"",'[1]BASE'!GP39)</f>
      </c>
      <c r="R39" s="986">
        <f>IF('[1]BASE'!GQ39=0,"",'[1]BASE'!GQ39)</f>
      </c>
      <c r="S39" s="986">
        <f>IF('[1]BASE'!GR39=0,"",'[1]BASE'!GR39)</f>
      </c>
      <c r="T39" s="987"/>
      <c r="U39" s="983"/>
    </row>
    <row r="40" spans="2:21" s="977" customFormat="1" ht="19.5" customHeight="1">
      <c r="B40" s="978"/>
      <c r="C40" s="988">
        <f>IF('[1]BASE'!C40=0,"",'[1]BASE'!C40)</f>
        <v>24</v>
      </c>
      <c r="D40" s="988" t="str">
        <f>IF('[1]BASE'!D40=0,"",'[1]BASE'!D40)</f>
        <v>EZEIZA - ABASTO 2</v>
      </c>
      <c r="E40" s="988">
        <f>IF('[1]BASE'!E40=0,"",'[1]BASE'!E40)</f>
        <v>500</v>
      </c>
      <c r="F40" s="988">
        <f>IF('[1]BASE'!F40=0,"",'[1]BASE'!F40)</f>
        <v>58</v>
      </c>
      <c r="G40" s="989" t="str">
        <f>IF('[1]BASE'!G40=0,"",'[1]BASE'!G40)</f>
        <v>C</v>
      </c>
      <c r="H40" s="986">
        <f>IF('[1]BASE'!GG40=0,"",'[1]BASE'!GG40)</f>
      </c>
      <c r="I40" s="986">
        <f>IF('[1]BASE'!GH40=0,"",'[1]BASE'!GH40)</f>
      </c>
      <c r="J40" s="986">
        <f>IF('[1]BASE'!GI40=0,"",'[1]BASE'!GI40)</f>
      </c>
      <c r="K40" s="986">
        <f>IF('[1]BASE'!GJ40=0,"",'[1]BASE'!GJ40)</f>
      </c>
      <c r="L40" s="986">
        <f>IF('[1]BASE'!GK40=0,"",'[1]BASE'!GK40)</f>
      </c>
      <c r="M40" s="986">
        <f>IF('[1]BASE'!GL40=0,"",'[1]BASE'!GL40)</f>
      </c>
      <c r="N40" s="986">
        <f>IF('[1]BASE'!GM40=0,"",'[1]BASE'!GM40)</f>
      </c>
      <c r="O40" s="986">
        <f>IF('[1]BASE'!GN40=0,"",'[1]BASE'!GN40)</f>
      </c>
      <c r="P40" s="986">
        <f>IF('[1]BASE'!GO40=0,"",'[1]BASE'!GO40)</f>
      </c>
      <c r="Q40" s="986">
        <f>IF('[1]BASE'!GP40=0,"",'[1]BASE'!GP40)</f>
      </c>
      <c r="R40" s="986">
        <f>IF('[1]BASE'!GQ40=0,"",'[1]BASE'!GQ40)</f>
      </c>
      <c r="S40" s="986">
        <f>IF('[1]BASE'!GR40=0,"",'[1]BASE'!GR40)</f>
      </c>
      <c r="T40" s="987"/>
      <c r="U40" s="983"/>
    </row>
    <row r="41" spans="2:21" s="977" customFormat="1" ht="19.5" customHeight="1">
      <c r="B41" s="978"/>
      <c r="C41" s="990">
        <f>IF('[1]BASE'!C41=0,"",'[1]BASE'!C41)</f>
        <v>25</v>
      </c>
      <c r="D41" s="990" t="str">
        <f>IF('[1]BASE'!D41=0,"",'[1]BASE'!D41)</f>
        <v>EZEIZA - RODRIGUEZ 1</v>
      </c>
      <c r="E41" s="990">
        <f>IF('[1]BASE'!E41=0,"",'[1]BASE'!E41)</f>
        <v>500</v>
      </c>
      <c r="F41" s="990">
        <f>IF('[1]BASE'!F41=0,"",'[1]BASE'!F41)</f>
        <v>53</v>
      </c>
      <c r="G41" s="991" t="str">
        <f>IF('[1]BASE'!G41=0,"",'[1]BASE'!G41)</f>
        <v>C</v>
      </c>
      <c r="H41" s="986">
        <f>IF('[1]BASE'!GG41=0,"",'[1]BASE'!GG41)</f>
      </c>
      <c r="I41" s="986">
        <f>IF('[1]BASE'!GH41=0,"",'[1]BASE'!GH41)</f>
      </c>
      <c r="J41" s="986">
        <f>IF('[1]BASE'!GI41=0,"",'[1]BASE'!GI41)</f>
      </c>
      <c r="K41" s="986">
        <f>IF('[1]BASE'!GJ41=0,"",'[1]BASE'!GJ41)</f>
      </c>
      <c r="L41" s="986">
        <f>IF('[1]BASE'!GK41=0,"",'[1]BASE'!GK41)</f>
      </c>
      <c r="M41" s="986">
        <f>IF('[1]BASE'!GL41=0,"",'[1]BASE'!GL41)</f>
      </c>
      <c r="N41" s="986">
        <f>IF('[1]BASE'!GM41=0,"",'[1]BASE'!GM41)</f>
      </c>
      <c r="O41" s="986">
        <f>IF('[1]BASE'!GN41=0,"",'[1]BASE'!GN41)</f>
      </c>
      <c r="P41" s="986">
        <f>IF('[1]BASE'!GO41=0,"",'[1]BASE'!GO41)</f>
      </c>
      <c r="Q41" s="986">
        <f>IF('[1]BASE'!GP41=0,"",'[1]BASE'!GP41)</f>
      </c>
      <c r="R41" s="986">
        <f>IF('[1]BASE'!GQ41=0,"",'[1]BASE'!GQ41)</f>
      </c>
      <c r="S41" s="986">
        <f>IF('[1]BASE'!GR41=0,"",'[1]BASE'!GR41)</f>
      </c>
      <c r="T41" s="987"/>
      <c r="U41" s="983"/>
    </row>
    <row r="42" spans="2:21" s="977" customFormat="1" ht="19.5" customHeight="1">
      <c r="B42" s="978"/>
      <c r="C42" s="988">
        <f>IF('[1]BASE'!C42=0,"",'[1]BASE'!C42)</f>
        <v>26</v>
      </c>
      <c r="D42" s="988" t="str">
        <f>IF('[1]BASE'!D42=0,"",'[1]BASE'!D42)</f>
        <v>EZEIZA - RODRIGUEZ 2</v>
      </c>
      <c r="E42" s="988">
        <f>IF('[1]BASE'!E42=0,"",'[1]BASE'!E42)</f>
        <v>500</v>
      </c>
      <c r="F42" s="988">
        <f>IF('[1]BASE'!F42=0,"",'[1]BASE'!F42)</f>
        <v>53</v>
      </c>
      <c r="G42" s="989" t="str">
        <f>IF('[1]BASE'!G42=0,"",'[1]BASE'!G42)</f>
        <v>C</v>
      </c>
      <c r="H42" s="986">
        <f>IF('[1]BASE'!GG42=0,"",'[1]BASE'!GG42)</f>
      </c>
      <c r="I42" s="986">
        <f>IF('[1]BASE'!GH42=0,"",'[1]BASE'!GH42)</f>
      </c>
      <c r="J42" s="986">
        <f>IF('[1]BASE'!GI42=0,"",'[1]BASE'!GI42)</f>
      </c>
      <c r="K42" s="986">
        <f>IF('[1]BASE'!GJ42=0,"",'[1]BASE'!GJ42)</f>
      </c>
      <c r="L42" s="986">
        <f>IF('[1]BASE'!GK42=0,"",'[1]BASE'!GK42)</f>
      </c>
      <c r="M42" s="986">
        <f>IF('[1]BASE'!GL42=0,"",'[1]BASE'!GL42)</f>
      </c>
      <c r="N42" s="986">
        <f>IF('[1]BASE'!GM42=0,"",'[1]BASE'!GM42)</f>
      </c>
      <c r="O42" s="986">
        <f>IF('[1]BASE'!GN42=0,"",'[1]BASE'!GN42)</f>
      </c>
      <c r="P42" s="986">
        <f>IF('[1]BASE'!GO42=0,"",'[1]BASE'!GO42)</f>
      </c>
      <c r="Q42" s="986">
        <f>IF('[1]BASE'!GP42=0,"",'[1]BASE'!GP42)</f>
      </c>
      <c r="R42" s="986">
        <f>IF('[1]BASE'!GQ42=0,"",'[1]BASE'!GQ42)</f>
      </c>
      <c r="S42" s="986">
        <f>IF('[1]BASE'!GR42=0,"",'[1]BASE'!GR42)</f>
      </c>
      <c r="T42" s="987"/>
      <c r="U42" s="983"/>
    </row>
    <row r="43" spans="2:21" s="977" customFormat="1" ht="19.5" customHeight="1">
      <c r="B43" s="978"/>
      <c r="C43" s="990">
        <f>IF('[1]BASE'!C43=0,"",'[1]BASE'!C43)</f>
        <v>27</v>
      </c>
      <c r="D43" s="990" t="str">
        <f>IF('[1]BASE'!D43=0,"",'[1]BASE'!D43)</f>
        <v>EZEIZA- HENDERSON 1</v>
      </c>
      <c r="E43" s="990">
        <f>IF('[1]BASE'!E43=0,"",'[1]BASE'!E43)</f>
        <v>500</v>
      </c>
      <c r="F43" s="990">
        <f>IF('[1]BASE'!F43=0,"",'[1]BASE'!F43)</f>
        <v>313</v>
      </c>
      <c r="G43" s="991" t="str">
        <f>IF('[1]BASE'!G43=0,"",'[1]BASE'!G43)</f>
        <v>A</v>
      </c>
      <c r="H43" s="986">
        <f>IF('[1]BASE'!GG43=0,"",'[1]BASE'!GG43)</f>
      </c>
      <c r="I43" s="986">
        <f>IF('[1]BASE'!GH43=0,"",'[1]BASE'!GH43)</f>
      </c>
      <c r="J43" s="986">
        <f>IF('[1]BASE'!GI43=0,"",'[1]BASE'!GI43)</f>
      </c>
      <c r="K43" s="986">
        <f>IF('[1]BASE'!GJ43=0,"",'[1]BASE'!GJ43)</f>
      </c>
      <c r="L43" s="986">
        <f>IF('[1]BASE'!GK43=0,"",'[1]BASE'!GK43)</f>
      </c>
      <c r="M43" s="986">
        <f>IF('[1]BASE'!GL43=0,"",'[1]BASE'!GL43)</f>
      </c>
      <c r="N43" s="986">
        <f>IF('[1]BASE'!GM43=0,"",'[1]BASE'!GM43)</f>
      </c>
      <c r="O43" s="986">
        <f>IF('[1]BASE'!GN43=0,"",'[1]BASE'!GN43)</f>
        <v>1</v>
      </c>
      <c r="P43" s="986">
        <f>IF('[1]BASE'!GO43=0,"",'[1]BASE'!GO43)</f>
      </c>
      <c r="Q43" s="986">
        <f>IF('[1]BASE'!GP43=0,"",'[1]BASE'!GP43)</f>
      </c>
      <c r="R43" s="986">
        <f>IF('[1]BASE'!GQ43=0,"",'[1]BASE'!GQ43)</f>
        <v>2</v>
      </c>
      <c r="S43" s="986">
        <f>IF('[1]BASE'!GR43=0,"",'[1]BASE'!GR43)</f>
      </c>
      <c r="T43" s="987"/>
      <c r="U43" s="983"/>
    </row>
    <row r="44" spans="2:21" s="977" customFormat="1" ht="19.5" customHeight="1">
      <c r="B44" s="978"/>
      <c r="C44" s="988">
        <f>IF('[1]BASE'!C44=0,"",'[1]BASE'!C44)</f>
        <v>28</v>
      </c>
      <c r="D44" s="988" t="str">
        <f>IF('[1]BASE'!D44=0,"",'[1]BASE'!D44)</f>
        <v>EZEIZA - HENDERSON 2</v>
      </c>
      <c r="E44" s="988">
        <f>IF('[1]BASE'!E44=0,"",'[1]BASE'!E44)</f>
        <v>500</v>
      </c>
      <c r="F44" s="988">
        <f>IF('[1]BASE'!F44=0,"",'[1]BASE'!F44)</f>
        <v>313</v>
      </c>
      <c r="G44" s="989" t="str">
        <f>IF('[1]BASE'!G44=0,"",'[1]BASE'!G44)</f>
        <v>A</v>
      </c>
      <c r="H44" s="986">
        <f>IF('[1]BASE'!GG44=0,"",'[1]BASE'!GG44)</f>
      </c>
      <c r="I44" s="986">
        <f>IF('[1]BASE'!GH44=0,"",'[1]BASE'!GH44)</f>
      </c>
      <c r="J44" s="986">
        <f>IF('[1]BASE'!GI44=0,"",'[1]BASE'!GI44)</f>
      </c>
      <c r="K44" s="986">
        <f>IF('[1]BASE'!GJ44=0,"",'[1]BASE'!GJ44)</f>
      </c>
      <c r="L44" s="986">
        <f>IF('[1]BASE'!GK44=0,"",'[1]BASE'!GK44)</f>
      </c>
      <c r="M44" s="986">
        <f>IF('[1]BASE'!GL44=0,"",'[1]BASE'!GL44)</f>
      </c>
      <c r="N44" s="986">
        <f>IF('[1]BASE'!GM44=0,"",'[1]BASE'!GM44)</f>
      </c>
      <c r="O44" s="986">
        <f>IF('[1]BASE'!GN44=0,"",'[1]BASE'!GN44)</f>
      </c>
      <c r="P44" s="986">
        <f>IF('[1]BASE'!GO44=0,"",'[1]BASE'!GO44)</f>
      </c>
      <c r="Q44" s="986">
        <f>IF('[1]BASE'!GP44=0,"",'[1]BASE'!GP44)</f>
      </c>
      <c r="R44" s="986">
        <f>IF('[1]BASE'!GQ44=0,"",'[1]BASE'!GQ44)</f>
      </c>
      <c r="S44" s="986">
        <f>IF('[1]BASE'!GR44=0,"",'[1]BASE'!GR44)</f>
      </c>
      <c r="T44" s="987"/>
      <c r="U44" s="983"/>
    </row>
    <row r="45" spans="2:21" s="977" customFormat="1" ht="19.5" customHeight="1">
      <c r="B45" s="978"/>
      <c r="C45" s="990">
        <f>IF('[1]BASE'!C45=0,"",'[1]BASE'!C45)</f>
        <v>29</v>
      </c>
      <c r="D45" s="990" t="str">
        <f>IF('[1]BASE'!D45=0,"",'[1]BASE'!D45)</f>
        <v>GRAL. RODRIGUEZ - CAMPANA </v>
      </c>
      <c r="E45" s="990">
        <f>IF('[1]BASE'!E45=0,"",'[1]BASE'!E45)</f>
        <v>500</v>
      </c>
      <c r="F45" s="990">
        <f>IF('[1]BASE'!F45=0,"",'[1]BASE'!F45)</f>
        <v>42</v>
      </c>
      <c r="G45" s="991" t="str">
        <f>IF('[1]BASE'!G45=0,"",'[1]BASE'!G45)</f>
        <v>B</v>
      </c>
      <c r="H45" s="986">
        <f>IF('[1]BASE'!GG45=0,"",'[1]BASE'!GG45)</f>
      </c>
      <c r="I45" s="986">
        <f>IF('[1]BASE'!GH45=0,"",'[1]BASE'!GH45)</f>
      </c>
      <c r="J45" s="986">
        <f>IF('[1]BASE'!GI45=0,"",'[1]BASE'!GI45)</f>
      </c>
      <c r="K45" s="986">
        <f>IF('[1]BASE'!GJ45=0,"",'[1]BASE'!GJ45)</f>
      </c>
      <c r="L45" s="986">
        <f>IF('[1]BASE'!GK45=0,"",'[1]BASE'!GK45)</f>
      </c>
      <c r="M45" s="986">
        <f>IF('[1]BASE'!GL45=0,"",'[1]BASE'!GL45)</f>
      </c>
      <c r="N45" s="986">
        <f>IF('[1]BASE'!GM45=0,"",'[1]BASE'!GM45)</f>
      </c>
      <c r="O45" s="986">
        <f>IF('[1]BASE'!GN45=0,"",'[1]BASE'!GN45)</f>
      </c>
      <c r="P45" s="986">
        <f>IF('[1]BASE'!GO45=0,"",'[1]BASE'!GO45)</f>
      </c>
      <c r="Q45" s="986">
        <f>IF('[1]BASE'!GP45=0,"",'[1]BASE'!GP45)</f>
      </c>
      <c r="R45" s="986">
        <f>IF('[1]BASE'!GQ45=0,"",'[1]BASE'!GQ45)</f>
      </c>
      <c r="S45" s="986">
        <f>IF('[1]BASE'!GR45=0,"",'[1]BASE'!GR45)</f>
      </c>
      <c r="T45" s="987"/>
      <c r="U45" s="983"/>
    </row>
    <row r="46" spans="2:21" s="977" customFormat="1" ht="19.5" customHeight="1">
      <c r="B46" s="978"/>
      <c r="C46" s="988">
        <f>IF('[1]BASE'!C46=0,"",'[1]BASE'!C46)</f>
        <v>30</v>
      </c>
      <c r="D46" s="988" t="str">
        <f>IF('[1]BASE'!D46=0,"",'[1]BASE'!D46)</f>
        <v>GRAL. RODRIGUEZ- ROSARIO OESTE </v>
      </c>
      <c r="E46" s="988">
        <f>IF('[1]BASE'!E46=0,"",'[1]BASE'!E46)</f>
        <v>500</v>
      </c>
      <c r="F46" s="988">
        <f>IF('[1]BASE'!F46=0,"",'[1]BASE'!F46)</f>
        <v>258</v>
      </c>
      <c r="G46" s="989" t="str">
        <f>IF('[1]BASE'!G46=0,"",'[1]BASE'!G46)</f>
        <v>C</v>
      </c>
      <c r="H46" s="986" t="str">
        <f>IF('[1]BASE'!GG46=0,"",'[1]BASE'!GG46)</f>
        <v>XXXX</v>
      </c>
      <c r="I46" s="986" t="str">
        <f>IF('[1]BASE'!GH46=0,"",'[1]BASE'!GH46)</f>
        <v>XXXX</v>
      </c>
      <c r="J46" s="986" t="str">
        <f>IF('[1]BASE'!GI46=0,"",'[1]BASE'!GI46)</f>
        <v>XXXX</v>
      </c>
      <c r="K46" s="986" t="str">
        <f>IF('[1]BASE'!GJ46=0,"",'[1]BASE'!GJ46)</f>
        <v>XXXX</v>
      </c>
      <c r="L46" s="986" t="str">
        <f>IF('[1]BASE'!GK46=0,"",'[1]BASE'!GK46)</f>
        <v>XXXX</v>
      </c>
      <c r="M46" s="986" t="str">
        <f>IF('[1]BASE'!GL46=0,"",'[1]BASE'!GL46)</f>
        <v>XXXX</v>
      </c>
      <c r="N46" s="986" t="str">
        <f>IF('[1]BASE'!GM46=0,"",'[1]BASE'!GM46)</f>
        <v>XXXX</v>
      </c>
      <c r="O46" s="986" t="str">
        <f>IF('[1]BASE'!GN46=0,"",'[1]BASE'!GN46)</f>
        <v>XXXX</v>
      </c>
      <c r="P46" s="986" t="str">
        <f>IF('[1]BASE'!GO46=0,"",'[1]BASE'!GO46)</f>
        <v>XXXX</v>
      </c>
      <c r="Q46" s="986" t="str">
        <f>IF('[1]BASE'!GP46=0,"",'[1]BASE'!GP46)</f>
        <v>XXXX</v>
      </c>
      <c r="R46" s="986" t="str">
        <f>IF('[1]BASE'!GQ46=0,"",'[1]BASE'!GQ46)</f>
        <v>XXXX</v>
      </c>
      <c r="S46" s="986" t="str">
        <f>IF('[1]BASE'!GR46=0,"",'[1]BASE'!GR46)</f>
        <v>XXXX</v>
      </c>
      <c r="T46" s="987"/>
      <c r="U46" s="983"/>
    </row>
    <row r="47" spans="2:21" s="977" customFormat="1" ht="19.5" customHeight="1">
      <c r="B47" s="978"/>
      <c r="C47" s="990">
        <f>IF('[1]BASE'!C47=0,"",'[1]BASE'!C47)</f>
        <v>31</v>
      </c>
      <c r="D47" s="990" t="str">
        <f>IF('[1]BASE'!D47=0,"",'[1]BASE'!D47)</f>
        <v>MALVINAS ARG. - ALMAFUERTE </v>
      </c>
      <c r="E47" s="990">
        <f>IF('[1]BASE'!E47=0,"",'[1]BASE'!E47)</f>
        <v>500</v>
      </c>
      <c r="F47" s="990">
        <f>IF('[1]BASE'!F47=0,"",'[1]BASE'!F47)</f>
        <v>105</v>
      </c>
      <c r="G47" s="991" t="str">
        <f>IF('[1]BASE'!G47=0,"",'[1]BASE'!G47)</f>
        <v>B</v>
      </c>
      <c r="H47" s="986">
        <f>IF('[1]BASE'!GG47=0,"",'[1]BASE'!GG47)</f>
      </c>
      <c r="I47" s="986">
        <f>IF('[1]BASE'!GH47=0,"",'[1]BASE'!GH47)</f>
      </c>
      <c r="J47" s="986">
        <f>IF('[1]BASE'!GI47=0,"",'[1]BASE'!GI47)</f>
      </c>
      <c r="K47" s="986">
        <f>IF('[1]BASE'!GJ47=0,"",'[1]BASE'!GJ47)</f>
      </c>
      <c r="L47" s="986">
        <f>IF('[1]BASE'!GK47=0,"",'[1]BASE'!GK47)</f>
      </c>
      <c r="M47" s="986">
        <f>IF('[1]BASE'!GL47=0,"",'[1]BASE'!GL47)</f>
      </c>
      <c r="N47" s="986">
        <f>IF('[1]BASE'!GM47=0,"",'[1]BASE'!GM47)</f>
      </c>
      <c r="O47" s="986">
        <f>IF('[1]BASE'!GN47=0,"",'[1]BASE'!GN47)</f>
      </c>
      <c r="P47" s="986">
        <f>IF('[1]BASE'!GO47=0,"",'[1]BASE'!GO47)</f>
      </c>
      <c r="Q47" s="986">
        <f>IF('[1]BASE'!GP47=0,"",'[1]BASE'!GP47)</f>
      </c>
      <c r="R47" s="986">
        <f>IF('[1]BASE'!GQ47=0,"",'[1]BASE'!GQ47)</f>
        <v>1</v>
      </c>
      <c r="S47" s="986">
        <f>IF('[1]BASE'!GR47=0,"",'[1]BASE'!GR47)</f>
      </c>
      <c r="T47" s="987"/>
      <c r="U47" s="983"/>
    </row>
    <row r="48" spans="2:21" s="977" customFormat="1" ht="19.5" customHeight="1">
      <c r="B48" s="978"/>
      <c r="C48" s="988">
        <f>IF('[1]BASE'!C48=0,"",'[1]BASE'!C48)</f>
        <v>32</v>
      </c>
      <c r="D48" s="988" t="str">
        <f>IF('[1]BASE'!D48=0,"",'[1]BASE'!D48)</f>
        <v>OLAVARRIA - BAHIA BLANCA 1</v>
      </c>
      <c r="E48" s="988">
        <f>IF('[1]BASE'!E48=0,"",'[1]BASE'!E48)</f>
        <v>500</v>
      </c>
      <c r="F48" s="988">
        <f>IF('[1]BASE'!F48=0,"",'[1]BASE'!F48)</f>
        <v>255</v>
      </c>
      <c r="G48" s="989" t="str">
        <f>IF('[1]BASE'!G48=0,"",'[1]BASE'!G48)</f>
        <v>B</v>
      </c>
      <c r="H48" s="986">
        <f>IF('[1]BASE'!GG48=0,"",'[1]BASE'!GG48)</f>
      </c>
      <c r="I48" s="986">
        <f>IF('[1]BASE'!GH48=0,"",'[1]BASE'!GH48)</f>
        <v>2</v>
      </c>
      <c r="J48" s="986">
        <f>IF('[1]BASE'!GI48=0,"",'[1]BASE'!GI48)</f>
      </c>
      <c r="K48" s="986">
        <f>IF('[1]BASE'!GJ48=0,"",'[1]BASE'!GJ48)</f>
      </c>
      <c r="L48" s="986">
        <f>IF('[1]BASE'!GK48=0,"",'[1]BASE'!GK48)</f>
      </c>
      <c r="M48" s="986">
        <f>IF('[1]BASE'!GL48=0,"",'[1]BASE'!GL48)</f>
      </c>
      <c r="N48" s="986">
        <f>IF('[1]BASE'!GM48=0,"",'[1]BASE'!GM48)</f>
        <v>1</v>
      </c>
      <c r="O48" s="986">
        <f>IF('[1]BASE'!GN48=0,"",'[1]BASE'!GN48)</f>
      </c>
      <c r="P48" s="986">
        <f>IF('[1]BASE'!GO48=0,"",'[1]BASE'!GO48)</f>
        <v>1</v>
      </c>
      <c r="Q48" s="986">
        <f>IF('[1]BASE'!GP48=0,"",'[1]BASE'!GP48)</f>
      </c>
      <c r="R48" s="986">
        <f>IF('[1]BASE'!GQ48=0,"",'[1]BASE'!GQ48)</f>
      </c>
      <c r="S48" s="986">
        <f>IF('[1]BASE'!GR48=0,"",'[1]BASE'!GR48)</f>
      </c>
      <c r="T48" s="987"/>
      <c r="U48" s="983"/>
    </row>
    <row r="49" spans="2:21" s="977" customFormat="1" ht="19.5" customHeight="1">
      <c r="B49" s="978"/>
      <c r="C49" s="990">
        <f>IF('[1]BASE'!C49=0,"",'[1]BASE'!C49)</f>
        <v>33</v>
      </c>
      <c r="D49" s="990" t="str">
        <f>IF('[1]BASE'!D49=0,"",'[1]BASE'!D49)</f>
        <v>OLAVARRIA - BAHIA BLANCA 2</v>
      </c>
      <c r="E49" s="990">
        <f>IF('[1]BASE'!E49=0,"",'[1]BASE'!E49)</f>
        <v>500</v>
      </c>
      <c r="F49" s="990">
        <f>IF('[1]BASE'!F49=0,"",'[1]BASE'!F49)</f>
        <v>254.8</v>
      </c>
      <c r="G49" s="991">
        <f>IF('[1]BASE'!G49=0,"",'[1]BASE'!G49)</f>
      </c>
      <c r="H49" s="986">
        <f>IF('[1]BASE'!GG49=0,"",'[1]BASE'!GG49)</f>
      </c>
      <c r="I49" s="986">
        <f>IF('[1]BASE'!GH49=0,"",'[1]BASE'!GH49)</f>
      </c>
      <c r="J49" s="986">
        <f>IF('[1]BASE'!GI49=0,"",'[1]BASE'!GI49)</f>
      </c>
      <c r="K49" s="986">
        <f>IF('[1]BASE'!GJ49=0,"",'[1]BASE'!GJ49)</f>
      </c>
      <c r="L49" s="986">
        <f>IF('[1]BASE'!GK49=0,"",'[1]BASE'!GK49)</f>
      </c>
      <c r="M49" s="986">
        <f>IF('[1]BASE'!GL49=0,"",'[1]BASE'!GL49)</f>
      </c>
      <c r="N49" s="986">
        <f>IF('[1]BASE'!GM49=0,"",'[1]BASE'!GM49)</f>
      </c>
      <c r="O49" s="986">
        <f>IF('[1]BASE'!GN49=0,"",'[1]BASE'!GN49)</f>
      </c>
      <c r="P49" s="986">
        <f>IF('[1]BASE'!GO49=0,"",'[1]BASE'!GO49)</f>
      </c>
      <c r="Q49" s="986">
        <f>IF('[1]BASE'!GP49=0,"",'[1]BASE'!GP49)</f>
      </c>
      <c r="R49" s="986">
        <f>IF('[1]BASE'!GQ49=0,"",'[1]BASE'!GQ49)</f>
      </c>
      <c r="S49" s="986">
        <f>IF('[1]BASE'!GR49=0,"",'[1]BASE'!GR49)</f>
      </c>
      <c r="T49" s="987"/>
      <c r="U49" s="983"/>
    </row>
    <row r="50" spans="2:21" s="977" customFormat="1" ht="19.5" customHeight="1">
      <c r="B50" s="978"/>
      <c r="C50" s="988">
        <f>IF('[1]BASE'!C50=0,"",'[1]BASE'!C50)</f>
        <v>34</v>
      </c>
      <c r="D50" s="988" t="str">
        <f>IF('[1]BASE'!D50=0,"",'[1]BASE'!D50)</f>
        <v>P.del AGUILA  - CHOELE CHOEL</v>
      </c>
      <c r="E50" s="988">
        <f>IF('[1]BASE'!E50=0,"",'[1]BASE'!E50)</f>
        <v>500</v>
      </c>
      <c r="F50" s="988">
        <f>IF('[1]BASE'!F50=0,"",'[1]BASE'!F50)</f>
        <v>386.7</v>
      </c>
      <c r="G50" s="989">
        <f>IF('[1]BASE'!G50=0,"",'[1]BASE'!G50)</f>
      </c>
      <c r="H50" s="986">
        <f>IF('[1]BASE'!GG50=0,"",'[1]BASE'!GG50)</f>
      </c>
      <c r="I50" s="986">
        <f>IF('[1]BASE'!GH50=0,"",'[1]BASE'!GH50)</f>
      </c>
      <c r="J50" s="986">
        <f>IF('[1]BASE'!GI50=0,"",'[1]BASE'!GI50)</f>
      </c>
      <c r="K50" s="986">
        <f>IF('[1]BASE'!GJ50=0,"",'[1]BASE'!GJ50)</f>
      </c>
      <c r="L50" s="986">
        <f>IF('[1]BASE'!GK50=0,"",'[1]BASE'!GK50)</f>
      </c>
      <c r="M50" s="986">
        <f>IF('[1]BASE'!GL50=0,"",'[1]BASE'!GL50)</f>
      </c>
      <c r="N50" s="986">
        <f>IF('[1]BASE'!GM50=0,"",'[1]BASE'!GM50)</f>
      </c>
      <c r="O50" s="986">
        <f>IF('[1]BASE'!GN50=0,"",'[1]BASE'!GN50)</f>
      </c>
      <c r="P50" s="986">
        <f>IF('[1]BASE'!GO50=0,"",'[1]BASE'!GO50)</f>
      </c>
      <c r="Q50" s="986">
        <f>IF('[1]BASE'!GP50=0,"",'[1]BASE'!GP50)</f>
      </c>
      <c r="R50" s="986">
        <f>IF('[1]BASE'!GQ50=0,"",'[1]BASE'!GQ50)</f>
      </c>
      <c r="S50" s="986">
        <f>IF('[1]BASE'!GR50=0,"",'[1]BASE'!GR50)</f>
      </c>
      <c r="T50" s="987"/>
      <c r="U50" s="983"/>
    </row>
    <row r="51" spans="2:21" s="977" customFormat="1" ht="19.5" customHeight="1">
      <c r="B51" s="978"/>
      <c r="C51" s="990">
        <f>IF('[1]BASE'!C51=0,"",'[1]BASE'!C51)</f>
        <v>35</v>
      </c>
      <c r="D51" s="990" t="str">
        <f>IF('[1]BASE'!D51=0,"",'[1]BASE'!D51)</f>
        <v>P.del AGUILA  - CHO. W. 1 (5GW1)</v>
      </c>
      <c r="E51" s="990">
        <f>IF('[1]BASE'!E51=0,"",'[1]BASE'!E51)</f>
        <v>500</v>
      </c>
      <c r="F51" s="990">
        <f>IF('[1]BASE'!F51=0,"",'[1]BASE'!F51)</f>
        <v>165</v>
      </c>
      <c r="G51" s="991" t="str">
        <f>IF('[1]BASE'!G51=0,"",'[1]BASE'!G51)</f>
        <v>A</v>
      </c>
      <c r="H51" s="986">
        <f>IF('[1]BASE'!GG51=0,"",'[1]BASE'!GG51)</f>
      </c>
      <c r="I51" s="986">
        <f>IF('[1]BASE'!GH51=0,"",'[1]BASE'!GH51)</f>
      </c>
      <c r="J51" s="986">
        <f>IF('[1]BASE'!GI51=0,"",'[1]BASE'!GI51)</f>
      </c>
      <c r="K51" s="986">
        <f>IF('[1]BASE'!GJ51=0,"",'[1]BASE'!GJ51)</f>
      </c>
      <c r="L51" s="986">
        <f>IF('[1]BASE'!GK51=0,"",'[1]BASE'!GK51)</f>
      </c>
      <c r="M51" s="986">
        <f>IF('[1]BASE'!GL51=0,"",'[1]BASE'!GL51)</f>
      </c>
      <c r="N51" s="986">
        <f>IF('[1]BASE'!GM51=0,"",'[1]BASE'!GM51)</f>
      </c>
      <c r="O51" s="986">
        <f>IF('[1]BASE'!GN51=0,"",'[1]BASE'!GN51)</f>
        <v>2</v>
      </c>
      <c r="P51" s="986">
        <f>IF('[1]BASE'!GO51=0,"",'[1]BASE'!GO51)</f>
      </c>
      <c r="Q51" s="986">
        <f>IF('[1]BASE'!GP51=0,"",'[1]BASE'!GP51)</f>
      </c>
      <c r="R51" s="986">
        <f>IF('[1]BASE'!GQ51=0,"",'[1]BASE'!GQ51)</f>
      </c>
      <c r="S51" s="986">
        <f>IF('[1]BASE'!GR51=0,"",'[1]BASE'!GR51)</f>
      </c>
      <c r="T51" s="987"/>
      <c r="U51" s="983"/>
    </row>
    <row r="52" spans="2:21" s="977" customFormat="1" ht="19.5" customHeight="1">
      <c r="B52" s="978"/>
      <c r="C52" s="988">
        <f>IF('[1]BASE'!C52=0,"",'[1]BASE'!C52)</f>
        <v>36</v>
      </c>
      <c r="D52" s="988" t="str">
        <f>IF('[1]BASE'!D52=0,"",'[1]BASE'!D52)</f>
        <v>P.del AGUILA  - CHO. W. 2 (5GW2)</v>
      </c>
      <c r="E52" s="988">
        <f>IF('[1]BASE'!E52=0,"",'[1]BASE'!E52)</f>
        <v>500</v>
      </c>
      <c r="F52" s="988">
        <f>IF('[1]BASE'!F52=0,"",'[1]BASE'!F52)</f>
        <v>170</v>
      </c>
      <c r="G52" s="989" t="str">
        <f>IF('[1]BASE'!G52=0,"",'[1]BASE'!G52)</f>
        <v>A</v>
      </c>
      <c r="H52" s="986">
        <f>IF('[1]BASE'!GG52=0,"",'[1]BASE'!GG52)</f>
      </c>
      <c r="I52" s="986">
        <f>IF('[1]BASE'!GH52=0,"",'[1]BASE'!GH52)</f>
      </c>
      <c r="J52" s="986">
        <f>IF('[1]BASE'!GI52=0,"",'[1]BASE'!GI52)</f>
      </c>
      <c r="K52" s="986">
        <f>IF('[1]BASE'!GJ52=0,"",'[1]BASE'!GJ52)</f>
      </c>
      <c r="L52" s="986">
        <f>IF('[1]BASE'!GK52=0,"",'[1]BASE'!GK52)</f>
      </c>
      <c r="M52" s="986">
        <f>IF('[1]BASE'!GL52=0,"",'[1]BASE'!GL52)</f>
      </c>
      <c r="N52" s="986">
        <f>IF('[1]BASE'!GM52=0,"",'[1]BASE'!GM52)</f>
      </c>
      <c r="O52" s="986">
        <f>IF('[1]BASE'!GN52=0,"",'[1]BASE'!GN52)</f>
      </c>
      <c r="P52" s="986">
        <f>IF('[1]BASE'!GO52=0,"",'[1]BASE'!GO52)</f>
      </c>
      <c r="Q52" s="986">
        <f>IF('[1]BASE'!GP52=0,"",'[1]BASE'!GP52)</f>
      </c>
      <c r="R52" s="986">
        <f>IF('[1]BASE'!GQ52=0,"",'[1]BASE'!GQ52)</f>
      </c>
      <c r="S52" s="986">
        <f>IF('[1]BASE'!GR52=0,"",'[1]BASE'!GR52)</f>
      </c>
      <c r="T52" s="987"/>
      <c r="U52" s="983"/>
    </row>
    <row r="53" spans="2:21" s="977" customFormat="1" ht="19.5" customHeight="1">
      <c r="B53" s="978"/>
      <c r="C53" s="990">
        <f>IF('[1]BASE'!C53=0,"",'[1]BASE'!C53)</f>
        <v>37</v>
      </c>
      <c r="D53" s="990" t="str">
        <f>IF('[1]BASE'!D53=0,"",'[1]BASE'!D53)</f>
        <v>PUELCHES - HENDERSON 1 (B1)</v>
      </c>
      <c r="E53" s="990">
        <f>IF('[1]BASE'!E53=0,"",'[1]BASE'!E53)</f>
        <v>500</v>
      </c>
      <c r="F53" s="990">
        <f>IF('[1]BASE'!F53=0,"",'[1]BASE'!F53)</f>
        <v>421</v>
      </c>
      <c r="G53" s="991" t="str">
        <f>IF('[1]BASE'!G53=0,"",'[1]BASE'!G53)</f>
        <v>A</v>
      </c>
      <c r="H53" s="986">
        <f>IF('[1]BASE'!GG53=0,"",'[1]BASE'!GG53)</f>
      </c>
      <c r="I53" s="986">
        <f>IF('[1]BASE'!GH53=0,"",'[1]BASE'!GH53)</f>
      </c>
      <c r="J53" s="986">
        <f>IF('[1]BASE'!GI53=0,"",'[1]BASE'!GI53)</f>
      </c>
      <c r="K53" s="986">
        <f>IF('[1]BASE'!GJ53=0,"",'[1]BASE'!GJ53)</f>
      </c>
      <c r="L53" s="986">
        <f>IF('[1]BASE'!GK53=0,"",'[1]BASE'!GK53)</f>
      </c>
      <c r="M53" s="986">
        <f>IF('[1]BASE'!GL53=0,"",'[1]BASE'!GL53)</f>
      </c>
      <c r="N53" s="986">
        <f>IF('[1]BASE'!GM53=0,"",'[1]BASE'!GM53)</f>
      </c>
      <c r="O53" s="986">
        <f>IF('[1]BASE'!GN53=0,"",'[1]BASE'!GN53)</f>
      </c>
      <c r="P53" s="986">
        <f>IF('[1]BASE'!GO53=0,"",'[1]BASE'!GO53)</f>
      </c>
      <c r="Q53" s="986">
        <f>IF('[1]BASE'!GP53=0,"",'[1]BASE'!GP53)</f>
      </c>
      <c r="R53" s="986">
        <f>IF('[1]BASE'!GQ53=0,"",'[1]BASE'!GQ53)</f>
      </c>
      <c r="S53" s="986">
        <f>IF('[1]BASE'!GR53=0,"",'[1]BASE'!GR53)</f>
      </c>
      <c r="T53" s="987"/>
      <c r="U53" s="983"/>
    </row>
    <row r="54" spans="2:21" s="977" customFormat="1" ht="19.5" customHeight="1">
      <c r="B54" s="978"/>
      <c r="C54" s="988">
        <f>IF('[1]BASE'!C54=0,"",'[1]BASE'!C54)</f>
        <v>38</v>
      </c>
      <c r="D54" s="988" t="str">
        <f>IF('[1]BASE'!D54=0,"",'[1]BASE'!D54)</f>
        <v>PUELCHES - HENDERSON 2 (B2)</v>
      </c>
      <c r="E54" s="988">
        <f>IF('[1]BASE'!E54=0,"",'[1]BASE'!E54)</f>
        <v>500</v>
      </c>
      <c r="F54" s="988">
        <f>IF('[1]BASE'!F54=0,"",'[1]BASE'!F54)</f>
        <v>421</v>
      </c>
      <c r="G54" s="989" t="str">
        <f>IF('[1]BASE'!G54=0,"",'[1]BASE'!G54)</f>
        <v>A</v>
      </c>
      <c r="H54" s="986" t="str">
        <f>IF('[1]BASE'!GG54=0,"",'[1]BASE'!GG54)</f>
        <v> </v>
      </c>
      <c r="I54" s="986" t="str">
        <f>IF('[1]BASE'!GH54=0,"",'[1]BASE'!GH54)</f>
        <v>XXXX</v>
      </c>
      <c r="J54" s="986" t="str">
        <f>IF('[1]BASE'!GI54=0,"",'[1]BASE'!GI54)</f>
        <v>XXXX</v>
      </c>
      <c r="K54" s="986" t="str">
        <f>IF('[1]BASE'!GJ54=0,"",'[1]BASE'!GJ54)</f>
        <v>XXXX</v>
      </c>
      <c r="L54" s="986" t="str">
        <f>IF('[1]BASE'!GK54=0,"",'[1]BASE'!GK54)</f>
        <v>XXXX</v>
      </c>
      <c r="M54" s="986" t="str">
        <f>IF('[1]BASE'!GL54=0,"",'[1]BASE'!GL54)</f>
        <v>XXXX</v>
      </c>
      <c r="N54" s="986" t="str">
        <f>IF('[1]BASE'!GM54=0,"",'[1]BASE'!GM54)</f>
        <v>XXXX</v>
      </c>
      <c r="O54" s="986" t="str">
        <f>IF('[1]BASE'!GN54=0,"",'[1]BASE'!GN54)</f>
        <v>XXXX</v>
      </c>
      <c r="P54" s="986" t="str">
        <f>IF('[1]BASE'!GO54=0,"",'[1]BASE'!GO54)</f>
        <v>XXXX</v>
      </c>
      <c r="Q54" s="986" t="str">
        <f>IF('[1]BASE'!GP54=0,"",'[1]BASE'!GP54)</f>
        <v>XXXX</v>
      </c>
      <c r="R54" s="986" t="str">
        <f>IF('[1]BASE'!GQ54=0,"",'[1]BASE'!GQ54)</f>
        <v>XXXX</v>
      </c>
      <c r="S54" s="986" t="str">
        <f>IF('[1]BASE'!GR54=0,"",'[1]BASE'!GR54)</f>
        <v>XXXX</v>
      </c>
      <c r="T54" s="987"/>
      <c r="U54" s="983"/>
    </row>
    <row r="55" spans="2:21" s="977" customFormat="1" ht="19.5" customHeight="1">
      <c r="B55" s="978"/>
      <c r="C55" s="990">
        <f>IF('[1]BASE'!C55=0,"",'[1]BASE'!C55)</f>
        <v>39</v>
      </c>
      <c r="D55" s="990" t="str">
        <f>IF('[1]BASE'!D55=0,"",'[1]BASE'!D55)</f>
        <v>RECREO - MALVINAS ARG. </v>
      </c>
      <c r="E55" s="990">
        <f>IF('[1]BASE'!E55=0,"",'[1]BASE'!E55)</f>
        <v>500</v>
      </c>
      <c r="F55" s="990">
        <f>IF('[1]BASE'!F55=0,"",'[1]BASE'!F55)</f>
        <v>259</v>
      </c>
      <c r="G55" s="991" t="str">
        <f>IF('[1]BASE'!G55=0,"",'[1]BASE'!G55)</f>
        <v>C</v>
      </c>
      <c r="H55" s="986">
        <f>IF('[1]BASE'!GG55=0,"",'[1]BASE'!GG55)</f>
      </c>
      <c r="I55" s="986">
        <f>IF('[1]BASE'!GH55=0,"",'[1]BASE'!GH55)</f>
      </c>
      <c r="J55" s="986">
        <f>IF('[1]BASE'!GI55=0,"",'[1]BASE'!GI55)</f>
      </c>
      <c r="K55" s="986">
        <f>IF('[1]BASE'!GJ55=0,"",'[1]BASE'!GJ55)</f>
      </c>
      <c r="L55" s="986">
        <f>IF('[1]BASE'!GK55=0,"",'[1]BASE'!GK55)</f>
      </c>
      <c r="M55" s="986">
        <f>IF('[1]BASE'!GL55=0,"",'[1]BASE'!GL55)</f>
      </c>
      <c r="N55" s="986">
        <f>IF('[1]BASE'!GM55=0,"",'[1]BASE'!GM55)</f>
      </c>
      <c r="O55" s="986">
        <f>IF('[1]BASE'!GN55=0,"",'[1]BASE'!GN55)</f>
      </c>
      <c r="P55" s="986">
        <f>IF('[1]BASE'!GO55=0,"",'[1]BASE'!GO55)</f>
      </c>
      <c r="Q55" s="986">
        <f>IF('[1]BASE'!GP55=0,"",'[1]BASE'!GP55)</f>
      </c>
      <c r="R55" s="986">
        <f>IF('[1]BASE'!GQ55=0,"",'[1]BASE'!GQ55)</f>
      </c>
      <c r="S55" s="986">
        <f>IF('[1]BASE'!GR55=0,"",'[1]BASE'!GR55)</f>
      </c>
      <c r="T55" s="987"/>
      <c r="U55" s="983"/>
    </row>
    <row r="56" spans="2:21" s="977" customFormat="1" ht="19.5" customHeight="1">
      <c r="B56" s="978"/>
      <c r="C56" s="988">
        <f>IF('[1]BASE'!C56=0,"",'[1]BASE'!C56)</f>
        <v>40</v>
      </c>
      <c r="D56" s="988" t="str">
        <f>IF('[1]BASE'!D56=0,"",'[1]BASE'!D56)</f>
        <v>RIO GRANDE - EMBALSE</v>
      </c>
      <c r="E56" s="988">
        <f>IF('[1]BASE'!E56=0,"",'[1]BASE'!E56)</f>
        <v>500</v>
      </c>
      <c r="F56" s="988">
        <f>IF('[1]BASE'!F56=0,"",'[1]BASE'!F56)</f>
        <v>30</v>
      </c>
      <c r="G56" s="989" t="str">
        <f>IF('[1]BASE'!G56=0,"",'[1]BASE'!G56)</f>
        <v>B</v>
      </c>
      <c r="H56" s="986">
        <f>IF('[1]BASE'!GG56=0,"",'[1]BASE'!GG56)</f>
      </c>
      <c r="I56" s="986">
        <f>IF('[1]BASE'!GH56=0,"",'[1]BASE'!GH56)</f>
      </c>
      <c r="J56" s="986">
        <f>IF('[1]BASE'!GI56=0,"",'[1]BASE'!GI56)</f>
      </c>
      <c r="K56" s="986">
        <f>IF('[1]BASE'!GJ56=0,"",'[1]BASE'!GJ56)</f>
      </c>
      <c r="L56" s="986">
        <f>IF('[1]BASE'!GK56=0,"",'[1]BASE'!GK56)</f>
      </c>
      <c r="M56" s="986">
        <f>IF('[1]BASE'!GL56=0,"",'[1]BASE'!GL56)</f>
      </c>
      <c r="N56" s="986">
        <f>IF('[1]BASE'!GM56=0,"",'[1]BASE'!GM56)</f>
      </c>
      <c r="O56" s="986">
        <f>IF('[1]BASE'!GN56=0,"",'[1]BASE'!GN56)</f>
      </c>
      <c r="P56" s="986">
        <f>IF('[1]BASE'!GO56=0,"",'[1]BASE'!GO56)</f>
      </c>
      <c r="Q56" s="986">
        <f>IF('[1]BASE'!GP56=0,"",'[1]BASE'!GP56)</f>
      </c>
      <c r="R56" s="986">
        <f>IF('[1]BASE'!GQ56=0,"",'[1]BASE'!GQ56)</f>
      </c>
      <c r="S56" s="986">
        <f>IF('[1]BASE'!GR56=0,"",'[1]BASE'!GR56)</f>
      </c>
      <c r="T56" s="987"/>
      <c r="U56" s="983"/>
    </row>
    <row r="57" spans="2:21" s="977" customFormat="1" ht="19.5" customHeight="1">
      <c r="B57" s="978"/>
      <c r="C57" s="990">
        <f>IF('[1]BASE'!C57=0,"",'[1]BASE'!C57)</f>
        <v>41</v>
      </c>
      <c r="D57" s="990" t="str">
        <f>IF('[1]BASE'!D57=0,"",'[1]BASE'!D57)</f>
        <v>RIO GRANDE - GRAN MENDOZA</v>
      </c>
      <c r="E57" s="990">
        <f>IF('[1]BASE'!E57=0,"",'[1]BASE'!E57)</f>
        <v>500</v>
      </c>
      <c r="F57" s="990">
        <f>IF('[1]BASE'!F57=0,"",'[1]BASE'!F57)</f>
        <v>407</v>
      </c>
      <c r="G57" s="991" t="str">
        <f>IF('[1]BASE'!G57=0,"",'[1]BASE'!G57)</f>
        <v>B</v>
      </c>
      <c r="H57" s="986" t="str">
        <f>IF('[1]BASE'!GG57=0,"",'[1]BASE'!GG57)</f>
        <v>XXXX</v>
      </c>
      <c r="I57" s="986" t="str">
        <f>IF('[1]BASE'!GH57=0,"",'[1]BASE'!GH57)</f>
        <v>XXXX</v>
      </c>
      <c r="J57" s="986" t="str">
        <f>IF('[1]BASE'!GI57=0,"",'[1]BASE'!GI57)</f>
        <v>XXXX</v>
      </c>
      <c r="K57" s="986" t="str">
        <f>IF('[1]BASE'!GJ57=0,"",'[1]BASE'!GJ57)</f>
        <v>XXXX</v>
      </c>
      <c r="L57" s="986" t="str">
        <f>IF('[1]BASE'!GK57=0,"",'[1]BASE'!GK57)</f>
        <v>XXXX</v>
      </c>
      <c r="M57" s="986" t="str">
        <f>IF('[1]BASE'!GL57=0,"",'[1]BASE'!GL57)</f>
        <v>XXXX</v>
      </c>
      <c r="N57" s="986" t="str">
        <f>IF('[1]BASE'!GM57=0,"",'[1]BASE'!GM57)</f>
        <v>XXXX</v>
      </c>
      <c r="O57" s="986" t="str">
        <f>IF('[1]BASE'!GN57=0,"",'[1]BASE'!GN57)</f>
        <v>XXXX</v>
      </c>
      <c r="P57" s="986" t="str">
        <f>IF('[1]BASE'!GO57=0,"",'[1]BASE'!GO57)</f>
        <v>XXXX</v>
      </c>
      <c r="Q57" s="986" t="str">
        <f>IF('[1]BASE'!GP57=0,"",'[1]BASE'!GP57)</f>
        <v>XXXX</v>
      </c>
      <c r="R57" s="986" t="str">
        <f>IF('[1]BASE'!GQ57=0,"",'[1]BASE'!GQ57)</f>
        <v>XXXX</v>
      </c>
      <c r="S57" s="986" t="str">
        <f>IF('[1]BASE'!GR57=0,"",'[1]BASE'!GR57)</f>
        <v>XXXX</v>
      </c>
      <c r="T57" s="987"/>
      <c r="U57" s="983"/>
    </row>
    <row r="58" spans="2:21" s="977" customFormat="1" ht="19.5" customHeight="1">
      <c r="B58" s="978"/>
      <c r="C58" s="988">
        <f>IF('[1]BASE'!C58=0,"",'[1]BASE'!C58)</f>
        <v>42</v>
      </c>
      <c r="D58" s="988" t="str">
        <f>IF('[1]BASE'!D58=0,"",'[1]BASE'!D58)</f>
        <v>RIO GRANDE - LUJAN</v>
      </c>
      <c r="E58" s="988">
        <f>IF('[1]BASE'!E58=0,"",'[1]BASE'!E58)</f>
        <v>500</v>
      </c>
      <c r="F58" s="988">
        <f>IF('[1]BASE'!F58=0,"",'[1]BASE'!F58)</f>
        <v>150</v>
      </c>
      <c r="G58" s="989" t="str">
        <f>IF('[1]BASE'!G58=0,"",'[1]BASE'!G58)</f>
        <v>A</v>
      </c>
      <c r="H58" s="986">
        <f>IF('[1]BASE'!GG58=0,"",'[1]BASE'!GG58)</f>
      </c>
      <c r="I58" s="986">
        <f>IF('[1]BASE'!GH58=0,"",'[1]BASE'!GH58)</f>
      </c>
      <c r="J58" s="986">
        <f>IF('[1]BASE'!GI58=0,"",'[1]BASE'!GI58)</f>
      </c>
      <c r="K58" s="986">
        <f>IF('[1]BASE'!GJ58=0,"",'[1]BASE'!GJ58)</f>
      </c>
      <c r="L58" s="986">
        <f>IF('[1]BASE'!GK58=0,"",'[1]BASE'!GK58)</f>
      </c>
      <c r="M58" s="986">
        <f>IF('[1]BASE'!GL58=0,"",'[1]BASE'!GL58)</f>
      </c>
      <c r="N58" s="986">
        <f>IF('[1]BASE'!GM58=0,"",'[1]BASE'!GM58)</f>
      </c>
      <c r="O58" s="986">
        <f>IF('[1]BASE'!GN58=0,"",'[1]BASE'!GN58)</f>
      </c>
      <c r="P58" s="986">
        <f>IF('[1]BASE'!GO58=0,"",'[1]BASE'!GO58)</f>
      </c>
      <c r="Q58" s="986">
        <f>IF('[1]BASE'!GP58=0,"",'[1]BASE'!GP58)</f>
      </c>
      <c r="R58" s="986">
        <f>IF('[1]BASE'!GQ58=0,"",'[1]BASE'!GQ58)</f>
      </c>
      <c r="S58" s="986">
        <f>IF('[1]BASE'!GR58=0,"",'[1]BASE'!GR58)</f>
      </c>
      <c r="T58" s="987"/>
      <c r="U58" s="983"/>
    </row>
    <row r="59" spans="2:21" s="977" customFormat="1" ht="19.5" customHeight="1">
      <c r="B59" s="978"/>
      <c r="C59" s="990">
        <f>IF('[1]BASE'!C59=0,"",'[1]BASE'!C59)</f>
        <v>43</v>
      </c>
      <c r="D59" s="990" t="str">
        <f>IF('[1]BASE'!D59=0,"",'[1]BASE'!D59)</f>
        <v>LUJAN - GRAN MENDOZA</v>
      </c>
      <c r="E59" s="990">
        <f>IF('[1]BASE'!E59=0,"",'[1]BASE'!E59)</f>
        <v>500</v>
      </c>
      <c r="F59" s="990">
        <f>IF('[1]BASE'!F59=0,"",'[1]BASE'!F59)</f>
        <v>257</v>
      </c>
      <c r="G59" s="991" t="str">
        <f>IF('[1]BASE'!G59=0,"",'[1]BASE'!G59)</f>
        <v>B</v>
      </c>
      <c r="H59" s="986">
        <f>IF('[1]BASE'!GG59=0,"",'[1]BASE'!GG59)</f>
      </c>
      <c r="I59" s="986">
        <f>IF('[1]BASE'!GH59=0,"",'[1]BASE'!GH59)</f>
      </c>
      <c r="J59" s="986">
        <f>IF('[1]BASE'!GI59=0,"",'[1]BASE'!GI59)</f>
      </c>
      <c r="K59" s="986">
        <f>IF('[1]BASE'!GJ59=0,"",'[1]BASE'!GJ59)</f>
      </c>
      <c r="L59" s="986">
        <f>IF('[1]BASE'!GK59=0,"",'[1]BASE'!GK59)</f>
      </c>
      <c r="M59" s="986">
        <f>IF('[1]BASE'!GL59=0,"",'[1]BASE'!GL59)</f>
      </c>
      <c r="N59" s="986">
        <f>IF('[1]BASE'!GM59=0,"",'[1]BASE'!GM59)</f>
      </c>
      <c r="O59" s="986">
        <f>IF('[1]BASE'!GN59=0,"",'[1]BASE'!GN59)</f>
      </c>
      <c r="P59" s="986">
        <f>IF('[1]BASE'!GO59=0,"",'[1]BASE'!GO59)</f>
      </c>
      <c r="Q59" s="986">
        <f>IF('[1]BASE'!GP59=0,"",'[1]BASE'!GP59)</f>
      </c>
      <c r="R59" s="986">
        <f>IF('[1]BASE'!GQ59=0,"",'[1]BASE'!GQ59)</f>
      </c>
      <c r="S59" s="986">
        <f>IF('[1]BASE'!GR59=0,"",'[1]BASE'!GR59)</f>
      </c>
      <c r="T59" s="987"/>
      <c r="U59" s="983"/>
    </row>
    <row r="60" spans="2:21" s="977" customFormat="1" ht="19.5" customHeight="1">
      <c r="B60" s="978"/>
      <c r="C60" s="988">
        <f>IF('[1]BASE'!C60=0,"",'[1]BASE'!C60)</f>
        <v>44</v>
      </c>
      <c r="D60" s="988" t="str">
        <f>IF('[1]BASE'!D60=0,"",'[1]BASE'!D60)</f>
        <v>ROMANG - RESISTENCIA</v>
      </c>
      <c r="E60" s="988">
        <f>IF('[1]BASE'!E60=0,"",'[1]BASE'!E60)</f>
        <v>500</v>
      </c>
      <c r="F60" s="988">
        <f>IF('[1]BASE'!F60=0,"",'[1]BASE'!F60)</f>
        <v>256</v>
      </c>
      <c r="G60" s="989" t="str">
        <f>IF('[1]BASE'!G60=0,"",'[1]BASE'!G60)</f>
        <v>A</v>
      </c>
      <c r="H60" s="986">
        <f>IF('[1]BASE'!GG60=0,"",'[1]BASE'!GG60)</f>
      </c>
      <c r="I60" s="986">
        <f>IF('[1]BASE'!GH60=0,"",'[1]BASE'!GH60)</f>
      </c>
      <c r="J60" s="986">
        <f>IF('[1]BASE'!GI60=0,"",'[1]BASE'!GI60)</f>
      </c>
      <c r="K60" s="986">
        <f>IF('[1]BASE'!GJ60=0,"",'[1]BASE'!GJ60)</f>
      </c>
      <c r="L60" s="986">
        <f>IF('[1]BASE'!GK60=0,"",'[1]BASE'!GK60)</f>
      </c>
      <c r="M60" s="986">
        <f>IF('[1]BASE'!GL60=0,"",'[1]BASE'!GL60)</f>
      </c>
      <c r="N60" s="986">
        <f>IF('[1]BASE'!GM60=0,"",'[1]BASE'!GM60)</f>
      </c>
      <c r="O60" s="986">
        <f>IF('[1]BASE'!GN60=0,"",'[1]BASE'!GN60)</f>
      </c>
      <c r="P60" s="986">
        <f>IF('[1]BASE'!GO60=0,"",'[1]BASE'!GO60)</f>
      </c>
      <c r="Q60" s="986">
        <f>IF('[1]BASE'!GP60=0,"",'[1]BASE'!GP60)</f>
      </c>
      <c r="R60" s="986">
        <f>IF('[1]BASE'!GQ60=0,"",'[1]BASE'!GQ60)</f>
        <v>2</v>
      </c>
      <c r="S60" s="986">
        <f>IF('[1]BASE'!GR60=0,"",'[1]BASE'!GR60)</f>
      </c>
      <c r="T60" s="987"/>
      <c r="U60" s="983"/>
    </row>
    <row r="61" spans="2:21" s="977" customFormat="1" ht="19.5" customHeight="1">
      <c r="B61" s="978"/>
      <c r="C61" s="990">
        <f>IF('[1]BASE'!C61=0,"",'[1]BASE'!C61)</f>
        <v>45</v>
      </c>
      <c r="D61" s="990" t="str">
        <f>IF('[1]BASE'!D61=0,"",'[1]BASE'!D61)</f>
        <v>ROSARIO OESTE -SANTO TOME</v>
      </c>
      <c r="E61" s="990">
        <f>IF('[1]BASE'!E61=0,"",'[1]BASE'!E61)</f>
        <v>500</v>
      </c>
      <c r="F61" s="990">
        <f>IF('[1]BASE'!F61=0,"",'[1]BASE'!F61)</f>
        <v>159</v>
      </c>
      <c r="G61" s="991" t="str">
        <f>IF('[1]BASE'!G61=0,"",'[1]BASE'!G61)</f>
        <v>C</v>
      </c>
      <c r="H61" s="986">
        <f>IF('[1]BASE'!GG61=0,"",'[1]BASE'!GG61)</f>
      </c>
      <c r="I61" s="986">
        <f>IF('[1]BASE'!GH61=0,"",'[1]BASE'!GH61)</f>
      </c>
      <c r="J61" s="986">
        <f>IF('[1]BASE'!GI61=0,"",'[1]BASE'!GI61)</f>
      </c>
      <c r="K61" s="986">
        <f>IF('[1]BASE'!GJ61=0,"",'[1]BASE'!GJ61)</f>
      </c>
      <c r="L61" s="986">
        <f>IF('[1]BASE'!GK61=0,"",'[1]BASE'!GK61)</f>
      </c>
      <c r="M61" s="986">
        <f>IF('[1]BASE'!GL61=0,"",'[1]BASE'!GL61)</f>
      </c>
      <c r="N61" s="986">
        <f>IF('[1]BASE'!GM61=0,"",'[1]BASE'!GM61)</f>
        <v>1</v>
      </c>
      <c r="O61" s="986">
        <f>IF('[1]BASE'!GN61=0,"",'[1]BASE'!GN61)</f>
      </c>
      <c r="P61" s="986">
        <f>IF('[1]BASE'!GO61=0,"",'[1]BASE'!GO61)</f>
      </c>
      <c r="Q61" s="986">
        <f>IF('[1]BASE'!GP61=0,"",'[1]BASE'!GP61)</f>
        <v>1</v>
      </c>
      <c r="R61" s="986">
        <f>IF('[1]BASE'!GQ61=0,"",'[1]BASE'!GQ61)</f>
        <v>1</v>
      </c>
      <c r="S61" s="986" t="str">
        <f>IF('[1]BASE'!GR61=0,"",'[1]BASE'!GR61)</f>
        <v>XXXX</v>
      </c>
      <c r="T61" s="987"/>
      <c r="U61" s="983"/>
    </row>
    <row r="62" spans="2:21" s="977" customFormat="1" ht="19.5" customHeight="1">
      <c r="B62" s="978"/>
      <c r="C62" s="988">
        <f>IF('[1]BASE'!C62=0,"",'[1]BASE'!C62)</f>
      </c>
      <c r="D62" s="988" t="str">
        <f>IF('[1]BASE'!D62=0,"",'[1]BASE'!D62)</f>
        <v>ROSARIO OESTE - RIO CORONDA</v>
      </c>
      <c r="E62" s="988">
        <f>IF('[1]BASE'!E62=0,"",'[1]BASE'!E62)</f>
        <v>500</v>
      </c>
      <c r="F62" s="988">
        <f>IF('[1]BASE'!F62=0,"",'[1]BASE'!F62)</f>
        <v>64.99</v>
      </c>
      <c r="G62" s="989" t="str">
        <f>IF('[1]BASE'!G62=0,"",'[1]BASE'!G62)</f>
        <v>B</v>
      </c>
      <c r="H62" s="986" t="str">
        <f>IF('[1]BASE'!GG62=0,"",'[1]BASE'!GG62)</f>
        <v>XXXX</v>
      </c>
      <c r="I62" s="986" t="str">
        <f>IF('[1]BASE'!GH62=0,"",'[1]BASE'!GH62)</f>
        <v>XXXX</v>
      </c>
      <c r="J62" s="986" t="str">
        <f>IF('[1]BASE'!GI62=0,"",'[1]BASE'!GI62)</f>
        <v>XXXX</v>
      </c>
      <c r="K62" s="986" t="str">
        <f>IF('[1]BASE'!GJ62=0,"",'[1]BASE'!GJ62)</f>
        <v>XXXX</v>
      </c>
      <c r="L62" s="986" t="str">
        <f>IF('[1]BASE'!GK62=0,"",'[1]BASE'!GK62)</f>
        <v>XXXX</v>
      </c>
      <c r="M62" s="986" t="str">
        <f>IF('[1]BASE'!GL62=0,"",'[1]BASE'!GL62)</f>
        <v>XXXX</v>
      </c>
      <c r="N62" s="986" t="str">
        <f>IF('[1]BASE'!GM62=0,"",'[1]BASE'!GM62)</f>
        <v>XXXX</v>
      </c>
      <c r="O62" s="986" t="str">
        <f>IF('[1]BASE'!GN62=0,"",'[1]BASE'!GN62)</f>
        <v>XXXX</v>
      </c>
      <c r="P62" s="986" t="str">
        <f>IF('[1]BASE'!GO62=0,"",'[1]BASE'!GO62)</f>
        <v>XXXX</v>
      </c>
      <c r="Q62" s="986" t="str">
        <f>IF('[1]BASE'!GP62=0,"",'[1]BASE'!GP62)</f>
        <v>XXXX</v>
      </c>
      <c r="R62" s="986" t="str">
        <f>IF('[1]BASE'!GQ62=0,"",'[1]BASE'!GQ62)</f>
        <v>XXXX</v>
      </c>
      <c r="S62" s="986">
        <f>IF('[1]BASE'!GR62=0,"",'[1]BASE'!GR62)</f>
      </c>
      <c r="T62" s="987"/>
      <c r="U62" s="983"/>
    </row>
    <row r="63" spans="2:21" s="977" customFormat="1" ht="19.5" customHeight="1">
      <c r="B63" s="978"/>
      <c r="C63" s="990">
        <f>IF('[1]BASE'!C63=0,"",'[1]BASE'!C63)</f>
      </c>
      <c r="D63" s="990" t="str">
        <f>IF('[1]BASE'!D63=0,"",'[1]BASE'!D63)</f>
        <v>RIO CORONDA - SANTO TOME</v>
      </c>
      <c r="E63" s="990">
        <f>IF('[1]BASE'!E63=0,"",'[1]BASE'!E63)</f>
        <v>500</v>
      </c>
      <c r="F63" s="990">
        <f>IF('[1]BASE'!F63=0,"",'[1]BASE'!F63)</f>
        <v>137.94</v>
      </c>
      <c r="G63" s="991" t="str">
        <f>IF('[1]BASE'!G63=0,"",'[1]BASE'!G63)</f>
        <v>C</v>
      </c>
      <c r="H63" s="986" t="str">
        <f>IF('[1]BASE'!GG63=0,"",'[1]BASE'!GG63)</f>
        <v>XXXX</v>
      </c>
      <c r="I63" s="986" t="str">
        <f>IF('[1]BASE'!GH63=0,"",'[1]BASE'!GH63)</f>
        <v>XXXX</v>
      </c>
      <c r="J63" s="986" t="str">
        <f>IF('[1]BASE'!GI63=0,"",'[1]BASE'!GI63)</f>
        <v>XXXX</v>
      </c>
      <c r="K63" s="986" t="str">
        <f>IF('[1]BASE'!GJ63=0,"",'[1]BASE'!GJ63)</f>
        <v>XXXX</v>
      </c>
      <c r="L63" s="986" t="str">
        <f>IF('[1]BASE'!GK63=0,"",'[1]BASE'!GK63)</f>
        <v>XXXX</v>
      </c>
      <c r="M63" s="986" t="str">
        <f>IF('[1]BASE'!GL63=0,"",'[1]BASE'!GL63)</f>
        <v>XXXX</v>
      </c>
      <c r="N63" s="986" t="str">
        <f>IF('[1]BASE'!GM63=0,"",'[1]BASE'!GM63)</f>
        <v>XXXX</v>
      </c>
      <c r="O63" s="986" t="str">
        <f>IF('[1]BASE'!GN63=0,"",'[1]BASE'!GN63)</f>
        <v>XXXX</v>
      </c>
      <c r="P63" s="986" t="str">
        <f>IF('[1]BASE'!GO63=0,"",'[1]BASE'!GO63)</f>
        <v>XXXX</v>
      </c>
      <c r="Q63" s="986" t="str">
        <f>IF('[1]BASE'!GP63=0,"",'[1]BASE'!GP63)</f>
        <v>XXXX</v>
      </c>
      <c r="R63" s="986" t="str">
        <f>IF('[1]BASE'!GQ63=0,"",'[1]BASE'!GQ63)</f>
        <v>XXXX</v>
      </c>
      <c r="S63" s="986">
        <f>IF('[1]BASE'!GR63=0,"",'[1]BASE'!GR63)</f>
      </c>
      <c r="T63" s="987"/>
      <c r="U63" s="983"/>
    </row>
    <row r="64" spans="2:21" s="977" customFormat="1" ht="9.75" customHeight="1">
      <c r="B64" s="978"/>
      <c r="C64" s="988">
        <f>IF('[1]BASE'!C64=0,"",'[1]BASE'!C64)</f>
        <v>46</v>
      </c>
      <c r="D64" s="988" t="str">
        <f>IF('[1]BASE'!D64=0,"",'[1]BASE'!D64)</f>
        <v>SALTO GRANDE - SANTO TOME </v>
      </c>
      <c r="E64" s="988">
        <f>IF('[1]BASE'!E64=0,"",'[1]BASE'!E64)</f>
        <v>500</v>
      </c>
      <c r="F64" s="988">
        <f>IF('[1]BASE'!F64=0,"",'[1]BASE'!F64)</f>
        <v>289</v>
      </c>
      <c r="G64" s="989" t="str">
        <f>IF('[1]BASE'!G64=0,"",'[1]BASE'!G64)</f>
        <v>C</v>
      </c>
      <c r="H64" s="986">
        <f>IF('[1]BASE'!GG64=0,"",'[1]BASE'!GG64)</f>
      </c>
      <c r="I64" s="986">
        <f>IF('[1]BASE'!GH64=0,"",'[1]BASE'!GH64)</f>
      </c>
      <c r="J64" s="986">
        <f>IF('[1]BASE'!GI64=0,"",'[1]BASE'!GI64)</f>
      </c>
      <c r="K64" s="986">
        <f>IF('[1]BASE'!GJ64=0,"",'[1]BASE'!GJ64)</f>
      </c>
      <c r="L64" s="986">
        <f>IF('[1]BASE'!GK64=0,"",'[1]BASE'!GK64)</f>
      </c>
      <c r="M64" s="986">
        <f>IF('[1]BASE'!GL64=0,"",'[1]BASE'!GL64)</f>
        <v>1</v>
      </c>
      <c r="N64" s="986">
        <f>IF('[1]BASE'!GM64=0,"",'[1]BASE'!GM64)</f>
        <v>1</v>
      </c>
      <c r="O64" s="986">
        <f>IF('[1]BASE'!GN64=0,"",'[1]BASE'!GN64)</f>
        <v>3</v>
      </c>
      <c r="P64" s="986">
        <f>IF('[1]BASE'!GO64=0,"",'[1]BASE'!GO64)</f>
      </c>
      <c r="Q64" s="986">
        <f>IF('[1]BASE'!GP64=0,"",'[1]BASE'!GP64)</f>
        <v>1</v>
      </c>
      <c r="R64" s="986">
        <f>IF('[1]BASE'!GQ64=0,"",'[1]BASE'!GQ64)</f>
        <v>2</v>
      </c>
      <c r="S64" s="986">
        <f>IF('[1]BASE'!GR64=0,"",'[1]BASE'!GR64)</f>
      </c>
      <c r="T64" s="987"/>
      <c r="U64" s="983"/>
    </row>
    <row r="65" spans="2:21" s="977" customFormat="1" ht="19.5" customHeight="1">
      <c r="B65" s="978"/>
      <c r="C65" s="990">
        <f>IF('[1]BASE'!C65=0,"",'[1]BASE'!C65)</f>
        <v>47</v>
      </c>
      <c r="D65" s="990" t="str">
        <f>IF('[1]BASE'!D65=0,"",'[1]BASE'!D65)</f>
        <v>SANTO TOME - ROMANG </v>
      </c>
      <c r="E65" s="990">
        <f>IF('[1]BASE'!E65=0,"",'[1]BASE'!E65)</f>
        <v>500</v>
      </c>
      <c r="F65" s="990">
        <f>IF('[1]BASE'!F65=0,"",'[1]BASE'!F65)</f>
        <v>270</v>
      </c>
      <c r="G65" s="991" t="str">
        <f>IF('[1]BASE'!G65=0,"",'[1]BASE'!G65)</f>
        <v>A</v>
      </c>
      <c r="H65" s="986">
        <f>IF('[1]BASE'!GG65=0,"",'[1]BASE'!GG65)</f>
      </c>
      <c r="I65" s="986">
        <f>IF('[1]BASE'!GH65=0,"",'[1]BASE'!GH65)</f>
      </c>
      <c r="J65" s="986">
        <f>IF('[1]BASE'!GI65=0,"",'[1]BASE'!GI65)</f>
      </c>
      <c r="K65" s="986">
        <f>IF('[1]BASE'!GJ65=0,"",'[1]BASE'!GJ65)</f>
      </c>
      <c r="L65" s="986">
        <f>IF('[1]BASE'!GK65=0,"",'[1]BASE'!GK65)</f>
      </c>
      <c r="M65" s="986">
        <f>IF('[1]BASE'!GL65=0,"",'[1]BASE'!GL65)</f>
      </c>
      <c r="N65" s="986">
        <f>IF('[1]BASE'!GM65=0,"",'[1]BASE'!GM65)</f>
      </c>
      <c r="O65" s="986">
        <f>IF('[1]BASE'!GN65=0,"",'[1]BASE'!GN65)</f>
      </c>
      <c r="P65" s="986">
        <f>IF('[1]BASE'!GO65=0,"",'[1]BASE'!GO65)</f>
      </c>
      <c r="Q65" s="986">
        <f>IF('[1]BASE'!GP65=0,"",'[1]BASE'!GP65)</f>
      </c>
      <c r="R65" s="986">
        <f>IF('[1]BASE'!GQ65=0,"",'[1]BASE'!GQ65)</f>
        <v>1</v>
      </c>
      <c r="S65" s="986">
        <f>IF('[1]BASE'!GR65=0,"",'[1]BASE'!GR65)</f>
      </c>
      <c r="T65" s="987"/>
      <c r="U65" s="983"/>
    </row>
    <row r="66" spans="2:21" s="977" customFormat="1" ht="19.5" customHeight="1">
      <c r="B66" s="978"/>
      <c r="C66" s="988">
        <f>IF('[1]BASE'!C66=0,"",'[1]BASE'!C66)</f>
      </c>
      <c r="D66" s="988">
        <f>IF('[1]BASE'!D66=0,"",'[1]BASE'!D66)</f>
      </c>
      <c r="E66" s="988">
        <f>IF('[1]BASE'!E66=0,"",'[1]BASE'!E66)</f>
      </c>
      <c r="F66" s="988">
        <f>IF('[1]BASE'!F66=0,"",'[1]BASE'!F66)</f>
      </c>
      <c r="G66" s="989">
        <f>IF('[1]BASE'!G66=0,"",'[1]BASE'!G66)</f>
      </c>
      <c r="H66" s="986">
        <f>IF('[1]BASE'!GG66=0,"",'[1]BASE'!GG66)</f>
      </c>
      <c r="I66" s="986">
        <f>IF('[1]BASE'!GH66=0,"",'[1]BASE'!GH66)</f>
      </c>
      <c r="J66" s="986">
        <f>IF('[1]BASE'!GI66=0,"",'[1]BASE'!GI66)</f>
      </c>
      <c r="K66" s="986">
        <f>IF('[1]BASE'!GJ66=0,"",'[1]BASE'!GJ66)</f>
      </c>
      <c r="L66" s="986">
        <f>IF('[1]BASE'!GK66=0,"",'[1]BASE'!GK66)</f>
      </c>
      <c r="M66" s="986">
        <f>IF('[1]BASE'!GL66=0,"",'[1]BASE'!GL66)</f>
      </c>
      <c r="N66" s="986">
        <f>IF('[1]BASE'!GM66=0,"",'[1]BASE'!GM66)</f>
      </c>
      <c r="O66" s="986">
        <f>IF('[1]BASE'!GN66=0,"",'[1]BASE'!GN66)</f>
      </c>
      <c r="P66" s="986">
        <f>IF('[1]BASE'!GO66=0,"",'[1]BASE'!GO66)</f>
      </c>
      <c r="Q66" s="986">
        <f>IF('[1]BASE'!GP66=0,"",'[1]BASE'!GP66)</f>
      </c>
      <c r="R66" s="986">
        <f>IF('[1]BASE'!GQ66=0,"",'[1]BASE'!GQ66)</f>
      </c>
      <c r="S66" s="986">
        <f>IF('[1]BASE'!GR66=0,"",'[1]BASE'!GR66)</f>
      </c>
      <c r="T66" s="987"/>
      <c r="U66" s="983"/>
    </row>
    <row r="67" spans="2:21" s="977" customFormat="1" ht="19.5" customHeight="1">
      <c r="B67" s="978"/>
      <c r="C67" s="990">
        <f>IF('[1]BASE'!C67=0,"",'[1]BASE'!C67)</f>
        <v>48</v>
      </c>
      <c r="D67" s="990" t="str">
        <f>IF('[1]BASE'!D67=0,"",'[1]BASE'!D67)</f>
        <v>GRAL. RODRIGUEZ - VILLA  LIA 1</v>
      </c>
      <c r="E67" s="990">
        <f>IF('[1]BASE'!E67=0,"",'[1]BASE'!E67)</f>
        <v>220</v>
      </c>
      <c r="F67" s="990">
        <f>IF('[1]BASE'!F67=0,"",'[1]BASE'!F67)</f>
        <v>61</v>
      </c>
      <c r="G67" s="991" t="str">
        <f>IF('[1]BASE'!G67=0,"",'[1]BASE'!G67)</f>
        <v>C</v>
      </c>
      <c r="H67" s="986">
        <f>IF('[1]BASE'!GG67=0,"",'[1]BASE'!GG67)</f>
      </c>
      <c r="I67" s="986">
        <f>IF('[1]BASE'!GH67=0,"",'[1]BASE'!GH67)</f>
      </c>
      <c r="J67" s="986">
        <f>IF('[1]BASE'!GI67=0,"",'[1]BASE'!GI67)</f>
      </c>
      <c r="K67" s="986">
        <f>IF('[1]BASE'!GJ67=0,"",'[1]BASE'!GJ67)</f>
      </c>
      <c r="L67" s="986">
        <f>IF('[1]BASE'!GK67=0,"",'[1]BASE'!GK67)</f>
      </c>
      <c r="M67" s="986">
        <f>IF('[1]BASE'!GL67=0,"",'[1]BASE'!GL67)</f>
      </c>
      <c r="N67" s="986">
        <f>IF('[1]BASE'!GM67=0,"",'[1]BASE'!GM67)</f>
        <v>1</v>
      </c>
      <c r="O67" s="986">
        <f>IF('[1]BASE'!GN67=0,"",'[1]BASE'!GN67)</f>
      </c>
      <c r="P67" s="986">
        <f>IF('[1]BASE'!GO67=0,"",'[1]BASE'!GO67)</f>
      </c>
      <c r="Q67" s="986">
        <f>IF('[1]BASE'!GP67=0,"",'[1]BASE'!GP67)</f>
      </c>
      <c r="R67" s="986">
        <f>IF('[1]BASE'!GQ67=0,"",'[1]BASE'!GQ67)</f>
      </c>
      <c r="S67" s="986">
        <f>IF('[1]BASE'!GR67=0,"",'[1]BASE'!GR67)</f>
      </c>
      <c r="T67" s="987"/>
      <c r="U67" s="983"/>
    </row>
    <row r="68" spans="2:21" s="977" customFormat="1" ht="19.5" customHeight="1">
      <c r="B68" s="978"/>
      <c r="C68" s="988">
        <f>IF('[1]BASE'!C68=0,"",'[1]BASE'!C68)</f>
        <v>49</v>
      </c>
      <c r="D68" s="988" t="str">
        <f>IF('[1]BASE'!D68=0,"",'[1]BASE'!D68)</f>
        <v>GRAL. RODRIGUEZ - VILLA  LIA 2</v>
      </c>
      <c r="E68" s="988">
        <f>IF('[1]BASE'!E68=0,"",'[1]BASE'!E68)</f>
        <v>220</v>
      </c>
      <c r="F68" s="988">
        <f>IF('[1]BASE'!F68=0,"",'[1]BASE'!F68)</f>
        <v>61</v>
      </c>
      <c r="G68" s="989" t="str">
        <f>IF('[1]BASE'!G68=0,"",'[1]BASE'!G68)</f>
        <v>C</v>
      </c>
      <c r="H68" s="986">
        <f>IF('[1]BASE'!GG68=0,"",'[1]BASE'!GG68)</f>
      </c>
      <c r="I68" s="986">
        <f>IF('[1]BASE'!GH68=0,"",'[1]BASE'!GH68)</f>
      </c>
      <c r="J68" s="986">
        <f>IF('[1]BASE'!GI68=0,"",'[1]BASE'!GI68)</f>
      </c>
      <c r="K68" s="986">
        <f>IF('[1]BASE'!GJ68=0,"",'[1]BASE'!GJ68)</f>
      </c>
      <c r="L68" s="986">
        <f>IF('[1]BASE'!GK68=0,"",'[1]BASE'!GK68)</f>
      </c>
      <c r="M68" s="986">
        <f>IF('[1]BASE'!GL68=0,"",'[1]BASE'!GL68)</f>
      </c>
      <c r="N68" s="986">
        <f>IF('[1]BASE'!GM68=0,"",'[1]BASE'!GM68)</f>
      </c>
      <c r="O68" s="986">
        <f>IF('[1]BASE'!GN68=0,"",'[1]BASE'!GN68)</f>
      </c>
      <c r="P68" s="986">
        <f>IF('[1]BASE'!GO68=0,"",'[1]BASE'!GO68)</f>
      </c>
      <c r="Q68" s="986">
        <f>IF('[1]BASE'!GP68=0,"",'[1]BASE'!GP68)</f>
      </c>
      <c r="R68" s="986">
        <f>IF('[1]BASE'!GQ68=0,"",'[1]BASE'!GQ68)</f>
      </c>
      <c r="S68" s="986">
        <f>IF('[1]BASE'!GR68=0,"",'[1]BASE'!GR68)</f>
      </c>
      <c r="T68" s="987"/>
      <c r="U68" s="983"/>
    </row>
    <row r="69" spans="2:21" s="977" customFormat="1" ht="19.5" customHeight="1">
      <c r="B69" s="978"/>
      <c r="C69" s="990">
        <f>IF('[1]BASE'!C69=0,"",'[1]BASE'!C69)</f>
        <v>50</v>
      </c>
      <c r="D69" s="990" t="str">
        <f>IF('[1]BASE'!D69=0,"",'[1]BASE'!D69)</f>
        <v>RAMALLO - SAN NICOLAS (2)</v>
      </c>
      <c r="E69" s="990">
        <f>IF('[1]BASE'!E69=0,"",'[1]BASE'!E69)</f>
        <v>220</v>
      </c>
      <c r="F69" s="991">
        <f>IF('[1]BASE'!F69=0,"",'[1]BASE'!F69)</f>
        <v>6</v>
      </c>
      <c r="G69" s="991" t="str">
        <f>IF('[1]BASE'!G69=0,"",'[1]BASE'!G69)</f>
        <v>C</v>
      </c>
      <c r="H69" s="986">
        <f>IF('[1]BASE'!GG69=0,"",'[1]BASE'!GG69)</f>
      </c>
      <c r="I69" s="986">
        <f>IF('[1]BASE'!GH69=0,"",'[1]BASE'!GH69)</f>
      </c>
      <c r="J69" s="986">
        <f>IF('[1]BASE'!GI69=0,"",'[1]BASE'!GI69)</f>
      </c>
      <c r="K69" s="986">
        <f>IF('[1]BASE'!GJ69=0,"",'[1]BASE'!GJ69)</f>
      </c>
      <c r="L69" s="986">
        <f>IF('[1]BASE'!GK69=0,"",'[1]BASE'!GK69)</f>
      </c>
      <c r="M69" s="986">
        <f>IF('[1]BASE'!GL69=0,"",'[1]BASE'!GL69)</f>
      </c>
      <c r="N69" s="986">
        <f>IF('[1]BASE'!GM69=0,"",'[1]BASE'!GM69)</f>
      </c>
      <c r="O69" s="986">
        <f>IF('[1]BASE'!GN69=0,"",'[1]BASE'!GN69)</f>
      </c>
      <c r="P69" s="986">
        <f>IF('[1]BASE'!GO69=0,"",'[1]BASE'!GO69)</f>
      </c>
      <c r="Q69" s="986">
        <f>IF('[1]BASE'!GP69=0,"",'[1]BASE'!GP69)</f>
      </c>
      <c r="R69" s="986">
        <f>IF('[1]BASE'!GQ69=0,"",'[1]BASE'!GQ69)</f>
      </c>
      <c r="S69" s="986">
        <f>IF('[1]BASE'!GR69=0,"",'[1]BASE'!GR69)</f>
      </c>
      <c r="T69" s="987"/>
      <c r="U69" s="983"/>
    </row>
    <row r="70" spans="2:21" s="977" customFormat="1" ht="19.5" customHeight="1">
      <c r="B70" s="978"/>
      <c r="C70" s="988">
        <f>IF('[1]BASE'!C70=0,"",'[1]BASE'!C70)</f>
        <v>51</v>
      </c>
      <c r="D70" s="988" t="str">
        <f>IF('[1]BASE'!D70=0,"",'[1]BASE'!D70)</f>
        <v>RAMALLO - SAN NICOLAS (1)</v>
      </c>
      <c r="E70" s="988">
        <f>IF('[1]BASE'!E70=0,"",'[1]BASE'!E70)</f>
        <v>220</v>
      </c>
      <c r="F70" s="989">
        <f>IF('[1]BASE'!F70=0,"",'[1]BASE'!F70)</f>
        <v>6</v>
      </c>
      <c r="G70" s="989" t="str">
        <f>IF('[1]BASE'!G70=0,"",'[1]BASE'!G70)</f>
        <v>C</v>
      </c>
      <c r="H70" s="986">
        <f>IF('[1]BASE'!GG70=0,"",'[1]BASE'!GG70)</f>
      </c>
      <c r="I70" s="986">
        <f>IF('[1]BASE'!GH70=0,"",'[1]BASE'!GH70)</f>
      </c>
      <c r="J70" s="986">
        <f>IF('[1]BASE'!GI70=0,"",'[1]BASE'!GI70)</f>
      </c>
      <c r="K70" s="986">
        <f>IF('[1]BASE'!GJ70=0,"",'[1]BASE'!GJ70)</f>
      </c>
      <c r="L70" s="986">
        <f>IF('[1]BASE'!GK70=0,"",'[1]BASE'!GK70)</f>
      </c>
      <c r="M70" s="986">
        <f>IF('[1]BASE'!GL70=0,"",'[1]BASE'!GL70)</f>
      </c>
      <c r="N70" s="986">
        <f>IF('[1]BASE'!GM70=0,"",'[1]BASE'!GM70)</f>
      </c>
      <c r="O70" s="986">
        <f>IF('[1]BASE'!GN70=0,"",'[1]BASE'!GN70)</f>
      </c>
      <c r="P70" s="986">
        <f>IF('[1]BASE'!GO70=0,"",'[1]BASE'!GO70)</f>
      </c>
      <c r="Q70" s="986">
        <f>IF('[1]BASE'!GP70=0,"",'[1]BASE'!GP70)</f>
      </c>
      <c r="R70" s="986">
        <f>IF('[1]BASE'!GQ70=0,"",'[1]BASE'!GQ70)</f>
      </c>
      <c r="S70" s="986">
        <f>IF('[1]BASE'!GR70=0,"",'[1]BASE'!GR70)</f>
      </c>
      <c r="T70" s="987"/>
      <c r="U70" s="983"/>
    </row>
    <row r="71" spans="2:21" s="977" customFormat="1" ht="19.5" customHeight="1">
      <c r="B71" s="978"/>
      <c r="C71" s="990">
        <f>IF('[1]BASE'!C71=0,"",'[1]BASE'!C71)</f>
        <v>52</v>
      </c>
      <c r="D71" s="990" t="str">
        <f>IF('[1]BASE'!D71=0,"",'[1]BASE'!D71)</f>
        <v>RAMALLO - VILLA LIA  1</v>
      </c>
      <c r="E71" s="990">
        <f>IF('[1]BASE'!E71=0,"",'[1]BASE'!E71)</f>
        <v>220</v>
      </c>
      <c r="F71" s="991">
        <f>IF('[1]BASE'!F71=0,"",'[1]BASE'!F71)</f>
        <v>114</v>
      </c>
      <c r="G71" s="991" t="str">
        <f>IF('[1]BASE'!G71=0,"",'[1]BASE'!G71)</f>
        <v>C</v>
      </c>
      <c r="H71" s="986">
        <f>IF('[1]BASE'!GG71=0,"",'[1]BASE'!GG71)</f>
      </c>
      <c r="I71" s="986">
        <f>IF('[1]BASE'!GH71=0,"",'[1]BASE'!GH71)</f>
        <v>1</v>
      </c>
      <c r="J71" s="986">
        <f>IF('[1]BASE'!GI71=0,"",'[1]BASE'!GI71)</f>
      </c>
      <c r="K71" s="986">
        <f>IF('[1]BASE'!GJ71=0,"",'[1]BASE'!GJ71)</f>
        <v>1</v>
      </c>
      <c r="L71" s="986">
        <f>IF('[1]BASE'!GK71=0,"",'[1]BASE'!GK71)</f>
      </c>
      <c r="M71" s="986">
        <f>IF('[1]BASE'!GL71=0,"",'[1]BASE'!GL71)</f>
        <v>1</v>
      </c>
      <c r="N71" s="986">
        <f>IF('[1]BASE'!GM71=0,"",'[1]BASE'!GM71)</f>
      </c>
      <c r="O71" s="986">
        <f>IF('[1]BASE'!GN71=0,"",'[1]BASE'!GN71)</f>
      </c>
      <c r="P71" s="986">
        <f>IF('[1]BASE'!GO71=0,"",'[1]BASE'!GO71)</f>
      </c>
      <c r="Q71" s="986">
        <f>IF('[1]BASE'!GP71=0,"",'[1]BASE'!GP71)</f>
      </c>
      <c r="R71" s="986">
        <f>IF('[1]BASE'!GQ71=0,"",'[1]BASE'!GQ71)</f>
        <v>1</v>
      </c>
      <c r="S71" s="986">
        <f>IF('[1]BASE'!GR71=0,"",'[1]BASE'!GR71)</f>
      </c>
      <c r="T71" s="987"/>
      <c r="U71" s="983"/>
    </row>
    <row r="72" spans="2:21" s="977" customFormat="1" ht="19.5" customHeight="1">
      <c r="B72" s="978"/>
      <c r="C72" s="988">
        <f>IF('[1]BASE'!C72=0,"",'[1]BASE'!C72)</f>
        <v>53</v>
      </c>
      <c r="D72" s="988" t="str">
        <f>IF('[1]BASE'!D72=0,"",'[1]BASE'!D72)</f>
        <v>RAMALLO - VILLA LIA  2</v>
      </c>
      <c r="E72" s="988">
        <f>IF('[1]BASE'!E72=0,"",'[1]BASE'!E72)</f>
        <v>220</v>
      </c>
      <c r="F72" s="989">
        <f>IF('[1]BASE'!F72=0,"",'[1]BASE'!F72)</f>
        <v>114</v>
      </c>
      <c r="G72" s="989" t="str">
        <f>IF('[1]BASE'!G72=0,"",'[1]BASE'!G72)</f>
        <v>C</v>
      </c>
      <c r="H72" s="986">
        <f>IF('[1]BASE'!GG72=0,"",'[1]BASE'!GG72)</f>
      </c>
      <c r="I72" s="986">
        <f>IF('[1]BASE'!GH72=0,"",'[1]BASE'!GH72)</f>
      </c>
      <c r="J72" s="986">
        <f>IF('[1]BASE'!GI72=0,"",'[1]BASE'!GI72)</f>
      </c>
      <c r="K72" s="986">
        <f>IF('[1]BASE'!GJ72=0,"",'[1]BASE'!GJ72)</f>
      </c>
      <c r="L72" s="986">
        <f>IF('[1]BASE'!GK72=0,"",'[1]BASE'!GK72)</f>
      </c>
      <c r="M72" s="986">
        <f>IF('[1]BASE'!GL72=0,"",'[1]BASE'!GL72)</f>
      </c>
      <c r="N72" s="986">
        <f>IF('[1]BASE'!GM72=0,"",'[1]BASE'!GM72)</f>
        <v>1</v>
      </c>
      <c r="O72" s="986">
        <f>IF('[1]BASE'!GN72=0,"",'[1]BASE'!GN72)</f>
      </c>
      <c r="P72" s="986">
        <f>IF('[1]BASE'!GO72=0,"",'[1]BASE'!GO72)</f>
      </c>
      <c r="Q72" s="986">
        <f>IF('[1]BASE'!GP72=0,"",'[1]BASE'!GP72)</f>
      </c>
      <c r="R72" s="986">
        <f>IF('[1]BASE'!GQ72=0,"",'[1]BASE'!GQ72)</f>
      </c>
      <c r="S72" s="986">
        <f>IF('[1]BASE'!GR72=0,"",'[1]BASE'!GR72)</f>
      </c>
      <c r="T72" s="987"/>
      <c r="U72" s="983"/>
    </row>
    <row r="73" spans="2:21" s="977" customFormat="1" ht="19.5" customHeight="1">
      <c r="B73" s="978"/>
      <c r="C73" s="990">
        <f>IF('[1]BASE'!C73=0,"",'[1]BASE'!C73)</f>
        <v>54</v>
      </c>
      <c r="D73" s="990" t="str">
        <f>IF('[1]BASE'!D73=0,"",'[1]BASE'!D73)</f>
        <v>ROSARIO OESTE - RAMALLO  1</v>
      </c>
      <c r="E73" s="990">
        <f>IF('[1]BASE'!E73=0,"",'[1]BASE'!E73)</f>
        <v>220</v>
      </c>
      <c r="F73" s="990">
        <f>IF('[1]BASE'!F73=0,"",'[1]BASE'!F73)</f>
        <v>77</v>
      </c>
      <c r="G73" s="991" t="str">
        <f>IF('[1]BASE'!G73=0,"",'[1]BASE'!G73)</f>
        <v>C</v>
      </c>
      <c r="H73" s="986">
        <f>IF('[1]BASE'!GG73=0,"",'[1]BASE'!GG73)</f>
      </c>
      <c r="I73" s="986">
        <f>IF('[1]BASE'!GH73=0,"",'[1]BASE'!GH73)</f>
        <v>1</v>
      </c>
      <c r="J73" s="986">
        <f>IF('[1]BASE'!GI73=0,"",'[1]BASE'!GI73)</f>
      </c>
      <c r="K73" s="986">
        <f>IF('[1]BASE'!GJ73=0,"",'[1]BASE'!GJ73)</f>
      </c>
      <c r="L73" s="986">
        <f>IF('[1]BASE'!GK73=0,"",'[1]BASE'!GK73)</f>
      </c>
      <c r="M73" s="986">
        <f>IF('[1]BASE'!GL73=0,"",'[1]BASE'!GL73)</f>
      </c>
      <c r="N73" s="986">
        <f>IF('[1]BASE'!GM73=0,"",'[1]BASE'!GM73)</f>
        <v>1</v>
      </c>
      <c r="O73" s="986">
        <f>IF('[1]BASE'!GN73=0,"",'[1]BASE'!GN73)</f>
      </c>
      <c r="P73" s="986">
        <f>IF('[1]BASE'!GO73=0,"",'[1]BASE'!GO73)</f>
      </c>
      <c r="Q73" s="986">
        <f>IF('[1]BASE'!GP73=0,"",'[1]BASE'!GP73)</f>
        <v>1</v>
      </c>
      <c r="R73" s="986">
        <f>IF('[1]BASE'!GQ73=0,"",'[1]BASE'!GQ73)</f>
      </c>
      <c r="S73" s="986">
        <f>IF('[1]BASE'!GR73=0,"",'[1]BASE'!GR73)</f>
      </c>
      <c r="T73" s="987"/>
      <c r="U73" s="983"/>
    </row>
    <row r="74" spans="2:21" s="977" customFormat="1" ht="19.5" customHeight="1">
      <c r="B74" s="978"/>
      <c r="C74" s="988">
        <f>IF('[1]BASE'!C74=0,"",'[1]BASE'!C74)</f>
        <v>55</v>
      </c>
      <c r="D74" s="988" t="str">
        <f>IF('[1]BASE'!D74=0,"",'[1]BASE'!D74)</f>
        <v>ROSARIO OESTE - RAMALLO  2</v>
      </c>
      <c r="E74" s="988">
        <f>IF('[1]BASE'!E74=0,"",'[1]BASE'!E74)</f>
        <v>220</v>
      </c>
      <c r="F74" s="988">
        <f>IF('[1]BASE'!F74=0,"",'[1]BASE'!F74)</f>
        <v>77</v>
      </c>
      <c r="G74" s="989" t="str">
        <f>IF('[1]BASE'!G74=0,"",'[1]BASE'!G74)</f>
        <v>C</v>
      </c>
      <c r="H74" s="986">
        <f>IF('[1]BASE'!GG74=0,"",'[1]BASE'!GG74)</f>
        <v>1</v>
      </c>
      <c r="I74" s="986">
        <f>IF('[1]BASE'!GH74=0,"",'[1]BASE'!GH74)</f>
        <v>1</v>
      </c>
      <c r="J74" s="986">
        <f>IF('[1]BASE'!GI74=0,"",'[1]BASE'!GI74)</f>
      </c>
      <c r="K74" s="986">
        <f>IF('[1]BASE'!GJ74=0,"",'[1]BASE'!GJ74)</f>
        <v>1</v>
      </c>
      <c r="L74" s="986">
        <f>IF('[1]BASE'!GK74=0,"",'[1]BASE'!GK74)</f>
      </c>
      <c r="M74" s="986">
        <f>IF('[1]BASE'!GL74=0,"",'[1]BASE'!GL74)</f>
        <v>1</v>
      </c>
      <c r="N74" s="986">
        <f>IF('[1]BASE'!GM74=0,"",'[1]BASE'!GM74)</f>
        <v>2</v>
      </c>
      <c r="O74" s="986">
        <f>IF('[1]BASE'!GN74=0,"",'[1]BASE'!GN74)</f>
      </c>
      <c r="P74" s="986">
        <f>IF('[1]BASE'!GO74=0,"",'[1]BASE'!GO74)</f>
      </c>
      <c r="Q74" s="986">
        <f>IF('[1]BASE'!GP74=0,"",'[1]BASE'!GP74)</f>
        <v>2</v>
      </c>
      <c r="R74" s="986">
        <f>IF('[1]BASE'!GQ74=0,"",'[1]BASE'!GQ74)</f>
        <v>1</v>
      </c>
      <c r="S74" s="986">
        <f>IF('[1]BASE'!GR74=0,"",'[1]BASE'!GR74)</f>
      </c>
      <c r="T74" s="987"/>
      <c r="U74" s="983"/>
    </row>
    <row r="75" spans="2:21" s="977" customFormat="1" ht="9.75" customHeight="1">
      <c r="B75" s="978"/>
      <c r="C75" s="990">
        <f>IF('[1]BASE'!C75=0,"",'[1]BASE'!C75)</f>
        <v>56</v>
      </c>
      <c r="D75" s="990" t="str">
        <f>IF('[1]BASE'!D75=0,"",'[1]BASE'!D75)</f>
        <v>VILLA LIA - ATUCHA 1</v>
      </c>
      <c r="E75" s="990">
        <f>IF('[1]BASE'!E75=0,"",'[1]BASE'!E75)</f>
        <v>220</v>
      </c>
      <c r="F75" s="990">
        <f>IF('[1]BASE'!F75=0,"",'[1]BASE'!F75)</f>
        <v>26</v>
      </c>
      <c r="G75" s="991" t="str">
        <f>IF('[1]BASE'!G75=0,"",'[1]BASE'!G75)</f>
        <v>C</v>
      </c>
      <c r="H75" s="986">
        <f>IF('[1]BASE'!GG75=0,"",'[1]BASE'!GG75)</f>
      </c>
      <c r="I75" s="986">
        <f>IF('[1]BASE'!GH75=0,"",'[1]BASE'!GH75)</f>
      </c>
      <c r="J75" s="986">
        <f>IF('[1]BASE'!GI75=0,"",'[1]BASE'!GI75)</f>
        <v>1</v>
      </c>
      <c r="K75" s="986">
        <f>IF('[1]BASE'!GJ75=0,"",'[1]BASE'!GJ75)</f>
        <v>1</v>
      </c>
      <c r="L75" s="986">
        <f>IF('[1]BASE'!GK75=0,"",'[1]BASE'!GK75)</f>
      </c>
      <c r="M75" s="986">
        <f>IF('[1]BASE'!GL75=0,"",'[1]BASE'!GL75)</f>
      </c>
      <c r="N75" s="986">
        <f>IF('[1]BASE'!GM75=0,"",'[1]BASE'!GM75)</f>
        <v>1</v>
      </c>
      <c r="O75" s="986">
        <f>IF('[1]BASE'!GN75=0,"",'[1]BASE'!GN75)</f>
      </c>
      <c r="P75" s="986">
        <f>IF('[1]BASE'!GO75=0,"",'[1]BASE'!GO75)</f>
      </c>
      <c r="Q75" s="986">
        <f>IF('[1]BASE'!GP75=0,"",'[1]BASE'!GP75)</f>
      </c>
      <c r="R75" s="986">
        <f>IF('[1]BASE'!GQ75=0,"",'[1]BASE'!GQ75)</f>
      </c>
      <c r="S75" s="986">
        <f>IF('[1]BASE'!GR75=0,"",'[1]BASE'!GR75)</f>
      </c>
      <c r="T75" s="987"/>
      <c r="U75" s="983"/>
    </row>
    <row r="76" spans="2:21" s="977" customFormat="1" ht="19.5" customHeight="1">
      <c r="B76" s="978"/>
      <c r="C76" s="988">
        <f>IF('[1]BASE'!C76=0,"",'[1]BASE'!C76)</f>
        <v>57</v>
      </c>
      <c r="D76" s="988" t="str">
        <f>IF('[1]BASE'!D76=0,"",'[1]BASE'!D76)</f>
        <v>VILLA LIA - ATUCHA 2</v>
      </c>
      <c r="E76" s="988">
        <f>IF('[1]BASE'!E76=0,"",'[1]BASE'!E76)</f>
        <v>220</v>
      </c>
      <c r="F76" s="989">
        <f>IF('[1]BASE'!F76=0,"",'[1]BASE'!F76)</f>
        <v>26</v>
      </c>
      <c r="G76" s="989" t="str">
        <f>IF('[1]BASE'!G76=0,"",'[1]BASE'!G76)</f>
        <v>C</v>
      </c>
      <c r="H76" s="986">
        <f>IF('[1]BASE'!GG76=0,"",'[1]BASE'!GG76)</f>
      </c>
      <c r="I76" s="986">
        <f>IF('[1]BASE'!GH76=0,"",'[1]BASE'!GH76)</f>
      </c>
      <c r="J76" s="986">
        <f>IF('[1]BASE'!GI76=0,"",'[1]BASE'!GI76)</f>
      </c>
      <c r="K76" s="986">
        <f>IF('[1]BASE'!GJ76=0,"",'[1]BASE'!GJ76)</f>
      </c>
      <c r="L76" s="986">
        <f>IF('[1]BASE'!GK76=0,"",'[1]BASE'!GK76)</f>
      </c>
      <c r="M76" s="986">
        <f>IF('[1]BASE'!GL76=0,"",'[1]BASE'!GL76)</f>
      </c>
      <c r="N76" s="986">
        <f>IF('[1]BASE'!GM76=0,"",'[1]BASE'!GM76)</f>
      </c>
      <c r="O76" s="986">
        <f>IF('[1]BASE'!GN76=0,"",'[1]BASE'!GN76)</f>
      </c>
      <c r="P76" s="986">
        <f>IF('[1]BASE'!GO76=0,"",'[1]BASE'!GO76)</f>
      </c>
      <c r="Q76" s="986">
        <f>IF('[1]BASE'!GP76=0,"",'[1]BASE'!GP76)</f>
      </c>
      <c r="R76" s="986">
        <f>IF('[1]BASE'!GQ76=0,"",'[1]BASE'!GQ76)</f>
      </c>
      <c r="S76" s="986">
        <f>IF('[1]BASE'!GR76=0,"",'[1]BASE'!GR76)</f>
      </c>
      <c r="T76" s="987"/>
      <c r="U76" s="983"/>
    </row>
    <row r="77" spans="2:21" s="977" customFormat="1" ht="19.5" customHeight="1">
      <c r="B77" s="978"/>
      <c r="C77" s="990">
        <f>IF('[1]BASE'!C77=0,"",'[1]BASE'!C77)</f>
      </c>
      <c r="D77" s="990">
        <f>IF('[1]BASE'!D77=0,"",'[1]BASE'!D77)</f>
      </c>
      <c r="E77" s="990">
        <f>IF('[1]BASE'!E77=0,"",'[1]BASE'!E77)</f>
      </c>
      <c r="F77" s="991">
        <f>IF('[1]BASE'!F77=0,"",'[1]BASE'!F77)</f>
      </c>
      <c r="G77" s="991">
        <f>IF('[1]BASE'!G77=0,"",'[1]BASE'!G77)</f>
      </c>
      <c r="H77" s="986">
        <f>IF('[1]BASE'!GG77=0,"",'[1]BASE'!GG77)</f>
      </c>
      <c r="I77" s="986">
        <f>IF('[1]BASE'!GH77=0,"",'[1]BASE'!GH77)</f>
      </c>
      <c r="J77" s="986">
        <f>IF('[1]BASE'!GI77=0,"",'[1]BASE'!GI77)</f>
      </c>
      <c r="K77" s="986">
        <f>IF('[1]BASE'!GJ77=0,"",'[1]BASE'!GJ77)</f>
      </c>
      <c r="L77" s="986">
        <f>IF('[1]BASE'!GK77=0,"",'[1]BASE'!GK77)</f>
      </c>
      <c r="M77" s="986">
        <f>IF('[1]BASE'!GL77=0,"",'[1]BASE'!GL77)</f>
      </c>
      <c r="N77" s="986">
        <f>IF('[1]BASE'!GM77=0,"",'[1]BASE'!GM77)</f>
      </c>
      <c r="O77" s="986">
        <f>IF('[1]BASE'!GN77=0,"",'[1]BASE'!GN77)</f>
      </c>
      <c r="P77" s="986">
        <f>IF('[1]BASE'!GO77=0,"",'[1]BASE'!GO77)</f>
      </c>
      <c r="Q77" s="986">
        <f>IF('[1]BASE'!GP77=0,"",'[1]BASE'!GP77)</f>
      </c>
      <c r="R77" s="986">
        <f>IF('[1]BASE'!GQ77=0,"",'[1]BASE'!GQ77)</f>
      </c>
      <c r="S77" s="986">
        <f>IF('[1]BASE'!GR77=0,"",'[1]BASE'!GR77)</f>
      </c>
      <c r="T77" s="987"/>
      <c r="U77" s="983"/>
    </row>
    <row r="78" spans="2:21" s="977" customFormat="1" ht="19.5" customHeight="1">
      <c r="B78" s="978"/>
      <c r="C78" s="988">
        <f>IF('[1]BASE'!C78=0,"",'[1]BASE'!C78)</f>
        <v>58</v>
      </c>
      <c r="D78" s="988" t="str">
        <f>IF('[1]BASE'!D78=0,"",'[1]BASE'!D78)</f>
        <v>GRAL RODRIGUEZ - RAMALLO</v>
      </c>
      <c r="E78" s="988">
        <f>IF('[1]BASE'!E78=0,"",'[1]BASE'!E78)</f>
        <v>500</v>
      </c>
      <c r="F78" s="989">
        <f>IF('[1]BASE'!F78=0,"",'[1]BASE'!F78)</f>
        <v>183.9</v>
      </c>
      <c r="G78" s="989" t="str">
        <f>IF('[1]BASE'!G78=0,"",'[1]BASE'!G78)</f>
        <v>C</v>
      </c>
      <c r="H78" s="986">
        <f>IF('[1]BASE'!GG78=0,"",'[1]BASE'!GG78)</f>
      </c>
      <c r="I78" s="986">
        <f>IF('[1]BASE'!GH78=0,"",'[1]BASE'!GH78)</f>
      </c>
      <c r="J78" s="986">
        <f>IF('[1]BASE'!GI78=0,"",'[1]BASE'!GI78)</f>
      </c>
      <c r="K78" s="986">
        <f>IF('[1]BASE'!GJ78=0,"",'[1]BASE'!GJ78)</f>
      </c>
      <c r="L78" s="986">
        <f>IF('[1]BASE'!GK78=0,"",'[1]BASE'!GK78)</f>
      </c>
      <c r="M78" s="986">
        <f>IF('[1]BASE'!GL78=0,"",'[1]BASE'!GL78)</f>
        <v>1</v>
      </c>
      <c r="N78" s="986">
        <f>IF('[1]BASE'!GM78=0,"",'[1]BASE'!GM78)</f>
      </c>
      <c r="O78" s="986">
        <f>IF('[1]BASE'!GN78=0,"",'[1]BASE'!GN78)</f>
      </c>
      <c r="P78" s="986">
        <f>IF('[1]BASE'!GO78=0,"",'[1]BASE'!GO78)</f>
      </c>
      <c r="Q78" s="986">
        <f>IF('[1]BASE'!GP78=0,"",'[1]BASE'!GP78)</f>
        <v>1</v>
      </c>
      <c r="R78" s="986">
        <f>IF('[1]BASE'!GQ78=0,"",'[1]BASE'!GQ78)</f>
        <v>1</v>
      </c>
      <c r="S78" s="986">
        <f>IF('[1]BASE'!GR78=0,"",'[1]BASE'!GR78)</f>
      </c>
      <c r="T78" s="987"/>
      <c r="U78" s="983"/>
    </row>
    <row r="79" spans="2:21" s="977" customFormat="1" ht="19.5" customHeight="1">
      <c r="B79" s="978"/>
      <c r="C79" s="990">
        <f>IF('[1]BASE'!C79=0,"",'[1]BASE'!C79)</f>
        <v>59</v>
      </c>
      <c r="D79" s="990" t="str">
        <f>IF('[1]BASE'!D79=0,"",'[1]BASE'!D79)</f>
        <v>RAMALLO - ROSARIO OESTE</v>
      </c>
      <c r="E79" s="990">
        <f>IF('[1]BASE'!E79=0,"",'[1]BASE'!E79)</f>
        <v>500</v>
      </c>
      <c r="F79" s="990">
        <f>IF('[1]BASE'!F79=0,"",'[1]BASE'!F79)</f>
        <v>77</v>
      </c>
      <c r="G79" s="991" t="str">
        <f>IF('[1]BASE'!G79=0,"",'[1]BASE'!G79)</f>
        <v>C</v>
      </c>
      <c r="H79" s="986">
        <f>IF('[1]BASE'!GG79=0,"",'[1]BASE'!GG79)</f>
      </c>
      <c r="I79" s="986">
        <f>IF('[1]BASE'!GH79=0,"",'[1]BASE'!GH79)</f>
      </c>
      <c r="J79" s="986">
        <f>IF('[1]BASE'!GI79=0,"",'[1]BASE'!GI79)</f>
      </c>
      <c r="K79" s="986">
        <f>IF('[1]BASE'!GJ79=0,"",'[1]BASE'!GJ79)</f>
        <v>1</v>
      </c>
      <c r="L79" s="986">
        <f>IF('[1]BASE'!GK79=0,"",'[1]BASE'!GK79)</f>
        <v>2</v>
      </c>
      <c r="M79" s="986">
        <f>IF('[1]BASE'!GL79=0,"",'[1]BASE'!GL79)</f>
        <v>1</v>
      </c>
      <c r="N79" s="986">
        <f>IF('[1]BASE'!GM79=0,"",'[1]BASE'!GM79)</f>
      </c>
      <c r="O79" s="986">
        <f>IF('[1]BASE'!GN79=0,"",'[1]BASE'!GN79)</f>
      </c>
      <c r="P79" s="986">
        <f>IF('[1]BASE'!GO79=0,"",'[1]BASE'!GO79)</f>
      </c>
      <c r="Q79" s="986">
        <f>IF('[1]BASE'!GP79=0,"",'[1]BASE'!GP79)</f>
      </c>
      <c r="R79" s="986">
        <f>IF('[1]BASE'!GQ79=0,"",'[1]BASE'!GQ79)</f>
      </c>
      <c r="S79" s="986">
        <f>IF('[1]BASE'!GR79=0,"",'[1]BASE'!GR79)</f>
      </c>
      <c r="T79" s="987"/>
      <c r="U79" s="983"/>
    </row>
    <row r="80" spans="2:21" s="977" customFormat="1" ht="9.75" customHeight="1">
      <c r="B80" s="978"/>
      <c r="C80" s="988">
        <f>IF('[1]BASE'!C80=0,"",'[1]BASE'!C80)</f>
        <v>60</v>
      </c>
      <c r="D80" s="988" t="str">
        <f>IF('[1]BASE'!D80=0,"",'[1]BASE'!D80)</f>
        <v>MACACHIN - HENDERSON</v>
      </c>
      <c r="E80" s="988">
        <f>IF('[1]BASE'!E80=0,"",'[1]BASE'!E80)</f>
        <v>500</v>
      </c>
      <c r="F80" s="989">
        <f>IF('[1]BASE'!F80=0,"",'[1]BASE'!F80)</f>
        <v>194</v>
      </c>
      <c r="G80" s="989" t="str">
        <f>IF('[1]BASE'!G80=0,"",'[1]BASE'!G80)</f>
        <v>A</v>
      </c>
      <c r="H80" s="986">
        <f>IF('[1]BASE'!GG80=0,"",'[1]BASE'!GG80)</f>
      </c>
      <c r="I80" s="986">
        <f>IF('[1]BASE'!GH80=0,"",'[1]BASE'!GH80)</f>
      </c>
      <c r="J80" s="986">
        <f>IF('[1]BASE'!GI80=0,"",'[1]BASE'!GI80)</f>
      </c>
      <c r="K80" s="986">
        <f>IF('[1]BASE'!GJ80=0,"",'[1]BASE'!GJ80)</f>
      </c>
      <c r="L80" s="986">
        <f>IF('[1]BASE'!GK80=0,"",'[1]BASE'!GK80)</f>
      </c>
      <c r="M80" s="986">
        <f>IF('[1]BASE'!GL80=0,"",'[1]BASE'!GL80)</f>
      </c>
      <c r="N80" s="986">
        <f>IF('[1]BASE'!GM80=0,"",'[1]BASE'!GM80)</f>
      </c>
      <c r="O80" s="986">
        <f>IF('[1]BASE'!GN80=0,"",'[1]BASE'!GN80)</f>
      </c>
      <c r="P80" s="986">
        <f>IF('[1]BASE'!GO80=0,"",'[1]BASE'!GO80)</f>
      </c>
      <c r="Q80" s="986">
        <f>IF('[1]BASE'!GP80=0,"",'[1]BASE'!GP80)</f>
      </c>
      <c r="R80" s="986">
        <f>IF('[1]BASE'!GQ80=0,"",'[1]BASE'!GQ80)</f>
      </c>
      <c r="S80" s="986">
        <f>IF('[1]BASE'!GR80=0,"",'[1]BASE'!GR80)</f>
      </c>
      <c r="T80" s="987"/>
      <c r="U80" s="983"/>
    </row>
    <row r="81" spans="2:21" s="977" customFormat="1" ht="9.75" customHeight="1">
      <c r="B81" s="978"/>
      <c r="C81" s="990">
        <f>IF('[1]BASE'!C81=0,"",'[1]BASE'!C81)</f>
        <v>61</v>
      </c>
      <c r="D81" s="990" t="str">
        <f>IF('[1]BASE'!D81=0,"",'[1]BASE'!D81)</f>
        <v>PUELCHES - MACACHIN</v>
      </c>
      <c r="E81" s="990">
        <f>IF('[1]BASE'!E81=0,"",'[1]BASE'!E81)</f>
        <v>500</v>
      </c>
      <c r="F81" s="991">
        <f>IF('[1]BASE'!F81=0,"",'[1]BASE'!F81)</f>
        <v>227</v>
      </c>
      <c r="G81" s="991" t="str">
        <f>IF('[1]BASE'!G81=0,"",'[1]BASE'!G81)</f>
        <v>A</v>
      </c>
      <c r="H81" s="986">
        <f>IF('[1]BASE'!GG81=0,"",'[1]BASE'!GG81)</f>
      </c>
      <c r="I81" s="986">
        <f>IF('[1]BASE'!GH81=0,"",'[1]BASE'!GH81)</f>
      </c>
      <c r="J81" s="986">
        <f>IF('[1]BASE'!GI81=0,"",'[1]BASE'!GI81)</f>
      </c>
      <c r="K81" s="986">
        <f>IF('[1]BASE'!GJ81=0,"",'[1]BASE'!GJ81)</f>
      </c>
      <c r="L81" s="986">
        <f>IF('[1]BASE'!GK81=0,"",'[1]BASE'!GK81)</f>
      </c>
      <c r="M81" s="986">
        <f>IF('[1]BASE'!GL81=0,"",'[1]BASE'!GL81)</f>
      </c>
      <c r="N81" s="986">
        <f>IF('[1]BASE'!GM81=0,"",'[1]BASE'!GM81)</f>
      </c>
      <c r="O81" s="986">
        <f>IF('[1]BASE'!GN81=0,"",'[1]BASE'!GN81)</f>
      </c>
      <c r="P81" s="986">
        <f>IF('[1]BASE'!GO81=0,"",'[1]BASE'!GO81)</f>
      </c>
      <c r="Q81" s="986">
        <f>IF('[1]BASE'!GP81=0,"",'[1]BASE'!GP81)</f>
      </c>
      <c r="R81" s="986">
        <f>IF('[1]BASE'!GQ81=0,"",'[1]BASE'!GQ81)</f>
      </c>
      <c r="S81" s="986">
        <f>IF('[1]BASE'!GR81=0,"",'[1]BASE'!GR81)</f>
      </c>
      <c r="T81" s="987"/>
      <c r="U81" s="983"/>
    </row>
    <row r="82" spans="2:21" s="977" customFormat="1" ht="19.5" customHeight="1">
      <c r="B82" s="978"/>
      <c r="C82" s="988">
        <f>IF('[1]BASE'!C82=0,"",'[1]BASE'!C82)</f>
      </c>
      <c r="D82" s="988">
        <f>IF('[1]BASE'!D82=0,"",'[1]BASE'!D82)</f>
      </c>
      <c r="E82" s="988">
        <f>IF('[1]BASE'!E82=0,"",'[1]BASE'!E82)</f>
      </c>
      <c r="F82" s="989">
        <f>IF('[1]BASE'!F82=0,"",'[1]BASE'!F82)</f>
      </c>
      <c r="G82" s="989">
        <f>IF('[1]BASE'!G82=0,"",'[1]BASE'!G82)</f>
      </c>
      <c r="H82" s="986">
        <f>IF('[1]BASE'!GG82=0,"",'[1]BASE'!GG82)</f>
      </c>
      <c r="I82" s="986">
        <f>IF('[1]BASE'!GH82=0,"",'[1]BASE'!GH82)</f>
      </c>
      <c r="J82" s="986">
        <f>IF('[1]BASE'!GI82=0,"",'[1]BASE'!GI82)</f>
      </c>
      <c r="K82" s="986">
        <f>IF('[1]BASE'!GJ82=0,"",'[1]BASE'!GJ82)</f>
      </c>
      <c r="L82" s="986">
        <f>IF('[1]BASE'!GK82=0,"",'[1]BASE'!GK82)</f>
      </c>
      <c r="M82" s="986">
        <f>IF('[1]BASE'!GL82=0,"",'[1]BASE'!GL82)</f>
      </c>
      <c r="N82" s="986">
        <f>IF('[1]BASE'!GM82=0,"",'[1]BASE'!GM82)</f>
      </c>
      <c r="O82" s="986">
        <f>IF('[1]BASE'!GN82=0,"",'[1]BASE'!GN82)</f>
      </c>
      <c r="P82" s="986">
        <f>IF('[1]BASE'!GO82=0,"",'[1]BASE'!GO82)</f>
      </c>
      <c r="Q82" s="986">
        <f>IF('[1]BASE'!GP82=0,"",'[1]BASE'!GP82)</f>
      </c>
      <c r="R82" s="986">
        <f>IF('[1]BASE'!GQ82=0,"",'[1]BASE'!GQ82)</f>
      </c>
      <c r="S82" s="986">
        <f>IF('[1]BASE'!GR82=0,"",'[1]BASE'!GR82)</f>
      </c>
      <c r="T82" s="987"/>
      <c r="U82" s="983"/>
    </row>
    <row r="83" spans="2:21" s="977" customFormat="1" ht="19.5" customHeight="1">
      <c r="B83" s="978"/>
      <c r="C83" s="990">
        <f>IF('[1]BASE'!C83=0,"",'[1]BASE'!C83)</f>
      </c>
      <c r="D83" s="990">
        <f>IF('[1]BASE'!D83=0,"",'[1]BASE'!D83)</f>
      </c>
      <c r="E83" s="990">
        <f>IF('[1]BASE'!E83=0,"",'[1]BASE'!E83)</f>
      </c>
      <c r="F83" s="990">
        <f>IF('[1]BASE'!F83=0,"",'[1]BASE'!F83)</f>
      </c>
      <c r="G83" s="991">
        <f>IF('[1]BASE'!G83=0,"",'[1]BASE'!G83)</f>
      </c>
      <c r="H83" s="986">
        <f>IF('[1]BASE'!GG83=0,"",'[1]BASE'!GG83)</f>
      </c>
      <c r="I83" s="986">
        <f>IF('[1]BASE'!GH83=0,"",'[1]BASE'!GH83)</f>
      </c>
      <c r="J83" s="986">
        <f>IF('[1]BASE'!GI83=0,"",'[1]BASE'!GI83)</f>
      </c>
      <c r="K83" s="986">
        <f>IF('[1]BASE'!GJ83=0,"",'[1]BASE'!GJ83)</f>
      </c>
      <c r="L83" s="986">
        <f>IF('[1]BASE'!GK83=0,"",'[1]BASE'!GK83)</f>
      </c>
      <c r="M83" s="986">
        <f>IF('[1]BASE'!GL83=0,"",'[1]BASE'!GL83)</f>
      </c>
      <c r="N83" s="986">
        <f>IF('[1]BASE'!GM83=0,"",'[1]BASE'!GM83)</f>
      </c>
      <c r="O83" s="986">
        <f>IF('[1]BASE'!GN83=0,"",'[1]BASE'!GN83)</f>
      </c>
      <c r="P83" s="986">
        <f>IF('[1]BASE'!GO83=0,"",'[1]BASE'!GO83)</f>
      </c>
      <c r="Q83" s="986">
        <f>IF('[1]BASE'!GP83=0,"",'[1]BASE'!GP83)</f>
      </c>
      <c r="R83" s="986">
        <f>IF('[1]BASE'!GQ83=0,"",'[1]BASE'!GQ83)</f>
      </c>
      <c r="S83" s="986">
        <f>IF('[1]BASE'!GR83=0,"",'[1]BASE'!GR83)</f>
      </c>
      <c r="T83" s="987"/>
      <c r="U83" s="983"/>
    </row>
    <row r="84" spans="2:21" s="977" customFormat="1" ht="19.5" customHeight="1">
      <c r="B84" s="978"/>
      <c r="C84" s="988">
        <f>IF('[1]BASE'!C84=0,"",'[1]BASE'!C84)</f>
        <v>62</v>
      </c>
      <c r="D84" s="988" t="str">
        <f>IF('[1]BASE'!D84=0,"",'[1]BASE'!D84)</f>
        <v>YACYRETÁ - RINCON I</v>
      </c>
      <c r="E84" s="988">
        <f>IF('[1]BASE'!E84=0,"",'[1]BASE'!E84)</f>
        <v>500</v>
      </c>
      <c r="F84" s="989">
        <f>IF('[1]BASE'!F84=0,"",'[1]BASE'!F84)</f>
        <v>3.6</v>
      </c>
      <c r="G84" s="989" t="str">
        <f>IF('[1]BASE'!G84=0,"",'[1]BASE'!G84)</f>
        <v>B</v>
      </c>
      <c r="H84" s="986">
        <f>IF('[1]BASE'!GG84=0,"",'[1]BASE'!GG84)</f>
      </c>
      <c r="I84" s="986">
        <f>IF('[1]BASE'!GH84=0,"",'[1]BASE'!GH84)</f>
      </c>
      <c r="J84" s="986">
        <f>IF('[1]BASE'!GI84=0,"",'[1]BASE'!GI84)</f>
      </c>
      <c r="K84" s="986">
        <f>IF('[1]BASE'!GJ84=0,"",'[1]BASE'!GJ84)</f>
      </c>
      <c r="L84" s="986">
        <f>IF('[1]BASE'!GK84=0,"",'[1]BASE'!GK84)</f>
      </c>
      <c r="M84" s="986">
        <f>IF('[1]BASE'!GL84=0,"",'[1]BASE'!GL84)</f>
      </c>
      <c r="N84" s="986">
        <f>IF('[1]BASE'!GM84=0,"",'[1]BASE'!GM84)</f>
      </c>
      <c r="O84" s="986">
        <f>IF('[1]BASE'!GN84=0,"",'[1]BASE'!GN84)</f>
      </c>
      <c r="P84" s="986">
        <f>IF('[1]BASE'!GO84=0,"",'[1]BASE'!GO84)</f>
      </c>
      <c r="Q84" s="986">
        <f>IF('[1]BASE'!GP84=0,"",'[1]BASE'!GP84)</f>
      </c>
      <c r="R84" s="986">
        <f>IF('[1]BASE'!GQ84=0,"",'[1]BASE'!GQ84)</f>
      </c>
      <c r="S84" s="986">
        <f>IF('[1]BASE'!GR84=0,"",'[1]BASE'!GR84)</f>
      </c>
      <c r="T84" s="987"/>
      <c r="U84" s="983"/>
    </row>
    <row r="85" spans="2:21" s="977" customFormat="1" ht="19.5" customHeight="1">
      <c r="B85" s="978"/>
      <c r="C85" s="990">
        <f>IF('[1]BASE'!C85=0,"",'[1]BASE'!C85)</f>
        <v>63</v>
      </c>
      <c r="D85" s="990" t="str">
        <f>IF('[1]BASE'!D85=0,"",'[1]BASE'!D85)</f>
        <v>YACYRETÁ - RINCON II</v>
      </c>
      <c r="E85" s="990">
        <f>IF('[1]BASE'!E85=0,"",'[1]BASE'!E85)</f>
        <v>500</v>
      </c>
      <c r="F85" s="991">
        <f>IF('[1]BASE'!F85=0,"",'[1]BASE'!F85)</f>
        <v>3.6</v>
      </c>
      <c r="G85" s="991" t="str">
        <f>IF('[1]BASE'!G85=0,"",'[1]BASE'!G85)</f>
        <v>B</v>
      </c>
      <c r="H85" s="986">
        <f>IF('[1]BASE'!GG85=0,"",'[1]BASE'!GG85)</f>
      </c>
      <c r="I85" s="986">
        <f>IF('[1]BASE'!GH85=0,"",'[1]BASE'!GH85)</f>
      </c>
      <c r="J85" s="986">
        <f>IF('[1]BASE'!GI85=0,"",'[1]BASE'!GI85)</f>
      </c>
      <c r="K85" s="986">
        <f>IF('[1]BASE'!GJ85=0,"",'[1]BASE'!GJ85)</f>
      </c>
      <c r="L85" s="986">
        <f>IF('[1]BASE'!GK85=0,"",'[1]BASE'!GK85)</f>
      </c>
      <c r="M85" s="986">
        <f>IF('[1]BASE'!GL85=0,"",'[1]BASE'!GL85)</f>
      </c>
      <c r="N85" s="986">
        <f>IF('[1]BASE'!GM85=0,"",'[1]BASE'!GM85)</f>
      </c>
      <c r="O85" s="986">
        <f>IF('[1]BASE'!GN85=0,"",'[1]BASE'!GN85)</f>
      </c>
      <c r="P85" s="986">
        <f>IF('[1]BASE'!GO85=0,"",'[1]BASE'!GO85)</f>
      </c>
      <c r="Q85" s="986">
        <f>IF('[1]BASE'!GP85=0,"",'[1]BASE'!GP85)</f>
      </c>
      <c r="R85" s="986">
        <f>IF('[1]BASE'!GQ85=0,"",'[1]BASE'!GQ85)</f>
      </c>
      <c r="S85" s="986">
        <f>IF('[1]BASE'!GR85=0,"",'[1]BASE'!GR85)</f>
      </c>
      <c r="T85" s="987"/>
      <c r="U85" s="983"/>
    </row>
    <row r="86" spans="2:21" s="977" customFormat="1" ht="19.5" customHeight="1">
      <c r="B86" s="978"/>
      <c r="C86" s="988">
        <f>IF('[1]BASE'!C86=0,"",'[1]BASE'!C86)</f>
        <v>64</v>
      </c>
      <c r="D86" s="988" t="str">
        <f>IF('[1]BASE'!D86=0,"",'[1]BASE'!D86)</f>
        <v>YACYRETÁ - RINCON III</v>
      </c>
      <c r="E86" s="988">
        <f>IF('[1]BASE'!E86=0,"",'[1]BASE'!E86)</f>
        <v>500</v>
      </c>
      <c r="F86" s="989">
        <f>IF('[1]BASE'!F86=0,"",'[1]BASE'!F86)</f>
        <v>3.6</v>
      </c>
      <c r="G86" s="989" t="str">
        <f>IF('[1]BASE'!G86=0,"",'[1]BASE'!G86)</f>
        <v>B</v>
      </c>
      <c r="H86" s="986">
        <f>IF('[1]BASE'!GG86=0,"",'[1]BASE'!GG86)</f>
      </c>
      <c r="I86" s="986">
        <f>IF('[1]BASE'!GH86=0,"",'[1]BASE'!GH86)</f>
      </c>
      <c r="J86" s="986">
        <f>IF('[1]BASE'!GI86=0,"",'[1]BASE'!GI86)</f>
      </c>
      <c r="K86" s="986">
        <f>IF('[1]BASE'!GJ86=0,"",'[1]BASE'!GJ86)</f>
      </c>
      <c r="L86" s="986">
        <f>IF('[1]BASE'!GK86=0,"",'[1]BASE'!GK86)</f>
      </c>
      <c r="M86" s="986">
        <f>IF('[1]BASE'!GL86=0,"",'[1]BASE'!GL86)</f>
      </c>
      <c r="N86" s="986">
        <f>IF('[1]BASE'!GM86=0,"",'[1]BASE'!GM86)</f>
      </c>
      <c r="O86" s="986">
        <f>IF('[1]BASE'!GN86=0,"",'[1]BASE'!GN86)</f>
      </c>
      <c r="P86" s="986">
        <f>IF('[1]BASE'!GO86=0,"",'[1]BASE'!GO86)</f>
      </c>
      <c r="Q86" s="986">
        <f>IF('[1]BASE'!GP86=0,"",'[1]BASE'!GP86)</f>
      </c>
      <c r="R86" s="986">
        <f>IF('[1]BASE'!GQ86=0,"",'[1]BASE'!GQ86)</f>
      </c>
      <c r="S86" s="986">
        <f>IF('[1]BASE'!GR86=0,"",'[1]BASE'!GR86)</f>
      </c>
      <c r="T86" s="987"/>
      <c r="U86" s="983"/>
    </row>
    <row r="87" spans="2:21" s="977" customFormat="1" ht="19.5" customHeight="1">
      <c r="B87" s="978"/>
      <c r="C87" s="990">
        <f>IF('[1]BASE'!C87=0,"",'[1]BASE'!C87)</f>
        <v>65</v>
      </c>
      <c r="D87" s="990" t="str">
        <f>IF('[1]BASE'!D87=0,"",'[1]BASE'!D87)</f>
        <v>RINCON - PASO DE LA PATRIA</v>
      </c>
      <c r="E87" s="990">
        <f>IF('[1]BASE'!E87=0,"",'[1]BASE'!E87)</f>
        <v>500</v>
      </c>
      <c r="F87" s="990">
        <f>IF('[1]BASE'!F87=0,"",'[1]BASE'!F87)</f>
        <v>227</v>
      </c>
      <c r="G87" s="991" t="str">
        <f>IF('[1]BASE'!G87=0,"",'[1]BASE'!G87)</f>
        <v>A</v>
      </c>
      <c r="H87" s="986">
        <f>IF('[1]BASE'!GG87=0,"",'[1]BASE'!GG87)</f>
      </c>
      <c r="I87" s="986">
        <f>IF('[1]BASE'!GH87=0,"",'[1]BASE'!GH87)</f>
      </c>
      <c r="J87" s="986">
        <f>IF('[1]BASE'!GI87=0,"",'[1]BASE'!GI87)</f>
      </c>
      <c r="K87" s="986">
        <f>IF('[1]BASE'!GJ87=0,"",'[1]BASE'!GJ87)</f>
      </c>
      <c r="L87" s="986">
        <f>IF('[1]BASE'!GK87=0,"",'[1]BASE'!GK87)</f>
      </c>
      <c r="M87" s="986">
        <f>IF('[1]BASE'!GL87=0,"",'[1]BASE'!GL87)</f>
      </c>
      <c r="N87" s="986">
        <f>IF('[1]BASE'!GM87=0,"",'[1]BASE'!GM87)</f>
      </c>
      <c r="O87" s="986">
        <f>IF('[1]BASE'!GN87=0,"",'[1]BASE'!GN87)</f>
      </c>
      <c r="P87" s="986">
        <f>IF('[1]BASE'!GO87=0,"",'[1]BASE'!GO87)</f>
      </c>
      <c r="Q87" s="986">
        <f>IF('[1]BASE'!GP87=0,"",'[1]BASE'!GP87)</f>
      </c>
      <c r="R87" s="986">
        <f>IF('[1]BASE'!GQ87=0,"",'[1]BASE'!GQ87)</f>
      </c>
      <c r="S87" s="986">
        <f>IF('[1]BASE'!GR87=0,"",'[1]BASE'!GR87)</f>
      </c>
      <c r="T87" s="987"/>
      <c r="U87" s="983"/>
    </row>
    <row r="88" spans="2:21" s="977" customFormat="1" ht="9.75" customHeight="1">
      <c r="B88" s="978"/>
      <c r="C88" s="988">
        <f>IF('[1]BASE'!C88=0,"",'[1]BASE'!C88)</f>
        <v>66</v>
      </c>
      <c r="D88" s="988" t="str">
        <f>IF('[1]BASE'!D88=0,"",'[1]BASE'!D88)</f>
        <v>PASO DE LA PATRIA - RESISTENCIA</v>
      </c>
      <c r="E88" s="988">
        <f>IF('[1]BASE'!E88=0,"",'[1]BASE'!E88)</f>
        <v>500</v>
      </c>
      <c r="F88" s="989">
        <f>IF('[1]BASE'!F88=0,"",'[1]BASE'!F88)</f>
        <v>40</v>
      </c>
      <c r="G88" s="989" t="str">
        <f>IF('[1]BASE'!G88=0,"",'[1]BASE'!G88)</f>
        <v>C</v>
      </c>
      <c r="H88" s="986">
        <f>IF('[1]BASE'!GG88=0,"",'[1]BASE'!GG88)</f>
      </c>
      <c r="I88" s="986">
        <f>IF('[1]BASE'!GH88=0,"",'[1]BASE'!GH88)</f>
      </c>
      <c r="J88" s="986">
        <f>IF('[1]BASE'!GI88=0,"",'[1]BASE'!GI88)</f>
      </c>
      <c r="K88" s="986">
        <f>IF('[1]BASE'!GJ88=0,"",'[1]BASE'!GJ88)</f>
      </c>
      <c r="L88" s="986">
        <f>IF('[1]BASE'!GK88=0,"",'[1]BASE'!GK88)</f>
      </c>
      <c r="M88" s="986">
        <f>IF('[1]BASE'!GL88=0,"",'[1]BASE'!GL88)</f>
      </c>
      <c r="N88" s="986">
        <f>IF('[1]BASE'!GM88=0,"",'[1]BASE'!GM88)</f>
      </c>
      <c r="O88" s="986">
        <f>IF('[1]BASE'!GN88=0,"",'[1]BASE'!GN88)</f>
      </c>
      <c r="P88" s="986">
        <f>IF('[1]BASE'!GO88=0,"",'[1]BASE'!GO88)</f>
      </c>
      <c r="Q88" s="986">
        <f>IF('[1]BASE'!GP88=0,"",'[1]BASE'!GP88)</f>
      </c>
      <c r="R88" s="986">
        <f>IF('[1]BASE'!GQ88=0,"",'[1]BASE'!GQ88)</f>
      </c>
      <c r="S88" s="986">
        <f>IF('[1]BASE'!GR88=0,"",'[1]BASE'!GR88)</f>
      </c>
      <c r="T88" s="987"/>
      <c r="U88" s="983"/>
    </row>
    <row r="89" spans="2:21" s="977" customFormat="1" ht="19.5" customHeight="1">
      <c r="B89" s="978"/>
      <c r="C89" s="990">
        <f>IF('[1]BASE'!C89=0,"",'[1]BASE'!C89)</f>
        <v>67</v>
      </c>
      <c r="D89" s="990" t="str">
        <f>IF('[1]BASE'!D89=0,"",'[1]BASE'!D89)</f>
        <v>RINCON - RESISTENCIA</v>
      </c>
      <c r="E89" s="990">
        <f>IF('[1]BASE'!E89=0,"",'[1]BASE'!E89)</f>
        <v>500</v>
      </c>
      <c r="F89" s="991">
        <f>IF('[1]BASE'!F89=0,"",'[1]BASE'!F89)</f>
        <v>267</v>
      </c>
      <c r="G89" s="991" t="str">
        <f>IF('[1]BASE'!G89=0,"",'[1]BASE'!G89)</f>
        <v>B</v>
      </c>
      <c r="H89" s="986" t="str">
        <f>IF('[1]BASE'!GG89=0,"",'[1]BASE'!GG89)</f>
        <v>XXXX</v>
      </c>
      <c r="I89" s="986" t="str">
        <f>IF('[1]BASE'!GH89=0,"",'[1]BASE'!GH89)</f>
        <v>XXXX</v>
      </c>
      <c r="J89" s="986" t="str">
        <f>IF('[1]BASE'!GI89=0,"",'[1]BASE'!GI89)</f>
        <v>XXXX</v>
      </c>
      <c r="K89" s="986" t="str">
        <f>IF('[1]BASE'!GJ89=0,"",'[1]BASE'!GJ89)</f>
        <v>XXXX</v>
      </c>
      <c r="L89" s="986" t="str">
        <f>IF('[1]BASE'!GK89=0,"",'[1]BASE'!GK89)</f>
        <v>XXXX</v>
      </c>
      <c r="M89" s="986" t="str">
        <f>IF('[1]BASE'!GL89=0,"",'[1]BASE'!GL89)</f>
        <v>XXXX</v>
      </c>
      <c r="N89" s="986" t="str">
        <f>IF('[1]BASE'!GM89=0,"",'[1]BASE'!GM89)</f>
        <v>XXXX</v>
      </c>
      <c r="O89" s="986" t="str">
        <f>IF('[1]BASE'!GN89=0,"",'[1]BASE'!GN89)</f>
        <v>XXXX</v>
      </c>
      <c r="P89" s="986" t="str">
        <f>IF('[1]BASE'!GO89=0,"",'[1]BASE'!GO89)</f>
        <v>XXXX</v>
      </c>
      <c r="Q89" s="986" t="str">
        <f>IF('[1]BASE'!GP89=0,"",'[1]BASE'!GP89)</f>
        <v>XXXX</v>
      </c>
      <c r="R89" s="986" t="str">
        <f>IF('[1]BASE'!GQ89=0,"",'[1]BASE'!GQ89)</f>
        <v>XXXX</v>
      </c>
      <c r="S89" s="986" t="str">
        <f>IF('[1]BASE'!GR89=0,"",'[1]BASE'!GR89)</f>
        <v>XXXX</v>
      </c>
      <c r="T89" s="987"/>
      <c r="U89" s="983"/>
    </row>
    <row r="90" spans="2:21" s="977" customFormat="1" ht="19.5" customHeight="1">
      <c r="B90" s="978"/>
      <c r="C90" s="988">
        <f>IF('[1]BASE'!C90=0,"",'[1]BASE'!C90)</f>
      </c>
      <c r="D90" s="988">
        <f>IF('[1]BASE'!D90=0,"",'[1]BASE'!D90)</f>
      </c>
      <c r="E90" s="988">
        <f>IF('[1]BASE'!E90=0,"",'[1]BASE'!E90)</f>
      </c>
      <c r="F90" s="989">
        <f>IF('[1]BASE'!F90=0,"",'[1]BASE'!F90)</f>
      </c>
      <c r="G90" s="989">
        <f>IF('[1]BASE'!G90=0,"",'[1]BASE'!G90)</f>
      </c>
      <c r="H90" s="986">
        <f>IF('[1]BASE'!GG90=0,"",'[1]BASE'!GG90)</f>
      </c>
      <c r="I90" s="986">
        <f>IF('[1]BASE'!GH90=0,"",'[1]BASE'!GH90)</f>
      </c>
      <c r="J90" s="986">
        <f>IF('[1]BASE'!GI90=0,"",'[1]BASE'!GI90)</f>
      </c>
      <c r="K90" s="986">
        <f>IF('[1]BASE'!GJ90=0,"",'[1]BASE'!GJ90)</f>
      </c>
      <c r="L90" s="986">
        <f>IF('[1]BASE'!GK90=0,"",'[1]BASE'!GK90)</f>
      </c>
      <c r="M90" s="986">
        <f>IF('[1]BASE'!GL90=0,"",'[1]BASE'!GL90)</f>
      </c>
      <c r="N90" s="986">
        <f>IF('[1]BASE'!GM90=0,"",'[1]BASE'!GM90)</f>
      </c>
      <c r="O90" s="986">
        <f>IF('[1]BASE'!GN90=0,"",'[1]BASE'!GN90)</f>
      </c>
      <c r="P90" s="986">
        <f>IF('[1]BASE'!GO90=0,"",'[1]BASE'!GO90)</f>
      </c>
      <c r="Q90" s="986">
        <f>IF('[1]BASE'!GP90=0,"",'[1]BASE'!GP90)</f>
      </c>
      <c r="R90" s="986">
        <f>IF('[1]BASE'!GQ90=0,"",'[1]BASE'!GQ90)</f>
      </c>
      <c r="S90" s="986">
        <f>IF('[1]BASE'!GR90=0,"",'[1]BASE'!GR90)</f>
      </c>
      <c r="T90" s="987"/>
      <c r="U90" s="983"/>
    </row>
    <row r="91" spans="2:21" s="977" customFormat="1" ht="9.75" customHeight="1">
      <c r="B91" s="978"/>
      <c r="C91" s="990">
        <f>IF('[1]BASE'!C91=0,"",'[1]BASE'!C91)</f>
        <v>68</v>
      </c>
      <c r="D91" s="990" t="str">
        <f>IF('[1]BASE'!D91=0,"",'[1]BASE'!D91)</f>
        <v>RINCON - SALTO GRANDE</v>
      </c>
      <c r="E91" s="990">
        <f>IF('[1]BASE'!E91=0,"",'[1]BASE'!E91)</f>
        <v>500</v>
      </c>
      <c r="F91" s="990">
        <f>IF('[1]BASE'!F91=0,"",'[1]BASE'!F91)</f>
        <v>506</v>
      </c>
      <c r="G91" s="991" t="str">
        <f>IF('[1]BASE'!G91=0,"",'[1]BASE'!G91)</f>
        <v>A</v>
      </c>
      <c r="H91" s="986">
        <f>IF('[1]BASE'!GG91=0,"",'[1]BASE'!GG91)</f>
      </c>
      <c r="I91" s="986">
        <f>IF('[1]BASE'!GH91=0,"",'[1]BASE'!GH91)</f>
      </c>
      <c r="J91" s="986">
        <f>IF('[1]BASE'!GI91=0,"",'[1]BASE'!GI91)</f>
      </c>
      <c r="K91" s="986">
        <f>IF('[1]BASE'!GJ91=0,"",'[1]BASE'!GJ91)</f>
      </c>
      <c r="L91" s="986">
        <f>IF('[1]BASE'!GK91=0,"",'[1]BASE'!GK91)</f>
      </c>
      <c r="M91" s="986">
        <f>IF('[1]BASE'!GL91=0,"",'[1]BASE'!GL91)</f>
      </c>
      <c r="N91" s="986">
        <f>IF('[1]BASE'!GM91=0,"",'[1]BASE'!GM91)</f>
      </c>
      <c r="O91" s="986">
        <f>IF('[1]BASE'!GN91=0,"",'[1]BASE'!GN91)</f>
      </c>
      <c r="P91" s="986">
        <f>IF('[1]BASE'!GO91=0,"",'[1]BASE'!GO91)</f>
      </c>
      <c r="Q91" s="986">
        <f>IF('[1]BASE'!GP91=0,"",'[1]BASE'!GP91)</f>
      </c>
      <c r="R91" s="986">
        <f>IF('[1]BASE'!GQ91=0,"",'[1]BASE'!GQ91)</f>
      </c>
      <c r="S91" s="986">
        <f>IF('[1]BASE'!GR91=0,"",'[1]BASE'!GR91)</f>
      </c>
      <c r="T91" s="987"/>
      <c r="U91" s="983"/>
    </row>
    <row r="92" spans="2:21" s="977" customFormat="1" ht="9.75" customHeight="1" thickBot="1">
      <c r="B92" s="978"/>
      <c r="C92" s="992"/>
      <c r="D92" s="992"/>
      <c r="E92" s="992"/>
      <c r="F92" s="992"/>
      <c r="G92" s="993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87"/>
      <c r="U92" s="983"/>
    </row>
    <row r="93" spans="2:21" s="977" customFormat="1" ht="19.5" customHeight="1" thickBot="1" thickTop="1">
      <c r="B93" s="978"/>
      <c r="C93" s="995"/>
      <c r="D93" s="996"/>
      <c r="E93" s="997" t="s">
        <v>287</v>
      </c>
      <c r="F93" s="998">
        <f>SUM(F16:F92)-F46-F57-F78-F79-F87</f>
        <v>9984.730000000001</v>
      </c>
      <c r="G93" s="999"/>
      <c r="H93" s="1000"/>
      <c r="I93" s="1000"/>
      <c r="J93" s="1000"/>
      <c r="K93" s="1000"/>
      <c r="L93" s="1000"/>
      <c r="M93" s="1000"/>
      <c r="N93" s="1000"/>
      <c r="O93" s="1000"/>
      <c r="P93" s="1000"/>
      <c r="Q93" s="1000"/>
      <c r="R93" s="1000"/>
      <c r="S93" s="1000"/>
      <c r="T93" s="987"/>
      <c r="U93" s="983"/>
    </row>
    <row r="94" spans="2:21" s="977" customFormat="1" ht="19.5" customHeight="1" thickBot="1" thickTop="1">
      <c r="B94" s="978"/>
      <c r="C94" s="1001"/>
      <c r="D94" s="1002"/>
      <c r="E94" s="1003"/>
      <c r="F94" s="1004" t="s">
        <v>288</v>
      </c>
      <c r="H94" s="1005">
        <f aca="true" t="shared" si="0" ref="H94:S94">SUM(H17:H92)</f>
        <v>1</v>
      </c>
      <c r="I94" s="1005">
        <f t="shared" si="0"/>
        <v>5</v>
      </c>
      <c r="J94" s="1005">
        <f t="shared" si="0"/>
        <v>2</v>
      </c>
      <c r="K94" s="1005">
        <f t="shared" si="0"/>
        <v>4</v>
      </c>
      <c r="L94" s="1005">
        <f t="shared" si="0"/>
        <v>2</v>
      </c>
      <c r="M94" s="1005">
        <f t="shared" si="0"/>
        <v>6</v>
      </c>
      <c r="N94" s="1005">
        <f t="shared" si="0"/>
        <v>9</v>
      </c>
      <c r="O94" s="1005">
        <f t="shared" si="0"/>
        <v>6</v>
      </c>
      <c r="P94" s="1005">
        <f t="shared" si="0"/>
        <v>2</v>
      </c>
      <c r="Q94" s="1005">
        <f t="shared" si="0"/>
        <v>7</v>
      </c>
      <c r="R94" s="1005">
        <f t="shared" si="0"/>
        <v>14</v>
      </c>
      <c r="S94" s="1005">
        <f t="shared" si="0"/>
        <v>0</v>
      </c>
      <c r="T94" s="987"/>
      <c r="U94" s="983"/>
    </row>
    <row r="95" spans="2:21" s="977" customFormat="1" ht="19.5" customHeight="1" thickBot="1" thickTop="1">
      <c r="B95" s="978"/>
      <c r="E95" s="1003"/>
      <c r="F95" s="1004" t="s">
        <v>289</v>
      </c>
      <c r="H95" s="1006">
        <f>'[1]BASE'!GG104</f>
        <v>0.47</v>
      </c>
      <c r="I95" s="1006">
        <f>'[1]BASE'!GH104</f>
        <v>0.49</v>
      </c>
      <c r="J95" s="1006">
        <f>'[1]BASE'!GI104</f>
        <v>0.53</v>
      </c>
      <c r="K95" s="1006">
        <f>'[1]BASE'!GJ104</f>
        <v>0.54</v>
      </c>
      <c r="L95" s="1006">
        <f>'[1]BASE'!GK104</f>
        <v>0.49</v>
      </c>
      <c r="M95" s="1006">
        <f>'[1]BASE'!GL104</f>
        <v>0.49</v>
      </c>
      <c r="N95" s="1006">
        <f>'[1]BASE'!GM104</f>
        <v>0.56</v>
      </c>
      <c r="O95" s="1006">
        <f>'[1]BASE'!GN104</f>
        <v>0.6</v>
      </c>
      <c r="P95" s="1006">
        <f>'[1]BASE'!GO104</f>
        <v>0.6</v>
      </c>
      <c r="Q95" s="1006">
        <f>'[1]BASE'!GP104</f>
        <v>0.56</v>
      </c>
      <c r="R95" s="1006">
        <f>'[1]BASE'!GQ104</f>
        <v>0.57</v>
      </c>
      <c r="S95" s="1006">
        <f>'[1]BASE'!GR104</f>
        <v>0.61</v>
      </c>
      <c r="T95" s="1006">
        <f>'[1]BASE'!GS104</f>
        <v>0.59</v>
      </c>
      <c r="U95" s="983"/>
    </row>
    <row r="96" spans="2:21" s="850" customFormat="1" ht="9.75" customHeight="1" thickBot="1" thickTop="1">
      <c r="B96" s="1007"/>
      <c r="C96"/>
      <c r="D96" s="1008"/>
      <c r="E96" s="1009"/>
      <c r="F96" s="1010"/>
      <c r="G96"/>
      <c r="H96" s="1011"/>
      <c r="I96" s="1011"/>
      <c r="J96" s="1011"/>
      <c r="K96" s="1011"/>
      <c r="L96" s="1011"/>
      <c r="M96" s="1011"/>
      <c r="N96" s="1011"/>
      <c r="O96" s="1011"/>
      <c r="P96" s="1011"/>
      <c r="Q96" s="1011"/>
      <c r="R96" s="1011"/>
      <c r="S96" s="1011"/>
      <c r="T96" s="1011"/>
      <c r="U96" s="1012"/>
    </row>
    <row r="97" spans="2:21" ht="15.75" customHeight="1" thickBot="1">
      <c r="B97" s="50"/>
      <c r="C97" s="1013"/>
      <c r="D97" s="15" t="s">
        <v>290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1014" t="s">
        <v>291</v>
      </c>
      <c r="I98" s="1015"/>
      <c r="J98" s="1016">
        <f>T95</f>
        <v>0.59</v>
      </c>
      <c r="K98" s="1017" t="s">
        <v>292</v>
      </c>
      <c r="L98" s="1018"/>
      <c r="M98" s="1019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20"/>
      <c r="D99" s="59"/>
      <c r="E99" s="59"/>
      <c r="F99" s="1020"/>
      <c r="G99" s="1020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21"/>
      <c r="F100" s="1021"/>
      <c r="G100" s="1021"/>
    </row>
    <row r="101" spans="3:194" ht="12.75">
      <c r="C101" s="1021"/>
      <c r="D101" s="66"/>
      <c r="E101" s="66"/>
      <c r="F101" s="66"/>
      <c r="G101" s="66"/>
      <c r="H101" s="1022"/>
      <c r="I101" s="1022"/>
      <c r="J101" s="1022"/>
      <c r="K101" s="1022"/>
      <c r="L101" s="1022"/>
      <c r="M101" s="1022"/>
      <c r="N101" s="1022"/>
      <c r="O101" s="1022"/>
      <c r="P101" s="1022"/>
      <c r="Q101" s="1022"/>
      <c r="R101" s="1022"/>
      <c r="S101" s="1022"/>
      <c r="T101" s="102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21"/>
      <c r="D102" s="66"/>
      <c r="E102" s="66"/>
      <c r="F102" s="66"/>
      <c r="G102" s="66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2"/>
      <c r="R102" s="1022"/>
      <c r="S102" s="1022"/>
      <c r="T102" s="102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21"/>
      <c r="D103" s="66"/>
      <c r="E103" s="66"/>
      <c r="F103" s="66"/>
      <c r="G103" s="66"/>
      <c r="H103" s="1023"/>
      <c r="I103" s="1023"/>
      <c r="J103" s="1023"/>
      <c r="K103" s="1023"/>
      <c r="L103" s="1023"/>
      <c r="M103" s="1023"/>
      <c r="N103" s="1023"/>
      <c r="O103" s="1023"/>
      <c r="P103" s="1023"/>
      <c r="Q103" s="1023"/>
      <c r="R103" s="1023"/>
      <c r="S103" s="1023"/>
      <c r="T103" s="102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21"/>
      <c r="D104" s="66"/>
      <c r="E104" s="66"/>
      <c r="F104" s="66"/>
      <c r="G104" s="66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022"/>
      <c r="R104" s="1022"/>
      <c r="S104" s="1022"/>
      <c r="T104" s="102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21"/>
      <c r="D105" s="66"/>
      <c r="E105" s="66"/>
      <c r="F105" s="66"/>
      <c r="G105" s="66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21"/>
      <c r="D106" s="66"/>
      <c r="E106" s="66"/>
      <c r="F106" s="66"/>
      <c r="G106" s="66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21"/>
      <c r="D107" s="66"/>
      <c r="E107" s="66"/>
      <c r="F107" s="66"/>
      <c r="G107" s="66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21"/>
      <c r="D108" s="66"/>
      <c r="E108" s="66"/>
      <c r="F108" s="66"/>
      <c r="G108" s="66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21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21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21"/>
      <c r="F111" s="1021"/>
      <c r="G111" s="1021"/>
    </row>
    <row r="112" spans="3:7" ht="12.75">
      <c r="C112" s="1021"/>
      <c r="F112" s="1021"/>
      <c r="G112" s="1021"/>
    </row>
    <row r="113" spans="3:7" ht="12.75">
      <c r="C113" s="1021"/>
      <c r="F113" s="1021"/>
      <c r="G113" s="1021"/>
    </row>
    <row r="114" spans="6:7" ht="12.75">
      <c r="F114" s="1021"/>
      <c r="G114" s="1021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45"/>
  <sheetViews>
    <sheetView zoomScale="70" zoomScaleNormal="70" workbookViewId="0" topLeftCell="A1">
      <selection activeCell="G18" sqref="G18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58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134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'TOT-0110'!B14</f>
        <v>Desde el 01 al 31 de enero de 2010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98"/>
      <c r="Q14" s="198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8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9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79</v>
      </c>
      <c r="G16" s="817">
        <v>153.49</v>
      </c>
      <c r="H16" s="20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80</v>
      </c>
      <c r="G17" s="817">
        <v>127.908</v>
      </c>
      <c r="H17" s="200"/>
      <c r="I17" s="4"/>
      <c r="J17" s="4"/>
      <c r="K17" s="4"/>
      <c r="L17" s="201"/>
      <c r="M17" s="202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919">
        <v>3</v>
      </c>
      <c r="D18" s="919">
        <v>4</v>
      </c>
      <c r="E18" s="919">
        <v>5</v>
      </c>
      <c r="F18" s="919">
        <v>6</v>
      </c>
      <c r="G18" s="919">
        <v>7</v>
      </c>
      <c r="H18" s="919">
        <v>8</v>
      </c>
      <c r="I18" s="919">
        <v>9</v>
      </c>
      <c r="J18" s="919">
        <v>10</v>
      </c>
      <c r="K18" s="919">
        <v>11</v>
      </c>
      <c r="L18" s="919">
        <v>12</v>
      </c>
      <c r="M18" s="919">
        <v>13</v>
      </c>
      <c r="N18" s="919">
        <v>14</v>
      </c>
      <c r="O18" s="919">
        <v>15</v>
      </c>
      <c r="P18" s="919">
        <v>16</v>
      </c>
      <c r="Q18" s="919">
        <v>17</v>
      </c>
      <c r="R18" s="919">
        <v>18</v>
      </c>
      <c r="S18" s="919">
        <v>19</v>
      </c>
      <c r="T18" s="919">
        <v>20</v>
      </c>
      <c r="U18" s="919">
        <v>21</v>
      </c>
      <c r="V18" s="919">
        <v>22</v>
      </c>
      <c r="W18" s="919">
        <v>23</v>
      </c>
      <c r="X18" s="919">
        <v>24</v>
      </c>
      <c r="Y18" s="919">
        <v>25</v>
      </c>
      <c r="Z18" s="919">
        <v>26</v>
      </c>
      <c r="AA18" s="919">
        <v>27</v>
      </c>
      <c r="AB18" s="919">
        <v>28</v>
      </c>
      <c r="AC18" s="919">
        <v>29</v>
      </c>
      <c r="AD18" s="919">
        <v>30</v>
      </c>
      <c r="AE18" s="919">
        <v>31</v>
      </c>
      <c r="AF18" s="17"/>
    </row>
    <row r="19" spans="2:32" s="5" customFormat="1" ht="33.75" customHeight="1" thickBot="1" thickTop="1">
      <c r="B19" s="50"/>
      <c r="C19" s="84" t="s">
        <v>13</v>
      </c>
      <c r="D19" s="84" t="s">
        <v>171</v>
      </c>
      <c r="E19" s="84" t="s">
        <v>172</v>
      </c>
      <c r="F19" s="85" t="s">
        <v>0</v>
      </c>
      <c r="G19" s="750" t="s">
        <v>14</v>
      </c>
      <c r="H19" s="86" t="s">
        <v>15</v>
      </c>
      <c r="I19" s="205" t="s">
        <v>60</v>
      </c>
      <c r="J19" s="751" t="s">
        <v>37</v>
      </c>
      <c r="K19" s="752" t="s">
        <v>16</v>
      </c>
      <c r="L19" s="85" t="s">
        <v>17</v>
      </c>
      <c r="M19" s="176" t="s">
        <v>18</v>
      </c>
      <c r="N19" s="88" t="s">
        <v>36</v>
      </c>
      <c r="O19" s="86" t="s">
        <v>31</v>
      </c>
      <c r="P19" s="88" t="s">
        <v>19</v>
      </c>
      <c r="Q19" s="86" t="s">
        <v>46</v>
      </c>
      <c r="R19" s="176" t="s">
        <v>47</v>
      </c>
      <c r="S19" s="85" t="s">
        <v>32</v>
      </c>
      <c r="T19" s="136" t="s">
        <v>20</v>
      </c>
      <c r="U19" s="753" t="s">
        <v>21</v>
      </c>
      <c r="V19" s="207" t="s">
        <v>48</v>
      </c>
      <c r="W19" s="208"/>
      <c r="X19" s="209"/>
      <c r="Y19" s="754" t="s">
        <v>135</v>
      </c>
      <c r="Z19" s="755"/>
      <c r="AA19" s="756"/>
      <c r="AB19" s="210" t="s">
        <v>22</v>
      </c>
      <c r="AC19" s="211" t="s">
        <v>62</v>
      </c>
      <c r="AD19" s="132" t="s">
        <v>63</v>
      </c>
      <c r="AE19" s="132" t="s">
        <v>24</v>
      </c>
      <c r="AF19" s="212"/>
    </row>
    <row r="20" spans="2:32" s="5" customFormat="1" ht="16.5" customHeight="1" thickTop="1">
      <c r="B20" s="50"/>
      <c r="C20" s="178"/>
      <c r="D20" s="178"/>
      <c r="E20" s="178"/>
      <c r="F20" s="800"/>
      <c r="G20" s="800"/>
      <c r="H20" s="818"/>
      <c r="I20" s="799"/>
      <c r="J20" s="801"/>
      <c r="K20" s="802"/>
      <c r="L20" s="813"/>
      <c r="M20" s="813"/>
      <c r="N20" s="799"/>
      <c r="O20" s="799"/>
      <c r="P20" s="799"/>
      <c r="Q20" s="799"/>
      <c r="R20" s="799"/>
      <c r="S20" s="799"/>
      <c r="T20" s="803"/>
      <c r="U20" s="804"/>
      <c r="V20" s="805"/>
      <c r="W20" s="806"/>
      <c r="X20" s="807"/>
      <c r="Y20" s="808"/>
      <c r="Z20" s="809"/>
      <c r="AA20" s="810"/>
      <c r="AB20" s="811"/>
      <c r="AC20" s="812"/>
      <c r="AD20" s="799"/>
      <c r="AE20" s="757">
        <f>'LI-01 (1)'!AE44</f>
        <v>122751.48</v>
      </c>
      <c r="AF20" s="17"/>
    </row>
    <row r="21" spans="2:32" s="5" customFormat="1" ht="16.5" customHeight="1">
      <c r="B21" s="50"/>
      <c r="C21" s="276"/>
      <c r="D21" s="276"/>
      <c r="E21" s="276"/>
      <c r="F21" s="180"/>
      <c r="G21" s="7"/>
      <c r="H21" s="819"/>
      <c r="I21" s="180"/>
      <c r="J21" s="758"/>
      <c r="K21" s="759"/>
      <c r="L21" s="213"/>
      <c r="M21" s="115"/>
      <c r="N21" s="180"/>
      <c r="O21" s="180"/>
      <c r="P21" s="181"/>
      <c r="Q21" s="180"/>
      <c r="R21" s="180"/>
      <c r="S21" s="180"/>
      <c r="T21" s="760"/>
      <c r="U21" s="761"/>
      <c r="V21" s="762"/>
      <c r="W21" s="763"/>
      <c r="X21" s="764"/>
      <c r="Y21" s="765"/>
      <c r="Z21" s="766"/>
      <c r="AA21" s="767"/>
      <c r="AB21" s="217"/>
      <c r="AC21" s="218"/>
      <c r="AD21" s="180"/>
      <c r="AE21" s="219"/>
      <c r="AF21" s="17"/>
    </row>
    <row r="22" spans="2:32" s="5" customFormat="1" ht="16.5" customHeight="1">
      <c r="B22" s="50"/>
      <c r="C22" s="152">
        <v>21</v>
      </c>
      <c r="D22" s="152">
        <v>217199</v>
      </c>
      <c r="E22" s="152">
        <v>4734</v>
      </c>
      <c r="F22" s="152" t="s">
        <v>187</v>
      </c>
      <c r="G22" s="183">
        <v>220</v>
      </c>
      <c r="H22" s="820">
        <v>77</v>
      </c>
      <c r="I22" s="183" t="s">
        <v>185</v>
      </c>
      <c r="J22" s="768">
        <f aca="true" t="shared" si="0" ref="J22:J41">IF(I22="A",200,IF(I22="B",60,20))</f>
        <v>20</v>
      </c>
      <c r="K22" s="769">
        <f aca="true" t="shared" si="1" ref="K22:K41">IF(G22=500,IF(H22&lt;100,100*$G$16/100,H22*$G$16/100),IF(H22&lt;100,100*$G$17/100,H22*$G$17/100))</f>
        <v>127.90799999999999</v>
      </c>
      <c r="L22" s="770">
        <v>40194.53402777778</v>
      </c>
      <c r="M22" s="771">
        <v>40194.566666666666</v>
      </c>
      <c r="N22" s="186">
        <f aca="true" t="shared" si="2" ref="N22:N41">IF(F22="","",(M22-L22)*24)</f>
        <v>0.7833333332673647</v>
      </c>
      <c r="O22" s="187">
        <f aca="true" t="shared" si="3" ref="O22:O41">IF(F22="","",ROUND((M22-L22)*24*60,0))</f>
        <v>47</v>
      </c>
      <c r="P22" s="222" t="s">
        <v>191</v>
      </c>
      <c r="Q22" s="890" t="str">
        <f aca="true" t="shared" si="4" ref="Q22:Q41">IF(F22="","","--")</f>
        <v>--</v>
      </c>
      <c r="R22" s="223" t="str">
        <f aca="true" t="shared" si="5" ref="R22:R41">IF(F22="","","NO")</f>
        <v>NO</v>
      </c>
      <c r="S22" s="223" t="str">
        <f aca="true" t="shared" si="6" ref="S22:S41">IF(F22="","",IF(OR(P22="P",P22="RP"),"--","NO"))</f>
        <v>--</v>
      </c>
      <c r="T22" s="772">
        <f aca="true" t="shared" si="7" ref="T22:T41">IF(P22="P",K22*J22*ROUND(O22/60,2)*0.01,"--")</f>
        <v>19.953648</v>
      </c>
      <c r="U22" s="773" t="str">
        <f aca="true" t="shared" si="8" ref="U22:U41">IF(P22="RP",K22*J22*ROUND(O22/60,2)*0.01*Q22/100,"--")</f>
        <v>--</v>
      </c>
      <c r="V22" s="224" t="str">
        <f aca="true" t="shared" si="9" ref="V22:V41">IF(AND(P22="F",S22="NO"),K22*J22*IF(R22="SI",1.2,1),"--")</f>
        <v>--</v>
      </c>
      <c r="W22" s="225" t="str">
        <f aca="true" t="shared" si="10" ref="W22:W41">IF(AND(P22="F",O22&gt;=10),K22*J22*IF(R22="SI",1.2,1)*IF(O22&lt;=300,ROUND(O22/60,2),5),"--")</f>
        <v>--</v>
      </c>
      <c r="X22" s="226" t="str">
        <f aca="true" t="shared" si="11" ref="X22:X41">IF(AND(P22="F",O22&gt;300),(ROUND(O22/60,2)-5)*K22*J22*0.1*IF(R22="SI",1.2,1),"--")</f>
        <v>--</v>
      </c>
      <c r="Y22" s="774" t="str">
        <f aca="true" t="shared" si="12" ref="Y22:Y41">IF(AND(P22="R",S22="NO"),K22*J22*Q22/100*IF(R22="SI",1.2,1),"--")</f>
        <v>--</v>
      </c>
      <c r="Z22" s="775" t="str">
        <f aca="true" t="shared" si="13" ref="Z22:Z41">IF(AND(P22="R",O22&gt;=10),K22*J22*Q22/100*IF(R22="SI",1.2,1)*IF(O22&lt;=300,ROUND(O22/60,2),5),"--")</f>
        <v>--</v>
      </c>
      <c r="AA22" s="776" t="str">
        <f aca="true" t="shared" si="14" ref="AA22:AA41">IF(AND(P22="R",O22&gt;300),(ROUND(O22/60,2)-5)*K22*J22*0.1*Q22/100*IF(R22="SI",1.2,1),"--")</f>
        <v>--</v>
      </c>
      <c r="AB22" s="227" t="str">
        <f aca="true" t="shared" si="15" ref="AB22:AB41">IF(P22="RF",ROUND(O22/60,2)*K22*J22*0.1*IF(R22="SI",1.2,1),"--")</f>
        <v>--</v>
      </c>
      <c r="AC22" s="228" t="str">
        <f aca="true" t="shared" si="16" ref="AC22:AC41">IF(P22="RR",ROUND(O22/60,2)*K22*J22*0.1*Q22/100*IF(R22="SI",1.2,1),"--")</f>
        <v>--</v>
      </c>
      <c r="AD22" s="893" t="s">
        <v>148</v>
      </c>
      <c r="AE22" s="16">
        <f aca="true" t="shared" si="17" ref="AE22:AE41">IF(F22="","",SUM(T22:AC22)*IF(AD22="SI",1,2))</f>
        <v>19.953648</v>
      </c>
      <c r="AF22" s="777"/>
    </row>
    <row r="23" spans="2:32" s="5" customFormat="1" ht="16.5" customHeight="1">
      <c r="B23" s="50"/>
      <c r="C23" s="276">
        <v>22</v>
      </c>
      <c r="D23" s="276">
        <v>217531</v>
      </c>
      <c r="E23" s="276">
        <v>27</v>
      </c>
      <c r="F23" s="152" t="s">
        <v>198</v>
      </c>
      <c r="G23" s="183">
        <v>500</v>
      </c>
      <c r="H23" s="820">
        <v>3</v>
      </c>
      <c r="I23" s="183" t="s">
        <v>185</v>
      </c>
      <c r="J23" s="768">
        <f t="shared" si="0"/>
        <v>20</v>
      </c>
      <c r="K23" s="769">
        <f t="shared" si="1"/>
        <v>153.49</v>
      </c>
      <c r="L23" s="770">
        <v>40201.34652777778</v>
      </c>
      <c r="M23" s="771">
        <v>40201.65069444444</v>
      </c>
      <c r="N23" s="186">
        <f t="shared" si="2"/>
        <v>7.299999999871943</v>
      </c>
      <c r="O23" s="187">
        <f t="shared" si="3"/>
        <v>438</v>
      </c>
      <c r="P23" s="222" t="s">
        <v>191</v>
      </c>
      <c r="Q23" s="890" t="str">
        <f t="shared" si="4"/>
        <v>--</v>
      </c>
      <c r="R23" s="223" t="str">
        <f t="shared" si="5"/>
        <v>NO</v>
      </c>
      <c r="S23" s="223" t="str">
        <f t="shared" si="6"/>
        <v>--</v>
      </c>
      <c r="T23" s="772">
        <f t="shared" si="7"/>
        <v>224.0954</v>
      </c>
      <c r="U23" s="773" t="str">
        <f t="shared" si="8"/>
        <v>--</v>
      </c>
      <c r="V23" s="224" t="str">
        <f t="shared" si="9"/>
        <v>--</v>
      </c>
      <c r="W23" s="225" t="str">
        <f t="shared" si="10"/>
        <v>--</v>
      </c>
      <c r="X23" s="226" t="str">
        <f t="shared" si="11"/>
        <v>--</v>
      </c>
      <c r="Y23" s="774" t="str">
        <f t="shared" si="12"/>
        <v>--</v>
      </c>
      <c r="Z23" s="775" t="str">
        <f t="shared" si="13"/>
        <v>--</v>
      </c>
      <c r="AA23" s="776" t="str">
        <f t="shared" si="14"/>
        <v>--</v>
      </c>
      <c r="AB23" s="227" t="str">
        <f t="shared" si="15"/>
        <v>--</v>
      </c>
      <c r="AC23" s="228" t="str">
        <f t="shared" si="16"/>
        <v>--</v>
      </c>
      <c r="AD23" s="893" t="s">
        <v>148</v>
      </c>
      <c r="AE23" s="16">
        <f t="shared" si="17"/>
        <v>224.0954</v>
      </c>
      <c r="AF23" s="777"/>
    </row>
    <row r="24" spans="2:32" s="5" customFormat="1" ht="16.5" customHeight="1">
      <c r="B24" s="50"/>
      <c r="C24" s="152">
        <v>23</v>
      </c>
      <c r="D24" s="152">
        <v>217537</v>
      </c>
      <c r="E24" s="152">
        <v>30</v>
      </c>
      <c r="F24" s="778" t="s">
        <v>199</v>
      </c>
      <c r="G24" s="779">
        <v>500</v>
      </c>
      <c r="H24" s="821">
        <v>4.5</v>
      </c>
      <c r="I24" s="779" t="s">
        <v>185</v>
      </c>
      <c r="J24" s="768">
        <f t="shared" si="0"/>
        <v>20</v>
      </c>
      <c r="K24" s="769">
        <f t="shared" si="1"/>
        <v>153.49</v>
      </c>
      <c r="L24" s="780">
        <v>40202.31041666667</v>
      </c>
      <c r="M24" s="781">
        <v>40202.77222222222</v>
      </c>
      <c r="N24" s="186">
        <f t="shared" si="2"/>
        <v>11.08333333331393</v>
      </c>
      <c r="O24" s="187">
        <f t="shared" si="3"/>
        <v>665</v>
      </c>
      <c r="P24" s="222" t="s">
        <v>191</v>
      </c>
      <c r="Q24" s="890" t="str">
        <f t="shared" si="4"/>
        <v>--</v>
      </c>
      <c r="R24" s="223" t="str">
        <f t="shared" si="5"/>
        <v>NO</v>
      </c>
      <c r="S24" s="223" t="str">
        <f t="shared" si="6"/>
        <v>--</v>
      </c>
      <c r="T24" s="772">
        <f t="shared" si="7"/>
        <v>340.1338400000001</v>
      </c>
      <c r="U24" s="773" t="str">
        <f t="shared" si="8"/>
        <v>--</v>
      </c>
      <c r="V24" s="224" t="str">
        <f t="shared" si="9"/>
        <v>--</v>
      </c>
      <c r="W24" s="225" t="str">
        <f t="shared" si="10"/>
        <v>--</v>
      </c>
      <c r="X24" s="226" t="str">
        <f t="shared" si="11"/>
        <v>--</v>
      </c>
      <c r="Y24" s="774" t="str">
        <f t="shared" si="12"/>
        <v>--</v>
      </c>
      <c r="Z24" s="775" t="str">
        <f t="shared" si="13"/>
        <v>--</v>
      </c>
      <c r="AA24" s="776" t="str">
        <f t="shared" si="14"/>
        <v>--</v>
      </c>
      <c r="AB24" s="227" t="str">
        <f t="shared" si="15"/>
        <v>--</v>
      </c>
      <c r="AC24" s="228" t="str">
        <f t="shared" si="16"/>
        <v>--</v>
      </c>
      <c r="AD24" s="893" t="s">
        <v>148</v>
      </c>
      <c r="AE24" s="16">
        <f t="shared" si="17"/>
        <v>340.1338400000001</v>
      </c>
      <c r="AF24" s="777"/>
    </row>
    <row r="25" spans="2:32" s="5" customFormat="1" ht="16.5" customHeight="1">
      <c r="B25" s="50"/>
      <c r="C25" s="276">
        <v>24</v>
      </c>
      <c r="D25" s="276">
        <v>217536</v>
      </c>
      <c r="E25" s="276">
        <v>27</v>
      </c>
      <c r="F25" s="778" t="s">
        <v>198</v>
      </c>
      <c r="G25" s="779">
        <v>500</v>
      </c>
      <c r="H25" s="821">
        <v>3</v>
      </c>
      <c r="I25" s="779" t="s">
        <v>185</v>
      </c>
      <c r="J25" s="768">
        <f t="shared" si="0"/>
        <v>20</v>
      </c>
      <c r="K25" s="769">
        <f t="shared" si="1"/>
        <v>153.49</v>
      </c>
      <c r="L25" s="780">
        <v>40202.31041666667</v>
      </c>
      <c r="M25" s="781">
        <v>40202.774305555555</v>
      </c>
      <c r="N25" s="186">
        <f t="shared" si="2"/>
        <v>11.13333333330229</v>
      </c>
      <c r="O25" s="187">
        <f t="shared" si="3"/>
        <v>668</v>
      </c>
      <c r="P25" s="222" t="s">
        <v>191</v>
      </c>
      <c r="Q25" s="890" t="str">
        <f t="shared" si="4"/>
        <v>--</v>
      </c>
      <c r="R25" s="223" t="str">
        <f t="shared" si="5"/>
        <v>NO</v>
      </c>
      <c r="S25" s="223" t="str">
        <f t="shared" si="6"/>
        <v>--</v>
      </c>
      <c r="T25" s="772">
        <f t="shared" si="7"/>
        <v>341.66874</v>
      </c>
      <c r="U25" s="773" t="str">
        <f t="shared" si="8"/>
        <v>--</v>
      </c>
      <c r="V25" s="224" t="str">
        <f t="shared" si="9"/>
        <v>--</v>
      </c>
      <c r="W25" s="225" t="str">
        <f t="shared" si="10"/>
        <v>--</v>
      </c>
      <c r="X25" s="226" t="str">
        <f t="shared" si="11"/>
        <v>--</v>
      </c>
      <c r="Y25" s="774" t="str">
        <f t="shared" si="12"/>
        <v>--</v>
      </c>
      <c r="Z25" s="775" t="str">
        <f t="shared" si="13"/>
        <v>--</v>
      </c>
      <c r="AA25" s="776" t="str">
        <f t="shared" si="14"/>
        <v>--</v>
      </c>
      <c r="AB25" s="227" t="str">
        <f t="shared" si="15"/>
        <v>--</v>
      </c>
      <c r="AC25" s="228" t="str">
        <f t="shared" si="16"/>
        <v>--</v>
      </c>
      <c r="AD25" s="893" t="s">
        <v>148</v>
      </c>
      <c r="AE25" s="16">
        <f t="shared" si="17"/>
        <v>341.66874</v>
      </c>
      <c r="AF25" s="777"/>
    </row>
    <row r="26" spans="2:32" s="90" customFormat="1" ht="16.5" customHeight="1">
      <c r="B26" s="95"/>
      <c r="C26" s="152">
        <v>25</v>
      </c>
      <c r="D26" s="152">
        <v>217771</v>
      </c>
      <c r="E26" s="152">
        <v>19</v>
      </c>
      <c r="F26" s="152" t="s">
        <v>188</v>
      </c>
      <c r="G26" s="183">
        <v>220</v>
      </c>
      <c r="H26" s="820">
        <v>6</v>
      </c>
      <c r="I26" s="183" t="s">
        <v>185</v>
      </c>
      <c r="J26" s="1040">
        <f t="shared" si="0"/>
        <v>20</v>
      </c>
      <c r="K26" s="1041">
        <f t="shared" si="1"/>
        <v>127.90799999999999</v>
      </c>
      <c r="L26" s="770">
        <v>40204.347916666666</v>
      </c>
      <c r="M26" s="771">
        <v>40204.49444444444</v>
      </c>
      <c r="N26" s="516">
        <f t="shared" si="2"/>
        <v>3.5166666666045785</v>
      </c>
      <c r="O26" s="382">
        <f t="shared" si="3"/>
        <v>211</v>
      </c>
      <c r="P26" s="1043" t="s">
        <v>191</v>
      </c>
      <c r="Q26" s="1044" t="str">
        <f t="shared" si="4"/>
        <v>--</v>
      </c>
      <c r="R26" s="13" t="str">
        <f t="shared" si="5"/>
        <v>NO</v>
      </c>
      <c r="S26" s="13" t="str">
        <f t="shared" si="6"/>
        <v>--</v>
      </c>
      <c r="T26" s="1045">
        <f t="shared" si="7"/>
        <v>90.04723200000001</v>
      </c>
      <c r="U26" s="1046" t="str">
        <f t="shared" si="8"/>
        <v>--</v>
      </c>
      <c r="V26" s="1047" t="str">
        <f t="shared" si="9"/>
        <v>--</v>
      </c>
      <c r="W26" s="1048" t="str">
        <f t="shared" si="10"/>
        <v>--</v>
      </c>
      <c r="X26" s="1049" t="str">
        <f t="shared" si="11"/>
        <v>--</v>
      </c>
      <c r="Y26" s="1050" t="str">
        <f t="shared" si="12"/>
        <v>--</v>
      </c>
      <c r="Z26" s="1051" t="str">
        <f t="shared" si="13"/>
        <v>--</v>
      </c>
      <c r="AA26" s="1052" t="str">
        <f t="shared" si="14"/>
        <v>--</v>
      </c>
      <c r="AB26" s="1053" t="str">
        <f t="shared" si="15"/>
        <v>--</v>
      </c>
      <c r="AC26" s="1054" t="str">
        <f t="shared" si="16"/>
        <v>--</v>
      </c>
      <c r="AD26" s="294" t="s">
        <v>148</v>
      </c>
      <c r="AE26" s="16">
        <v>0</v>
      </c>
      <c r="AF26" s="777"/>
    </row>
    <row r="27" spans="2:32" s="5" customFormat="1" ht="16.5" customHeight="1">
      <c r="B27" s="50"/>
      <c r="C27" s="276">
        <v>26</v>
      </c>
      <c r="D27" s="276">
        <v>217777</v>
      </c>
      <c r="E27" s="276">
        <v>47</v>
      </c>
      <c r="F27" s="152" t="s">
        <v>194</v>
      </c>
      <c r="G27" s="183">
        <v>500</v>
      </c>
      <c r="H27" s="820">
        <v>289</v>
      </c>
      <c r="I27" s="183" t="s">
        <v>185</v>
      </c>
      <c r="J27" s="768">
        <f t="shared" si="0"/>
        <v>20</v>
      </c>
      <c r="K27" s="769">
        <f t="shared" si="1"/>
        <v>443.5861</v>
      </c>
      <c r="L27" s="770">
        <v>40209.08194444444</v>
      </c>
      <c r="M27" s="771">
        <v>40209.10277777778</v>
      </c>
      <c r="N27" s="186">
        <f t="shared" si="2"/>
        <v>0.5000000000582077</v>
      </c>
      <c r="O27" s="187">
        <f t="shared" si="3"/>
        <v>30</v>
      </c>
      <c r="P27" s="222" t="s">
        <v>191</v>
      </c>
      <c r="Q27" s="890" t="str">
        <f t="shared" si="4"/>
        <v>--</v>
      </c>
      <c r="R27" s="223" t="str">
        <f t="shared" si="5"/>
        <v>NO</v>
      </c>
      <c r="S27" s="223" t="str">
        <f t="shared" si="6"/>
        <v>--</v>
      </c>
      <c r="T27" s="772">
        <f t="shared" si="7"/>
        <v>44.35861</v>
      </c>
      <c r="U27" s="773" t="str">
        <f t="shared" si="8"/>
        <v>--</v>
      </c>
      <c r="V27" s="224" t="str">
        <f t="shared" si="9"/>
        <v>--</v>
      </c>
      <c r="W27" s="225" t="str">
        <f t="shared" si="10"/>
        <v>--</v>
      </c>
      <c r="X27" s="226" t="str">
        <f t="shared" si="11"/>
        <v>--</v>
      </c>
      <c r="Y27" s="774" t="str">
        <f t="shared" si="12"/>
        <v>--</v>
      </c>
      <c r="Z27" s="775" t="str">
        <f t="shared" si="13"/>
        <v>--</v>
      </c>
      <c r="AA27" s="776" t="str">
        <f t="shared" si="14"/>
        <v>--</v>
      </c>
      <c r="AB27" s="227" t="str">
        <f t="shared" si="15"/>
        <v>--</v>
      </c>
      <c r="AC27" s="228" t="str">
        <f t="shared" si="16"/>
        <v>--</v>
      </c>
      <c r="AD27" s="893" t="s">
        <v>148</v>
      </c>
      <c r="AE27" s="16">
        <f t="shared" si="17"/>
        <v>44.35861</v>
      </c>
      <c r="AF27" s="777"/>
    </row>
    <row r="28" spans="2:32" s="5" customFormat="1" ht="16.5" customHeight="1">
      <c r="B28" s="50"/>
      <c r="C28" s="152"/>
      <c r="D28" s="152">
        <v>0</v>
      </c>
      <c r="E28" s="152"/>
      <c r="F28" s="146"/>
      <c r="G28" s="147"/>
      <c r="H28" s="822"/>
      <c r="I28" s="147"/>
      <c r="J28" s="768">
        <f t="shared" si="0"/>
        <v>20</v>
      </c>
      <c r="K28" s="769">
        <f t="shared" si="1"/>
        <v>127.90799999999999</v>
      </c>
      <c r="L28" s="184"/>
      <c r="M28" s="221"/>
      <c r="N28" s="186">
        <f t="shared" si="2"/>
      </c>
      <c r="O28" s="187">
        <f t="shared" si="3"/>
      </c>
      <c r="P28" s="222"/>
      <c r="Q28" s="890">
        <f t="shared" si="4"/>
      </c>
      <c r="R28" s="223">
        <f t="shared" si="5"/>
      </c>
      <c r="S28" s="223">
        <f t="shared" si="6"/>
      </c>
      <c r="T28" s="772" t="str">
        <f t="shared" si="7"/>
        <v>--</v>
      </c>
      <c r="U28" s="773" t="str">
        <f t="shared" si="8"/>
        <v>--</v>
      </c>
      <c r="V28" s="224" t="str">
        <f t="shared" si="9"/>
        <v>--</v>
      </c>
      <c r="W28" s="225" t="str">
        <f t="shared" si="10"/>
        <v>--</v>
      </c>
      <c r="X28" s="226" t="str">
        <f t="shared" si="11"/>
        <v>--</v>
      </c>
      <c r="Y28" s="774" t="str">
        <f t="shared" si="12"/>
        <v>--</v>
      </c>
      <c r="Z28" s="775" t="str">
        <f t="shared" si="13"/>
        <v>--</v>
      </c>
      <c r="AA28" s="776" t="str">
        <f t="shared" si="14"/>
        <v>--</v>
      </c>
      <c r="AB28" s="227" t="str">
        <f t="shared" si="15"/>
        <v>--</v>
      </c>
      <c r="AC28" s="228" t="str">
        <f t="shared" si="16"/>
        <v>--</v>
      </c>
      <c r="AD28" s="891">
        <f aca="true" t="shared" si="18" ref="AD28:AD41">IF(F28="","","SI")</f>
      </c>
      <c r="AE28" s="16">
        <f t="shared" si="17"/>
      </c>
      <c r="AF28" s="777"/>
    </row>
    <row r="29" spans="2:32" s="5" customFormat="1" ht="16.5" customHeight="1">
      <c r="B29" s="50"/>
      <c r="C29" s="276"/>
      <c r="D29" s="276"/>
      <c r="E29" s="276"/>
      <c r="F29" s="146"/>
      <c r="G29" s="147"/>
      <c r="H29" s="822"/>
      <c r="I29" s="147"/>
      <c r="J29" s="768">
        <f t="shared" si="0"/>
        <v>20</v>
      </c>
      <c r="K29" s="769">
        <f t="shared" si="1"/>
        <v>127.90799999999999</v>
      </c>
      <c r="L29" s="184"/>
      <c r="M29" s="221"/>
      <c r="N29" s="186">
        <f t="shared" si="2"/>
      </c>
      <c r="O29" s="187">
        <f t="shared" si="3"/>
      </c>
      <c r="P29" s="222"/>
      <c r="Q29" s="890">
        <f t="shared" si="4"/>
      </c>
      <c r="R29" s="223">
        <f t="shared" si="5"/>
      </c>
      <c r="S29" s="223">
        <f t="shared" si="6"/>
      </c>
      <c r="T29" s="772" t="str">
        <f t="shared" si="7"/>
        <v>--</v>
      </c>
      <c r="U29" s="773" t="str">
        <f t="shared" si="8"/>
        <v>--</v>
      </c>
      <c r="V29" s="224" t="str">
        <f t="shared" si="9"/>
        <v>--</v>
      </c>
      <c r="W29" s="225" t="str">
        <f t="shared" si="10"/>
        <v>--</v>
      </c>
      <c r="X29" s="226" t="str">
        <f t="shared" si="11"/>
        <v>--</v>
      </c>
      <c r="Y29" s="774" t="str">
        <f t="shared" si="12"/>
        <v>--</v>
      </c>
      <c r="Z29" s="775" t="str">
        <f t="shared" si="13"/>
        <v>--</v>
      </c>
      <c r="AA29" s="776" t="str">
        <f t="shared" si="14"/>
        <v>--</v>
      </c>
      <c r="AB29" s="227" t="str">
        <f t="shared" si="15"/>
        <v>--</v>
      </c>
      <c r="AC29" s="228" t="str">
        <f t="shared" si="16"/>
        <v>--</v>
      </c>
      <c r="AD29" s="891">
        <f t="shared" si="18"/>
      </c>
      <c r="AE29" s="16">
        <f t="shared" si="17"/>
      </c>
      <c r="AF29" s="777"/>
    </row>
    <row r="30" spans="2:32" s="5" customFormat="1" ht="16.5" customHeight="1">
      <c r="B30" s="50"/>
      <c r="C30" s="152"/>
      <c r="D30" s="152"/>
      <c r="E30" s="152"/>
      <c r="F30" s="146"/>
      <c r="G30" s="147"/>
      <c r="H30" s="822"/>
      <c r="I30" s="147"/>
      <c r="J30" s="768">
        <f t="shared" si="0"/>
        <v>20</v>
      </c>
      <c r="K30" s="769">
        <f t="shared" si="1"/>
        <v>127.90799999999999</v>
      </c>
      <c r="L30" s="184"/>
      <c r="M30" s="221"/>
      <c r="N30" s="186">
        <f t="shared" si="2"/>
      </c>
      <c r="O30" s="187">
        <f t="shared" si="3"/>
      </c>
      <c r="P30" s="222"/>
      <c r="Q30" s="890">
        <f t="shared" si="4"/>
      </c>
      <c r="R30" s="223">
        <f t="shared" si="5"/>
      </c>
      <c r="S30" s="223">
        <f t="shared" si="6"/>
      </c>
      <c r="T30" s="772" t="str">
        <f t="shared" si="7"/>
        <v>--</v>
      </c>
      <c r="U30" s="773" t="str">
        <f t="shared" si="8"/>
        <v>--</v>
      </c>
      <c r="V30" s="224" t="str">
        <f t="shared" si="9"/>
        <v>--</v>
      </c>
      <c r="W30" s="225" t="str">
        <f t="shared" si="10"/>
        <v>--</v>
      </c>
      <c r="X30" s="226" t="str">
        <f t="shared" si="11"/>
        <v>--</v>
      </c>
      <c r="Y30" s="774" t="str">
        <f t="shared" si="12"/>
        <v>--</v>
      </c>
      <c r="Z30" s="775" t="str">
        <f t="shared" si="13"/>
        <v>--</v>
      </c>
      <c r="AA30" s="776" t="str">
        <f t="shared" si="14"/>
        <v>--</v>
      </c>
      <c r="AB30" s="227" t="str">
        <f t="shared" si="15"/>
        <v>--</v>
      </c>
      <c r="AC30" s="228" t="str">
        <f t="shared" si="16"/>
        <v>--</v>
      </c>
      <c r="AD30" s="891">
        <f t="shared" si="18"/>
      </c>
      <c r="AE30" s="16">
        <f t="shared" si="17"/>
      </c>
      <c r="AF30" s="777"/>
    </row>
    <row r="31" spans="2:32" s="5" customFormat="1" ht="16.5" customHeight="1">
      <c r="B31" s="50"/>
      <c r="C31" s="276"/>
      <c r="D31" s="276"/>
      <c r="E31" s="276"/>
      <c r="F31" s="146"/>
      <c r="G31" s="147"/>
      <c r="H31" s="822"/>
      <c r="I31" s="147"/>
      <c r="J31" s="768">
        <f t="shared" si="0"/>
        <v>20</v>
      </c>
      <c r="K31" s="769">
        <f t="shared" si="1"/>
        <v>127.90799999999999</v>
      </c>
      <c r="L31" s="184"/>
      <c r="M31" s="221"/>
      <c r="N31" s="186">
        <f t="shared" si="2"/>
      </c>
      <c r="O31" s="187">
        <f t="shared" si="3"/>
      </c>
      <c r="P31" s="222"/>
      <c r="Q31" s="890">
        <f t="shared" si="4"/>
      </c>
      <c r="R31" s="223">
        <f t="shared" si="5"/>
      </c>
      <c r="S31" s="223">
        <f t="shared" si="6"/>
      </c>
      <c r="T31" s="772" t="str">
        <f t="shared" si="7"/>
        <v>--</v>
      </c>
      <c r="U31" s="773" t="str">
        <f t="shared" si="8"/>
        <v>--</v>
      </c>
      <c r="V31" s="224" t="str">
        <f t="shared" si="9"/>
        <v>--</v>
      </c>
      <c r="W31" s="225" t="str">
        <f t="shared" si="10"/>
        <v>--</v>
      </c>
      <c r="X31" s="226" t="str">
        <f t="shared" si="11"/>
        <v>--</v>
      </c>
      <c r="Y31" s="774" t="str">
        <f t="shared" si="12"/>
        <v>--</v>
      </c>
      <c r="Z31" s="775" t="str">
        <f t="shared" si="13"/>
        <v>--</v>
      </c>
      <c r="AA31" s="776" t="str">
        <f t="shared" si="14"/>
        <v>--</v>
      </c>
      <c r="AB31" s="227" t="str">
        <f t="shared" si="15"/>
        <v>--</v>
      </c>
      <c r="AC31" s="228" t="str">
        <f t="shared" si="16"/>
        <v>--</v>
      </c>
      <c r="AD31" s="891">
        <f t="shared" si="18"/>
      </c>
      <c r="AE31" s="16">
        <f t="shared" si="17"/>
      </c>
      <c r="AF31" s="777"/>
    </row>
    <row r="32" spans="2:32" s="5" customFormat="1" ht="16.5" customHeight="1">
      <c r="B32" s="50"/>
      <c r="C32" s="152"/>
      <c r="D32" s="152"/>
      <c r="E32" s="152"/>
      <c r="F32" s="146"/>
      <c r="G32" s="147"/>
      <c r="H32" s="822"/>
      <c r="I32" s="147"/>
      <c r="J32" s="768">
        <f t="shared" si="0"/>
        <v>20</v>
      </c>
      <c r="K32" s="769">
        <f t="shared" si="1"/>
        <v>127.90799999999999</v>
      </c>
      <c r="L32" s="184"/>
      <c r="M32" s="221"/>
      <c r="N32" s="186">
        <f t="shared" si="2"/>
      </c>
      <c r="O32" s="187">
        <f t="shared" si="3"/>
      </c>
      <c r="P32" s="222"/>
      <c r="Q32" s="890">
        <f t="shared" si="4"/>
      </c>
      <c r="R32" s="223">
        <f t="shared" si="5"/>
      </c>
      <c r="S32" s="223">
        <f t="shared" si="6"/>
      </c>
      <c r="T32" s="772" t="str">
        <f t="shared" si="7"/>
        <v>--</v>
      </c>
      <c r="U32" s="773" t="str">
        <f t="shared" si="8"/>
        <v>--</v>
      </c>
      <c r="V32" s="224" t="str">
        <f t="shared" si="9"/>
        <v>--</v>
      </c>
      <c r="W32" s="225" t="str">
        <f t="shared" si="10"/>
        <v>--</v>
      </c>
      <c r="X32" s="226" t="str">
        <f t="shared" si="11"/>
        <v>--</v>
      </c>
      <c r="Y32" s="774" t="str">
        <f t="shared" si="12"/>
        <v>--</v>
      </c>
      <c r="Z32" s="775" t="str">
        <f t="shared" si="13"/>
        <v>--</v>
      </c>
      <c r="AA32" s="776" t="str">
        <f t="shared" si="14"/>
        <v>--</v>
      </c>
      <c r="AB32" s="227" t="str">
        <f t="shared" si="15"/>
        <v>--</v>
      </c>
      <c r="AC32" s="228" t="str">
        <f t="shared" si="16"/>
        <v>--</v>
      </c>
      <c r="AD32" s="891">
        <f t="shared" si="18"/>
      </c>
      <c r="AE32" s="16">
        <f t="shared" si="17"/>
      </c>
      <c r="AF32" s="777"/>
    </row>
    <row r="33" spans="2:32" s="5" customFormat="1" ht="16.5" customHeight="1">
      <c r="B33" s="50"/>
      <c r="C33" s="276"/>
      <c r="D33" s="276"/>
      <c r="E33" s="276"/>
      <c r="F33" s="146"/>
      <c r="G33" s="147"/>
      <c r="H33" s="822"/>
      <c r="I33" s="147"/>
      <c r="J33" s="768">
        <f t="shared" si="0"/>
        <v>20</v>
      </c>
      <c r="K33" s="769">
        <f t="shared" si="1"/>
        <v>127.90799999999999</v>
      </c>
      <c r="L33" s="184"/>
      <c r="M33" s="185"/>
      <c r="N33" s="186">
        <f t="shared" si="2"/>
      </c>
      <c r="O33" s="187">
        <f t="shared" si="3"/>
      </c>
      <c r="P33" s="222"/>
      <c r="Q33" s="890">
        <f t="shared" si="4"/>
      </c>
      <c r="R33" s="223">
        <f t="shared" si="5"/>
      </c>
      <c r="S33" s="223">
        <f t="shared" si="6"/>
      </c>
      <c r="T33" s="772" t="str">
        <f t="shared" si="7"/>
        <v>--</v>
      </c>
      <c r="U33" s="773" t="str">
        <f t="shared" si="8"/>
        <v>--</v>
      </c>
      <c r="V33" s="224" t="str">
        <f t="shared" si="9"/>
        <v>--</v>
      </c>
      <c r="W33" s="225" t="str">
        <f t="shared" si="10"/>
        <v>--</v>
      </c>
      <c r="X33" s="226" t="str">
        <f t="shared" si="11"/>
        <v>--</v>
      </c>
      <c r="Y33" s="774" t="str">
        <f t="shared" si="12"/>
        <v>--</v>
      </c>
      <c r="Z33" s="775" t="str">
        <f t="shared" si="13"/>
        <v>--</v>
      </c>
      <c r="AA33" s="776" t="str">
        <f t="shared" si="14"/>
        <v>--</v>
      </c>
      <c r="AB33" s="227" t="str">
        <f t="shared" si="15"/>
        <v>--</v>
      </c>
      <c r="AC33" s="228" t="str">
        <f t="shared" si="16"/>
        <v>--</v>
      </c>
      <c r="AD33" s="891">
        <f t="shared" si="18"/>
      </c>
      <c r="AE33" s="16">
        <f t="shared" si="17"/>
      </c>
      <c r="AF33" s="777"/>
    </row>
    <row r="34" spans="2:32" s="5" customFormat="1" ht="16.5" customHeight="1">
      <c r="B34" s="50"/>
      <c r="C34" s="152"/>
      <c r="D34" s="152"/>
      <c r="E34" s="152"/>
      <c r="F34" s="146"/>
      <c r="G34" s="147"/>
      <c r="H34" s="822"/>
      <c r="I34" s="147"/>
      <c r="J34" s="768">
        <f t="shared" si="0"/>
        <v>20</v>
      </c>
      <c r="K34" s="769">
        <f t="shared" si="1"/>
        <v>127.90799999999999</v>
      </c>
      <c r="L34" s="184"/>
      <c r="M34" s="185"/>
      <c r="N34" s="186">
        <f t="shared" si="2"/>
      </c>
      <c r="O34" s="187">
        <f t="shared" si="3"/>
      </c>
      <c r="P34" s="222"/>
      <c r="Q34" s="890">
        <f t="shared" si="4"/>
      </c>
      <c r="R34" s="223">
        <f t="shared" si="5"/>
      </c>
      <c r="S34" s="223">
        <f t="shared" si="6"/>
      </c>
      <c r="T34" s="772" t="str">
        <f t="shared" si="7"/>
        <v>--</v>
      </c>
      <c r="U34" s="773" t="str">
        <f t="shared" si="8"/>
        <v>--</v>
      </c>
      <c r="V34" s="224" t="str">
        <f t="shared" si="9"/>
        <v>--</v>
      </c>
      <c r="W34" s="225" t="str">
        <f t="shared" si="10"/>
        <v>--</v>
      </c>
      <c r="X34" s="226" t="str">
        <f t="shared" si="11"/>
        <v>--</v>
      </c>
      <c r="Y34" s="774" t="str">
        <f t="shared" si="12"/>
        <v>--</v>
      </c>
      <c r="Z34" s="775" t="str">
        <f t="shared" si="13"/>
        <v>--</v>
      </c>
      <c r="AA34" s="776" t="str">
        <f t="shared" si="14"/>
        <v>--</v>
      </c>
      <c r="AB34" s="227" t="str">
        <f t="shared" si="15"/>
        <v>--</v>
      </c>
      <c r="AC34" s="228" t="str">
        <f t="shared" si="16"/>
        <v>--</v>
      </c>
      <c r="AD34" s="891">
        <f t="shared" si="18"/>
      </c>
      <c r="AE34" s="16">
        <f t="shared" si="17"/>
      </c>
      <c r="AF34" s="777"/>
    </row>
    <row r="35" spans="2:32" s="5" customFormat="1" ht="16.5" customHeight="1">
      <c r="B35" s="50"/>
      <c r="C35" s="276"/>
      <c r="D35" s="276"/>
      <c r="E35" s="276"/>
      <c r="F35" s="146"/>
      <c r="G35" s="147"/>
      <c r="H35" s="822"/>
      <c r="I35" s="147"/>
      <c r="J35" s="768">
        <f t="shared" si="0"/>
        <v>20</v>
      </c>
      <c r="K35" s="769">
        <f t="shared" si="1"/>
        <v>127.90799999999999</v>
      </c>
      <c r="L35" s="184"/>
      <c r="M35" s="185"/>
      <c r="N35" s="186">
        <f t="shared" si="2"/>
      </c>
      <c r="O35" s="187">
        <f t="shared" si="3"/>
      </c>
      <c r="P35" s="222"/>
      <c r="Q35" s="890">
        <f t="shared" si="4"/>
      </c>
      <c r="R35" s="223">
        <f t="shared" si="5"/>
      </c>
      <c r="S35" s="223">
        <f t="shared" si="6"/>
      </c>
      <c r="T35" s="772" t="str">
        <f t="shared" si="7"/>
        <v>--</v>
      </c>
      <c r="U35" s="773" t="str">
        <f t="shared" si="8"/>
        <v>--</v>
      </c>
      <c r="V35" s="224" t="str">
        <f t="shared" si="9"/>
        <v>--</v>
      </c>
      <c r="W35" s="225" t="str">
        <f t="shared" si="10"/>
        <v>--</v>
      </c>
      <c r="X35" s="226" t="str">
        <f t="shared" si="11"/>
        <v>--</v>
      </c>
      <c r="Y35" s="774" t="str">
        <f t="shared" si="12"/>
        <v>--</v>
      </c>
      <c r="Z35" s="775" t="str">
        <f t="shared" si="13"/>
        <v>--</v>
      </c>
      <c r="AA35" s="776" t="str">
        <f t="shared" si="14"/>
        <v>--</v>
      </c>
      <c r="AB35" s="227" t="str">
        <f t="shared" si="15"/>
        <v>--</v>
      </c>
      <c r="AC35" s="228" t="str">
        <f t="shared" si="16"/>
        <v>--</v>
      </c>
      <c r="AD35" s="891">
        <f t="shared" si="18"/>
      </c>
      <c r="AE35" s="16">
        <f t="shared" si="17"/>
      </c>
      <c r="AF35" s="777"/>
    </row>
    <row r="36" spans="2:32" s="5" customFormat="1" ht="16.5" customHeight="1">
      <c r="B36" s="50"/>
      <c r="C36" s="152"/>
      <c r="D36" s="152"/>
      <c r="E36" s="152"/>
      <c r="F36" s="146"/>
      <c r="G36" s="147"/>
      <c r="H36" s="822"/>
      <c r="I36" s="147"/>
      <c r="J36" s="768">
        <f t="shared" si="0"/>
        <v>20</v>
      </c>
      <c r="K36" s="769">
        <f t="shared" si="1"/>
        <v>127.90799999999999</v>
      </c>
      <c r="L36" s="184"/>
      <c r="M36" s="185"/>
      <c r="N36" s="186">
        <f t="shared" si="2"/>
      </c>
      <c r="O36" s="187">
        <f t="shared" si="3"/>
      </c>
      <c r="P36" s="222"/>
      <c r="Q36" s="890">
        <f t="shared" si="4"/>
      </c>
      <c r="R36" s="223">
        <f t="shared" si="5"/>
      </c>
      <c r="S36" s="223">
        <f t="shared" si="6"/>
      </c>
      <c r="T36" s="772" t="str">
        <f t="shared" si="7"/>
        <v>--</v>
      </c>
      <c r="U36" s="773" t="str">
        <f t="shared" si="8"/>
        <v>--</v>
      </c>
      <c r="V36" s="224" t="str">
        <f t="shared" si="9"/>
        <v>--</v>
      </c>
      <c r="W36" s="225" t="str">
        <f t="shared" si="10"/>
        <v>--</v>
      </c>
      <c r="X36" s="226" t="str">
        <f t="shared" si="11"/>
        <v>--</v>
      </c>
      <c r="Y36" s="774" t="str">
        <f t="shared" si="12"/>
        <v>--</v>
      </c>
      <c r="Z36" s="775" t="str">
        <f t="shared" si="13"/>
        <v>--</v>
      </c>
      <c r="AA36" s="776" t="str">
        <f t="shared" si="14"/>
        <v>--</v>
      </c>
      <c r="AB36" s="227" t="str">
        <f t="shared" si="15"/>
        <v>--</v>
      </c>
      <c r="AC36" s="228" t="str">
        <f t="shared" si="16"/>
        <v>--</v>
      </c>
      <c r="AD36" s="891">
        <f t="shared" si="18"/>
      </c>
      <c r="AE36" s="16">
        <f t="shared" si="17"/>
      </c>
      <c r="AF36" s="777"/>
    </row>
    <row r="37" spans="2:32" s="5" customFormat="1" ht="16.5" customHeight="1">
      <c r="B37" s="50"/>
      <c r="C37" s="276"/>
      <c r="D37" s="276"/>
      <c r="E37" s="276"/>
      <c r="F37" s="146"/>
      <c r="G37" s="147"/>
      <c r="H37" s="822"/>
      <c r="I37" s="147"/>
      <c r="J37" s="768">
        <f t="shared" si="0"/>
        <v>20</v>
      </c>
      <c r="K37" s="769">
        <f t="shared" si="1"/>
        <v>127.90799999999999</v>
      </c>
      <c r="L37" s="184"/>
      <c r="M37" s="185"/>
      <c r="N37" s="186">
        <f t="shared" si="2"/>
      </c>
      <c r="O37" s="187">
        <f t="shared" si="3"/>
      </c>
      <c r="P37" s="222"/>
      <c r="Q37" s="890">
        <f t="shared" si="4"/>
      </c>
      <c r="R37" s="223">
        <f t="shared" si="5"/>
      </c>
      <c r="S37" s="223">
        <f t="shared" si="6"/>
      </c>
      <c r="T37" s="772" t="str">
        <f t="shared" si="7"/>
        <v>--</v>
      </c>
      <c r="U37" s="773" t="str">
        <f t="shared" si="8"/>
        <v>--</v>
      </c>
      <c r="V37" s="224" t="str">
        <f t="shared" si="9"/>
        <v>--</v>
      </c>
      <c r="W37" s="225" t="str">
        <f t="shared" si="10"/>
        <v>--</v>
      </c>
      <c r="X37" s="226" t="str">
        <f t="shared" si="11"/>
        <v>--</v>
      </c>
      <c r="Y37" s="774" t="str">
        <f t="shared" si="12"/>
        <v>--</v>
      </c>
      <c r="Z37" s="775" t="str">
        <f t="shared" si="13"/>
        <v>--</v>
      </c>
      <c r="AA37" s="776" t="str">
        <f t="shared" si="14"/>
        <v>--</v>
      </c>
      <c r="AB37" s="227" t="str">
        <f t="shared" si="15"/>
        <v>--</v>
      </c>
      <c r="AC37" s="228" t="str">
        <f t="shared" si="16"/>
        <v>--</v>
      </c>
      <c r="AD37" s="891">
        <f t="shared" si="18"/>
      </c>
      <c r="AE37" s="16">
        <f t="shared" si="17"/>
      </c>
      <c r="AF37" s="777"/>
    </row>
    <row r="38" spans="2:32" s="5" customFormat="1" ht="16.5" customHeight="1">
      <c r="B38" s="50"/>
      <c r="C38" s="152"/>
      <c r="D38" s="152"/>
      <c r="E38" s="152"/>
      <c r="F38" s="146"/>
      <c r="G38" s="147"/>
      <c r="H38" s="822"/>
      <c r="I38" s="147"/>
      <c r="J38" s="768">
        <f t="shared" si="0"/>
        <v>20</v>
      </c>
      <c r="K38" s="769">
        <f t="shared" si="1"/>
        <v>127.90799999999999</v>
      </c>
      <c r="L38" s="184"/>
      <c r="M38" s="185"/>
      <c r="N38" s="186">
        <f t="shared" si="2"/>
      </c>
      <c r="O38" s="187">
        <f t="shared" si="3"/>
      </c>
      <c r="P38" s="222"/>
      <c r="Q38" s="890">
        <f t="shared" si="4"/>
      </c>
      <c r="R38" s="223">
        <f t="shared" si="5"/>
      </c>
      <c r="S38" s="223">
        <f t="shared" si="6"/>
      </c>
      <c r="T38" s="772" t="str">
        <f t="shared" si="7"/>
        <v>--</v>
      </c>
      <c r="U38" s="773" t="str">
        <f t="shared" si="8"/>
        <v>--</v>
      </c>
      <c r="V38" s="224" t="str">
        <f t="shared" si="9"/>
        <v>--</v>
      </c>
      <c r="W38" s="225" t="str">
        <f t="shared" si="10"/>
        <v>--</v>
      </c>
      <c r="X38" s="226" t="str">
        <f t="shared" si="11"/>
        <v>--</v>
      </c>
      <c r="Y38" s="774" t="str">
        <f t="shared" si="12"/>
        <v>--</v>
      </c>
      <c r="Z38" s="775" t="str">
        <f t="shared" si="13"/>
        <v>--</v>
      </c>
      <c r="AA38" s="776" t="str">
        <f t="shared" si="14"/>
        <v>--</v>
      </c>
      <c r="AB38" s="227" t="str">
        <f t="shared" si="15"/>
        <v>--</v>
      </c>
      <c r="AC38" s="228" t="str">
        <f t="shared" si="16"/>
        <v>--</v>
      </c>
      <c r="AD38" s="891">
        <f t="shared" si="18"/>
      </c>
      <c r="AE38" s="16">
        <f t="shared" si="17"/>
      </c>
      <c r="AF38" s="777"/>
    </row>
    <row r="39" spans="2:32" s="5" customFormat="1" ht="16.5" customHeight="1">
      <c r="B39" s="50"/>
      <c r="C39" s="276"/>
      <c r="D39" s="276"/>
      <c r="E39" s="276"/>
      <c r="F39" s="146"/>
      <c r="G39" s="147"/>
      <c r="H39" s="822"/>
      <c r="I39" s="147"/>
      <c r="J39" s="768">
        <f t="shared" si="0"/>
        <v>20</v>
      </c>
      <c r="K39" s="769">
        <f t="shared" si="1"/>
        <v>127.90799999999999</v>
      </c>
      <c r="L39" s="184"/>
      <c r="M39" s="185"/>
      <c r="N39" s="186">
        <f t="shared" si="2"/>
      </c>
      <c r="O39" s="187">
        <f t="shared" si="3"/>
      </c>
      <c r="P39" s="222"/>
      <c r="Q39" s="890">
        <f t="shared" si="4"/>
      </c>
      <c r="R39" s="223">
        <f t="shared" si="5"/>
      </c>
      <c r="S39" s="223">
        <f t="shared" si="6"/>
      </c>
      <c r="T39" s="772" t="str">
        <f t="shared" si="7"/>
        <v>--</v>
      </c>
      <c r="U39" s="773" t="str">
        <f t="shared" si="8"/>
        <v>--</v>
      </c>
      <c r="V39" s="224" t="str">
        <f t="shared" si="9"/>
        <v>--</v>
      </c>
      <c r="W39" s="225" t="str">
        <f t="shared" si="10"/>
        <v>--</v>
      </c>
      <c r="X39" s="226" t="str">
        <f t="shared" si="11"/>
        <v>--</v>
      </c>
      <c r="Y39" s="774" t="str">
        <f t="shared" si="12"/>
        <v>--</v>
      </c>
      <c r="Z39" s="775" t="str">
        <f t="shared" si="13"/>
        <v>--</v>
      </c>
      <c r="AA39" s="776" t="str">
        <f t="shared" si="14"/>
        <v>--</v>
      </c>
      <c r="AB39" s="227" t="str">
        <f t="shared" si="15"/>
        <v>--</v>
      </c>
      <c r="AC39" s="228" t="str">
        <f t="shared" si="16"/>
        <v>--</v>
      </c>
      <c r="AD39" s="891">
        <f t="shared" si="18"/>
      </c>
      <c r="AE39" s="16">
        <f t="shared" si="17"/>
      </c>
      <c r="AF39" s="777"/>
    </row>
    <row r="40" spans="2:32" s="5" customFormat="1" ht="16.5" customHeight="1">
      <c r="B40" s="50"/>
      <c r="C40" s="152"/>
      <c r="D40" s="152"/>
      <c r="E40" s="152"/>
      <c r="F40" s="146"/>
      <c r="G40" s="147"/>
      <c r="H40" s="822"/>
      <c r="I40" s="147"/>
      <c r="J40" s="768">
        <f t="shared" si="0"/>
        <v>20</v>
      </c>
      <c r="K40" s="769">
        <f t="shared" si="1"/>
        <v>127.90799999999999</v>
      </c>
      <c r="L40" s="184"/>
      <c r="M40" s="185"/>
      <c r="N40" s="186">
        <f t="shared" si="2"/>
      </c>
      <c r="O40" s="187">
        <f t="shared" si="3"/>
      </c>
      <c r="P40" s="222"/>
      <c r="Q40" s="890">
        <f t="shared" si="4"/>
      </c>
      <c r="R40" s="223">
        <f t="shared" si="5"/>
      </c>
      <c r="S40" s="223">
        <f t="shared" si="6"/>
      </c>
      <c r="T40" s="772" t="str">
        <f t="shared" si="7"/>
        <v>--</v>
      </c>
      <c r="U40" s="773" t="str">
        <f t="shared" si="8"/>
        <v>--</v>
      </c>
      <c r="V40" s="224" t="str">
        <f t="shared" si="9"/>
        <v>--</v>
      </c>
      <c r="W40" s="225" t="str">
        <f t="shared" si="10"/>
        <v>--</v>
      </c>
      <c r="X40" s="226" t="str">
        <f t="shared" si="11"/>
        <v>--</v>
      </c>
      <c r="Y40" s="774" t="str">
        <f t="shared" si="12"/>
        <v>--</v>
      </c>
      <c r="Z40" s="775" t="str">
        <f t="shared" si="13"/>
        <v>--</v>
      </c>
      <c r="AA40" s="776" t="str">
        <f t="shared" si="14"/>
        <v>--</v>
      </c>
      <c r="AB40" s="227" t="str">
        <f t="shared" si="15"/>
        <v>--</v>
      </c>
      <c r="AC40" s="228" t="str">
        <f t="shared" si="16"/>
        <v>--</v>
      </c>
      <c r="AD40" s="891">
        <f t="shared" si="18"/>
      </c>
      <c r="AE40" s="16">
        <f t="shared" si="17"/>
      </c>
      <c r="AF40" s="777"/>
    </row>
    <row r="41" spans="2:32" s="5" customFormat="1" ht="16.5" customHeight="1">
      <c r="B41" s="50"/>
      <c r="C41" s="276"/>
      <c r="D41" s="276"/>
      <c r="E41" s="276"/>
      <c r="F41" s="146"/>
      <c r="G41" s="147"/>
      <c r="H41" s="822"/>
      <c r="I41" s="147"/>
      <c r="J41" s="768">
        <f t="shared" si="0"/>
        <v>20</v>
      </c>
      <c r="K41" s="769">
        <f t="shared" si="1"/>
        <v>127.90799999999999</v>
      </c>
      <c r="L41" s="184"/>
      <c r="M41" s="185"/>
      <c r="N41" s="186">
        <f t="shared" si="2"/>
      </c>
      <c r="O41" s="187">
        <f t="shared" si="3"/>
      </c>
      <c r="P41" s="222"/>
      <c r="Q41" s="890">
        <f t="shared" si="4"/>
      </c>
      <c r="R41" s="223">
        <f t="shared" si="5"/>
      </c>
      <c r="S41" s="223">
        <f t="shared" si="6"/>
      </c>
      <c r="T41" s="772" t="str">
        <f t="shared" si="7"/>
        <v>--</v>
      </c>
      <c r="U41" s="773" t="str">
        <f t="shared" si="8"/>
        <v>--</v>
      </c>
      <c r="V41" s="224" t="str">
        <f t="shared" si="9"/>
        <v>--</v>
      </c>
      <c r="W41" s="225" t="str">
        <f t="shared" si="10"/>
        <v>--</v>
      </c>
      <c r="X41" s="226" t="str">
        <f t="shared" si="11"/>
        <v>--</v>
      </c>
      <c r="Y41" s="774" t="str">
        <f t="shared" si="12"/>
        <v>--</v>
      </c>
      <c r="Z41" s="775" t="str">
        <f t="shared" si="13"/>
        <v>--</v>
      </c>
      <c r="AA41" s="776" t="str">
        <f t="shared" si="14"/>
        <v>--</v>
      </c>
      <c r="AB41" s="227" t="str">
        <f t="shared" si="15"/>
        <v>--</v>
      </c>
      <c r="AC41" s="228" t="str">
        <f t="shared" si="16"/>
        <v>--</v>
      </c>
      <c r="AD41" s="891">
        <f t="shared" si="18"/>
      </c>
      <c r="AE41" s="16">
        <f t="shared" si="17"/>
      </c>
      <c r="AF41" s="777"/>
    </row>
    <row r="42" spans="2:32" s="5" customFormat="1" ht="16.5" customHeight="1" thickBot="1">
      <c r="B42" s="50"/>
      <c r="C42" s="889"/>
      <c r="D42" s="892"/>
      <c r="E42" s="152"/>
      <c r="F42" s="149"/>
      <c r="G42" s="230"/>
      <c r="H42" s="816"/>
      <c r="I42" s="231"/>
      <c r="J42" s="782"/>
      <c r="K42" s="783"/>
      <c r="L42" s="814"/>
      <c r="M42" s="814"/>
      <c r="N42" s="9"/>
      <c r="O42" s="9"/>
      <c r="P42" s="151"/>
      <c r="Q42" s="190"/>
      <c r="R42" s="151"/>
      <c r="S42" s="151"/>
      <c r="T42" s="784"/>
      <c r="U42" s="785"/>
      <c r="V42" s="232"/>
      <c r="W42" s="233"/>
      <c r="X42" s="234"/>
      <c r="Y42" s="786"/>
      <c r="Z42" s="787"/>
      <c r="AA42" s="788"/>
      <c r="AB42" s="235"/>
      <c r="AC42" s="236"/>
      <c r="AD42" s="789"/>
      <c r="AE42" s="237"/>
      <c r="AF42" s="777"/>
    </row>
    <row r="43" spans="2:32" s="5" customFormat="1" ht="16.5" customHeight="1" thickBot="1" thickTop="1">
      <c r="B43" s="50"/>
      <c r="C43" s="127" t="s">
        <v>25</v>
      </c>
      <c r="D43" s="951" t="s">
        <v>257</v>
      </c>
      <c r="E43" s="127"/>
      <c r="F43" s="128"/>
      <c r="G43" s="238"/>
      <c r="H43" s="203"/>
      <c r="I43" s="239"/>
      <c r="J43" s="203"/>
      <c r="K43" s="192"/>
      <c r="L43" s="192"/>
      <c r="M43" s="192"/>
      <c r="N43" s="192"/>
      <c r="O43" s="192"/>
      <c r="P43" s="192"/>
      <c r="Q43" s="240"/>
      <c r="R43" s="192"/>
      <c r="S43" s="192"/>
      <c r="T43" s="790">
        <f aca="true" t="shared" si="19" ref="T43:AC43">SUM(T20:T42)</f>
        <v>1060.25747</v>
      </c>
      <c r="U43" s="791">
        <f t="shared" si="19"/>
        <v>0</v>
      </c>
      <c r="V43" s="792">
        <f t="shared" si="19"/>
        <v>0</v>
      </c>
      <c r="W43" s="792">
        <f t="shared" si="19"/>
        <v>0</v>
      </c>
      <c r="X43" s="792">
        <f t="shared" si="19"/>
        <v>0</v>
      </c>
      <c r="Y43" s="793">
        <f t="shared" si="19"/>
        <v>0</v>
      </c>
      <c r="Z43" s="793">
        <f t="shared" si="19"/>
        <v>0</v>
      </c>
      <c r="AA43" s="793">
        <f t="shared" si="19"/>
        <v>0</v>
      </c>
      <c r="AB43" s="241">
        <f t="shared" si="19"/>
        <v>0</v>
      </c>
      <c r="AC43" s="242">
        <f t="shared" si="19"/>
        <v>0</v>
      </c>
      <c r="AD43" s="243"/>
      <c r="AE43" s="244">
        <f>ROUND(SUM(AE20:AE42),2)</f>
        <v>123721.69</v>
      </c>
      <c r="AF43" s="777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F43"/>
  <sheetViews>
    <sheetView zoomScale="70" zoomScaleNormal="70" workbookViewId="0" topLeftCell="A1">
      <selection activeCell="L15" sqref="L15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7.42187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4"/>
    </row>
    <row r="2" spans="1:32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9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1" t="s">
        <v>58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831" customFormat="1" ht="33" customHeight="1">
      <c r="B10" s="832"/>
      <c r="C10" s="830"/>
      <c r="D10" s="830"/>
      <c r="E10" s="830"/>
      <c r="F10" s="829" t="s">
        <v>12</v>
      </c>
      <c r="G10" s="830"/>
      <c r="H10" s="830"/>
      <c r="I10" s="830"/>
      <c r="K10" s="830"/>
      <c r="L10" s="830"/>
      <c r="M10" s="830"/>
      <c r="N10" s="830"/>
      <c r="O10" s="830"/>
      <c r="P10" s="830"/>
      <c r="Q10" s="830"/>
      <c r="R10" s="829"/>
      <c r="S10" s="829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3"/>
    </row>
    <row r="11" spans="2:32" s="834" customFormat="1" ht="33" customHeight="1">
      <c r="B11" s="835"/>
      <c r="C11" s="836"/>
      <c r="D11" s="836"/>
      <c r="E11" s="836"/>
      <c r="F11" s="868" t="s">
        <v>276</v>
      </c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8"/>
    </row>
    <row r="12" spans="2:32" s="36" customFormat="1" ht="19.5">
      <c r="B12" s="37" t="str">
        <f>'TOT-0110'!B14</f>
        <v>Desde el 01 al 31 de enero de 2010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98"/>
      <c r="Q12" s="198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8"/>
    </row>
    <row r="13" spans="2:32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9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6.5" customHeight="1" thickBot="1" thickTop="1">
      <c r="B14" s="50"/>
      <c r="C14" s="4"/>
      <c r="D14" s="4"/>
      <c r="E14" s="4"/>
      <c r="F14" s="82" t="s">
        <v>79</v>
      </c>
      <c r="G14" s="817">
        <v>70.3074</v>
      </c>
      <c r="H14" s="20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6.5" customHeight="1" thickBot="1" thickTop="1">
      <c r="B15" s="50"/>
      <c r="C15" s="4"/>
      <c r="D15" s="4"/>
      <c r="E15" s="4"/>
      <c r="F15" s="82" t="s">
        <v>80</v>
      </c>
      <c r="G15" s="817">
        <v>58.5894</v>
      </c>
      <c r="H15" s="200"/>
      <c r="I15" s="4"/>
      <c r="J15" s="4"/>
      <c r="K15" s="4"/>
      <c r="L15" s="4"/>
      <c r="M15" s="202"/>
      <c r="N15" s="4"/>
      <c r="O15" s="4"/>
      <c r="P15" s="4"/>
      <c r="Q15" s="4"/>
      <c r="R15" s="4"/>
      <c r="S15" s="4"/>
      <c r="T15" s="4"/>
      <c r="U15" s="4"/>
      <c r="V15" s="4"/>
      <c r="W15" s="4"/>
      <c r="X15" s="115"/>
      <c r="Y15" s="115"/>
      <c r="Z15" s="115"/>
      <c r="AA15" s="115"/>
      <c r="AB15" s="115"/>
      <c r="AC15" s="115"/>
      <c r="AD15" s="115"/>
      <c r="AF15" s="17"/>
    </row>
    <row r="16" spans="2:32" s="5" customFormat="1" ht="16.5" customHeight="1" thickBot="1" thickTop="1">
      <c r="B16" s="50"/>
      <c r="C16" s="919">
        <v>3</v>
      </c>
      <c r="D16" s="919">
        <v>4</v>
      </c>
      <c r="E16" s="919">
        <v>5</v>
      </c>
      <c r="F16" s="919">
        <v>6</v>
      </c>
      <c r="G16" s="919">
        <v>7</v>
      </c>
      <c r="H16" s="919">
        <v>8</v>
      </c>
      <c r="I16" s="919">
        <v>9</v>
      </c>
      <c r="J16" s="919">
        <v>10</v>
      </c>
      <c r="K16" s="919">
        <v>11</v>
      </c>
      <c r="L16" s="919">
        <v>12</v>
      </c>
      <c r="M16" s="919">
        <v>13</v>
      </c>
      <c r="N16" s="919">
        <v>14</v>
      </c>
      <c r="O16" s="919">
        <v>15</v>
      </c>
      <c r="P16" s="919">
        <v>16</v>
      </c>
      <c r="Q16" s="919">
        <v>17</v>
      </c>
      <c r="R16" s="919">
        <v>18</v>
      </c>
      <c r="S16" s="919">
        <v>19</v>
      </c>
      <c r="T16" s="919">
        <v>20</v>
      </c>
      <c r="U16" s="919">
        <v>21</v>
      </c>
      <c r="V16" s="919">
        <v>22</v>
      </c>
      <c r="W16" s="919">
        <v>23</v>
      </c>
      <c r="X16" s="919">
        <v>24</v>
      </c>
      <c r="Y16" s="919">
        <v>25</v>
      </c>
      <c r="Z16" s="919">
        <v>26</v>
      </c>
      <c r="AA16" s="919">
        <v>27</v>
      </c>
      <c r="AB16" s="919">
        <v>28</v>
      </c>
      <c r="AC16" s="919">
        <v>29</v>
      </c>
      <c r="AD16" s="919">
        <v>30</v>
      </c>
      <c r="AE16" s="919">
        <v>31</v>
      </c>
      <c r="AF16" s="17"/>
    </row>
    <row r="17" spans="2:32" s="5" customFormat="1" ht="33.75" customHeight="1" thickBot="1" thickTop="1">
      <c r="B17" s="50"/>
      <c r="C17" s="84" t="s">
        <v>13</v>
      </c>
      <c r="D17" s="84" t="s">
        <v>171</v>
      </c>
      <c r="E17" s="84" t="s">
        <v>172</v>
      </c>
      <c r="F17" s="85" t="s">
        <v>0</v>
      </c>
      <c r="G17" s="750" t="s">
        <v>14</v>
      </c>
      <c r="H17" s="86" t="s">
        <v>15</v>
      </c>
      <c r="I17" s="205" t="s">
        <v>60</v>
      </c>
      <c r="J17" s="751" t="s">
        <v>37</v>
      </c>
      <c r="K17" s="752" t="s">
        <v>16</v>
      </c>
      <c r="L17" s="85" t="s">
        <v>17</v>
      </c>
      <c r="M17" s="176" t="s">
        <v>18</v>
      </c>
      <c r="N17" s="88" t="s">
        <v>36</v>
      </c>
      <c r="O17" s="86" t="s">
        <v>31</v>
      </c>
      <c r="P17" s="88" t="s">
        <v>19</v>
      </c>
      <c r="Q17" s="86" t="s">
        <v>46</v>
      </c>
      <c r="R17" s="176" t="s">
        <v>47</v>
      </c>
      <c r="S17" s="85" t="s">
        <v>32</v>
      </c>
      <c r="T17" s="136" t="s">
        <v>20</v>
      </c>
      <c r="U17" s="753" t="s">
        <v>21</v>
      </c>
      <c r="V17" s="207" t="s">
        <v>48</v>
      </c>
      <c r="W17" s="208"/>
      <c r="X17" s="209"/>
      <c r="Y17" s="754" t="s">
        <v>135</v>
      </c>
      <c r="Z17" s="755"/>
      <c r="AA17" s="756"/>
      <c r="AB17" s="210" t="s">
        <v>22</v>
      </c>
      <c r="AC17" s="211" t="s">
        <v>62</v>
      </c>
      <c r="AD17" s="132" t="s">
        <v>63</v>
      </c>
      <c r="AE17" s="132" t="s">
        <v>24</v>
      </c>
      <c r="AF17" s="212"/>
    </row>
    <row r="18" spans="2:32" s="5" customFormat="1" ht="16.5" customHeight="1" thickTop="1">
      <c r="B18" s="50"/>
      <c r="C18" s="178"/>
      <c r="D18" s="178"/>
      <c r="E18" s="178"/>
      <c r="F18" s="800"/>
      <c r="G18" s="800"/>
      <c r="H18" s="818"/>
      <c r="I18" s="799"/>
      <c r="J18" s="801"/>
      <c r="K18" s="802"/>
      <c r="L18" s="813"/>
      <c r="M18" s="813"/>
      <c r="N18" s="799"/>
      <c r="O18" s="799"/>
      <c r="P18" s="799"/>
      <c r="Q18" s="799"/>
      <c r="R18" s="799"/>
      <c r="S18" s="799"/>
      <c r="T18" s="803"/>
      <c r="U18" s="804"/>
      <c r="V18" s="805"/>
      <c r="W18" s="806"/>
      <c r="X18" s="807"/>
      <c r="Y18" s="808"/>
      <c r="Z18" s="809"/>
      <c r="AA18" s="810"/>
      <c r="AB18" s="811"/>
      <c r="AC18" s="812"/>
      <c r="AD18" s="799"/>
      <c r="AE18" s="757"/>
      <c r="AF18" s="17"/>
    </row>
    <row r="19" spans="2:32" s="5" customFormat="1" ht="16.5" customHeight="1">
      <c r="B19" s="50"/>
      <c r="C19" s="10"/>
      <c r="D19" s="10"/>
      <c r="E19" s="10"/>
      <c r="F19" s="778"/>
      <c r="G19" s="779"/>
      <c r="H19" s="821"/>
      <c r="I19" s="779"/>
      <c r="J19" s="768">
        <f aca="true" t="shared" si="0" ref="J19:J39">IF(I19="A",200,IF(I19="B",60,20))</f>
        <v>20</v>
      </c>
      <c r="K19" s="769">
        <f aca="true" t="shared" si="1" ref="K19:K39">IF(G19=500,IF(H19&lt;100,100*$G$14/100,H19*$G$14/100),IF(H19&lt;100,100*$G$15/100,H19*$G$15/100))</f>
        <v>58.5894</v>
      </c>
      <c r="L19" s="770"/>
      <c r="M19" s="771"/>
      <c r="N19" s="186">
        <f aca="true" t="shared" si="2" ref="N19:N39">IF(F19="","",(M19-L19)*24)</f>
      </c>
      <c r="O19" s="187">
        <f aca="true" t="shared" si="3" ref="O19:O39">IF(F19="","",ROUND((M19-L19)*24*60,0))</f>
      </c>
      <c r="P19" s="222"/>
      <c r="Q19" s="890">
        <f aca="true" t="shared" si="4" ref="Q19:Q39">IF(F19="","","--")</f>
      </c>
      <c r="R19" s="223">
        <f aca="true" t="shared" si="5" ref="R19:R39">IF(F19="","","NO")</f>
      </c>
      <c r="S19" s="223">
        <f aca="true" t="shared" si="6" ref="S19:S39">IF(F19="","",IF(OR(P19="P",P19="RP"),"--","NO"))</f>
      </c>
      <c r="T19" s="894" t="str">
        <f aca="true" t="shared" si="7" ref="T19:T39">IF(P19="P",K19*J19*ROUND(O19/60,2)*0.01,"--")</f>
        <v>--</v>
      </c>
      <c r="U19" s="895" t="str">
        <f aca="true" t="shared" si="8" ref="U19:U39">IF(P19="RP",K19*J19*ROUND(O19/60,2)*0.01*Q19/100,"--")</f>
        <v>--</v>
      </c>
      <c r="V19" s="214" t="str">
        <f aca="true" t="shared" si="9" ref="V19:V39">IF(AND(P19="F",S19="NO"),K19*J19*IF(R19="SI",1.2,1),"--")</f>
        <v>--</v>
      </c>
      <c r="W19" s="215" t="str">
        <f aca="true" t="shared" si="10" ref="W19:W39">IF(AND(P19="F",O19&gt;=10),K19*J19*IF(R19="SI",1.2,1)*IF(O19&lt;=300,ROUND(O19/60,2),5),"--")</f>
        <v>--</v>
      </c>
      <c r="X19" s="216" t="str">
        <f aca="true" t="shared" si="11" ref="X19:X39">IF(AND(P19="F",O19&gt;300),(ROUND(O19/60,2)-5)*K19*J19*0.1*IF(R19="SI",1.2,1),"--")</f>
        <v>--</v>
      </c>
      <c r="Y19" s="896" t="str">
        <f aca="true" t="shared" si="12" ref="Y19:Y39">IF(AND(P19="R",S19="NO"),K19*J19*Q19/100*IF(R19="SI",1.2,1),"--")</f>
        <v>--</v>
      </c>
      <c r="Z19" s="897" t="str">
        <f aca="true" t="shared" si="13" ref="Z19:Z39">IF(AND(P19="R",O19&gt;=10),K19*J19*Q19/100*IF(R19="SI",1.2,1)*IF(O19&lt;=300,ROUND(O19/60,2),5),"--")</f>
        <v>--</v>
      </c>
      <c r="AA19" s="898" t="str">
        <f aca="true" t="shared" si="14" ref="AA19:AA39">IF(AND(P19="R",O19&gt;300),(ROUND(O19/60,2)-5)*K19*J19*0.1*Q19/100*IF(R19="SI",1.2,1),"--")</f>
        <v>--</v>
      </c>
      <c r="AB19" s="899" t="str">
        <f aca="true" t="shared" si="15" ref="AB19:AB39">IF(P19="RF",ROUND(O19/60,2)*K19*J19*0.1*IF(R19="SI",1.2,1),"--")</f>
        <v>--</v>
      </c>
      <c r="AC19" s="900" t="str">
        <f aca="true" t="shared" si="16" ref="AC19:AC39">IF(P19="RR",ROUND(O19/60,2)*K19*J19*0.1*Q19/100*IF(R19="SI",1.2,1),"--")</f>
        <v>--</v>
      </c>
      <c r="AD19" s="893">
        <f aca="true" t="shared" si="17" ref="AD19:AD39">IF(F19="","","SI")</f>
      </c>
      <c r="AE19" s="16">
        <f aca="true" t="shared" si="18" ref="AE19:AE39">IF(F19="","",SUM(T19:AC19)*IF(AD19="SI",1,2))</f>
      </c>
      <c r="AF19" s="17"/>
    </row>
    <row r="20" spans="2:32" s="5" customFormat="1" ht="16.5" customHeight="1">
      <c r="B20" s="50"/>
      <c r="C20" s="10">
        <v>27</v>
      </c>
      <c r="D20" s="10">
        <v>216700</v>
      </c>
      <c r="E20" s="10">
        <v>4864</v>
      </c>
      <c r="F20" s="778" t="s">
        <v>267</v>
      </c>
      <c r="G20" s="779">
        <v>500</v>
      </c>
      <c r="H20" s="821">
        <v>202.17</v>
      </c>
      <c r="I20" s="779" t="s">
        <v>185</v>
      </c>
      <c r="J20" s="768">
        <f t="shared" si="0"/>
        <v>20</v>
      </c>
      <c r="K20" s="769">
        <f t="shared" si="1"/>
        <v>142.14047058</v>
      </c>
      <c r="L20" s="770">
        <v>40181.470138888886</v>
      </c>
      <c r="M20" s="771">
        <v>40181.75069444445</v>
      </c>
      <c r="N20" s="186">
        <f t="shared" si="2"/>
        <v>6.733333333453629</v>
      </c>
      <c r="O20" s="187">
        <f t="shared" si="3"/>
        <v>404</v>
      </c>
      <c r="P20" s="222" t="s">
        <v>191</v>
      </c>
      <c r="Q20" s="890" t="str">
        <f t="shared" si="4"/>
        <v>--</v>
      </c>
      <c r="R20" s="223" t="str">
        <f t="shared" si="5"/>
        <v>NO</v>
      </c>
      <c r="S20" s="223" t="str">
        <f t="shared" si="6"/>
        <v>--</v>
      </c>
      <c r="T20" s="894">
        <f t="shared" si="7"/>
        <v>191.32107340068004</v>
      </c>
      <c r="U20" s="895" t="str">
        <f t="shared" si="8"/>
        <v>--</v>
      </c>
      <c r="V20" s="214" t="str">
        <f t="shared" si="9"/>
        <v>--</v>
      </c>
      <c r="W20" s="215" t="str">
        <f t="shared" si="10"/>
        <v>--</v>
      </c>
      <c r="X20" s="216" t="str">
        <f t="shared" si="11"/>
        <v>--</v>
      </c>
      <c r="Y20" s="896" t="str">
        <f t="shared" si="12"/>
        <v>--</v>
      </c>
      <c r="Z20" s="897" t="str">
        <f t="shared" si="13"/>
        <v>--</v>
      </c>
      <c r="AA20" s="898" t="str">
        <f t="shared" si="14"/>
        <v>--</v>
      </c>
      <c r="AB20" s="899" t="str">
        <f t="shared" si="15"/>
        <v>--</v>
      </c>
      <c r="AC20" s="900" t="str">
        <f t="shared" si="16"/>
        <v>--</v>
      </c>
      <c r="AD20" s="891" t="str">
        <f t="shared" si="17"/>
        <v>SI</v>
      </c>
      <c r="AE20" s="16">
        <f t="shared" si="18"/>
        <v>191.32107340068004</v>
      </c>
      <c r="AF20" s="777"/>
    </row>
    <row r="21" spans="2:32" s="5" customFormat="1" ht="16.5" customHeight="1">
      <c r="B21" s="50"/>
      <c r="C21" s="276">
        <v>28</v>
      </c>
      <c r="D21" s="276">
        <v>217178</v>
      </c>
      <c r="E21" s="276">
        <v>4864</v>
      </c>
      <c r="F21" s="778" t="s">
        <v>267</v>
      </c>
      <c r="G21" s="779">
        <v>500</v>
      </c>
      <c r="H21" s="821">
        <v>202.17</v>
      </c>
      <c r="I21" s="779" t="s">
        <v>185</v>
      </c>
      <c r="J21" s="768">
        <f t="shared" si="0"/>
        <v>20</v>
      </c>
      <c r="K21" s="769">
        <f t="shared" si="1"/>
        <v>142.14047058</v>
      </c>
      <c r="L21" s="770">
        <v>40190.11041666667</v>
      </c>
      <c r="M21" s="771">
        <v>40190.11597222222</v>
      </c>
      <c r="N21" s="186">
        <f t="shared" si="2"/>
        <v>0.1333333332440816</v>
      </c>
      <c r="O21" s="187">
        <f t="shared" si="3"/>
        <v>8</v>
      </c>
      <c r="P21" s="222" t="s">
        <v>186</v>
      </c>
      <c r="Q21" s="890" t="str">
        <f t="shared" si="4"/>
        <v>--</v>
      </c>
      <c r="R21" s="223" t="str">
        <f t="shared" si="5"/>
        <v>NO</v>
      </c>
      <c r="S21" s="223" t="str">
        <f t="shared" si="6"/>
        <v>NO</v>
      </c>
      <c r="T21" s="894" t="str">
        <f t="shared" si="7"/>
        <v>--</v>
      </c>
      <c r="U21" s="895" t="str">
        <f t="shared" si="8"/>
        <v>--</v>
      </c>
      <c r="V21" s="214">
        <f t="shared" si="9"/>
        <v>2842.8094116</v>
      </c>
      <c r="W21" s="215" t="str">
        <f t="shared" si="10"/>
        <v>--</v>
      </c>
      <c r="X21" s="216" t="str">
        <f t="shared" si="11"/>
        <v>--</v>
      </c>
      <c r="Y21" s="896" t="str">
        <f t="shared" si="12"/>
        <v>--</v>
      </c>
      <c r="Z21" s="897" t="str">
        <f t="shared" si="13"/>
        <v>--</v>
      </c>
      <c r="AA21" s="898" t="str">
        <f t="shared" si="14"/>
        <v>--</v>
      </c>
      <c r="AB21" s="899" t="str">
        <f t="shared" si="15"/>
        <v>--</v>
      </c>
      <c r="AC21" s="900" t="str">
        <f t="shared" si="16"/>
        <v>--</v>
      </c>
      <c r="AD21" s="891" t="str">
        <f t="shared" si="17"/>
        <v>SI</v>
      </c>
      <c r="AE21" s="16">
        <f t="shared" si="18"/>
        <v>2842.8094116</v>
      </c>
      <c r="AF21" s="777"/>
    </row>
    <row r="22" spans="2:32" s="5" customFormat="1" ht="16.5" customHeight="1">
      <c r="B22" s="50"/>
      <c r="C22" s="152">
        <v>29</v>
      </c>
      <c r="D22" s="152">
        <v>217183</v>
      </c>
      <c r="E22" s="152">
        <v>4864</v>
      </c>
      <c r="F22" s="778" t="s">
        <v>267</v>
      </c>
      <c r="G22" s="779">
        <v>500</v>
      </c>
      <c r="H22" s="821">
        <v>202.17</v>
      </c>
      <c r="I22" s="779" t="s">
        <v>185</v>
      </c>
      <c r="J22" s="768">
        <f t="shared" si="0"/>
        <v>20</v>
      </c>
      <c r="K22" s="769">
        <f t="shared" si="1"/>
        <v>142.14047058</v>
      </c>
      <c r="L22" s="780">
        <v>40190.381944444445</v>
      </c>
      <c r="M22" s="781">
        <v>40190.501388888886</v>
      </c>
      <c r="N22" s="186">
        <f t="shared" si="2"/>
        <v>2.8666666665812954</v>
      </c>
      <c r="O22" s="187">
        <f t="shared" si="3"/>
        <v>172</v>
      </c>
      <c r="P22" s="222" t="s">
        <v>186</v>
      </c>
      <c r="Q22" s="890" t="str">
        <f t="shared" si="4"/>
        <v>--</v>
      </c>
      <c r="R22" s="223" t="str">
        <f t="shared" si="5"/>
        <v>NO</v>
      </c>
      <c r="S22" s="223" t="s">
        <v>148</v>
      </c>
      <c r="T22" s="894" t="str">
        <f t="shared" si="7"/>
        <v>--</v>
      </c>
      <c r="U22" s="895" t="str">
        <f t="shared" si="8"/>
        <v>--</v>
      </c>
      <c r="V22" s="214" t="str">
        <f t="shared" si="9"/>
        <v>--</v>
      </c>
      <c r="W22" s="215">
        <f t="shared" si="10"/>
        <v>8158.863011292001</v>
      </c>
      <c r="X22" s="216" t="str">
        <f t="shared" si="11"/>
        <v>--</v>
      </c>
      <c r="Y22" s="896" t="str">
        <f t="shared" si="12"/>
        <v>--</v>
      </c>
      <c r="Z22" s="897" t="str">
        <f t="shared" si="13"/>
        <v>--</v>
      </c>
      <c r="AA22" s="898" t="str">
        <f t="shared" si="14"/>
        <v>--</v>
      </c>
      <c r="AB22" s="899" t="str">
        <f t="shared" si="15"/>
        <v>--</v>
      </c>
      <c r="AC22" s="900" t="str">
        <f t="shared" si="16"/>
        <v>--</v>
      </c>
      <c r="AD22" s="891" t="str">
        <f t="shared" si="17"/>
        <v>SI</v>
      </c>
      <c r="AE22" s="16">
        <f t="shared" si="18"/>
        <v>8158.863011292001</v>
      </c>
      <c r="AF22" s="777"/>
    </row>
    <row r="23" spans="2:32" s="5" customFormat="1" ht="16.5" customHeight="1">
      <c r="B23" s="50"/>
      <c r="C23" s="276">
        <v>30</v>
      </c>
      <c r="D23" s="276">
        <v>217201</v>
      </c>
      <c r="E23" s="276">
        <v>4864</v>
      </c>
      <c r="F23" s="778" t="s">
        <v>267</v>
      </c>
      <c r="G23" s="779">
        <v>500</v>
      </c>
      <c r="H23" s="821">
        <v>202.17</v>
      </c>
      <c r="I23" s="779" t="s">
        <v>185</v>
      </c>
      <c r="J23" s="768">
        <f t="shared" si="0"/>
        <v>20</v>
      </c>
      <c r="K23" s="769">
        <f t="shared" si="1"/>
        <v>142.14047058</v>
      </c>
      <c r="L23" s="780">
        <v>40195.35833333333</v>
      </c>
      <c r="M23" s="781">
        <v>40195.70625</v>
      </c>
      <c r="N23" s="186">
        <f t="shared" si="2"/>
        <v>8.35000000015134</v>
      </c>
      <c r="O23" s="187">
        <f t="shared" si="3"/>
        <v>501</v>
      </c>
      <c r="P23" s="222" t="s">
        <v>191</v>
      </c>
      <c r="Q23" s="890" t="str">
        <f t="shared" si="4"/>
        <v>--</v>
      </c>
      <c r="R23" s="223" t="str">
        <f t="shared" si="5"/>
        <v>NO</v>
      </c>
      <c r="S23" s="223" t="str">
        <f t="shared" si="6"/>
        <v>--</v>
      </c>
      <c r="T23" s="894">
        <f t="shared" si="7"/>
        <v>237.3745858686</v>
      </c>
      <c r="U23" s="895" t="str">
        <f t="shared" si="8"/>
        <v>--</v>
      </c>
      <c r="V23" s="214" t="str">
        <f t="shared" si="9"/>
        <v>--</v>
      </c>
      <c r="W23" s="215" t="str">
        <f t="shared" si="10"/>
        <v>--</v>
      </c>
      <c r="X23" s="216" t="str">
        <f t="shared" si="11"/>
        <v>--</v>
      </c>
      <c r="Y23" s="896" t="str">
        <f t="shared" si="12"/>
        <v>--</v>
      </c>
      <c r="Z23" s="897" t="str">
        <f t="shared" si="13"/>
        <v>--</v>
      </c>
      <c r="AA23" s="898" t="str">
        <f t="shared" si="14"/>
        <v>--</v>
      </c>
      <c r="AB23" s="899" t="str">
        <f t="shared" si="15"/>
        <v>--</v>
      </c>
      <c r="AC23" s="900" t="str">
        <f t="shared" si="16"/>
        <v>--</v>
      </c>
      <c r="AD23" s="891" t="str">
        <f t="shared" si="17"/>
        <v>SI</v>
      </c>
      <c r="AE23" s="16">
        <f t="shared" si="18"/>
        <v>237.3745858686</v>
      </c>
      <c r="AF23" s="777"/>
    </row>
    <row r="24" spans="2:32" s="5" customFormat="1" ht="16.5" customHeight="1">
      <c r="B24" s="50"/>
      <c r="C24" s="152"/>
      <c r="D24" s="152"/>
      <c r="E24" s="152"/>
      <c r="F24" s="152"/>
      <c r="G24" s="183"/>
      <c r="H24" s="820"/>
      <c r="I24" s="183"/>
      <c r="J24" s="768">
        <f t="shared" si="0"/>
        <v>20</v>
      </c>
      <c r="K24" s="769">
        <f t="shared" si="1"/>
        <v>58.5894</v>
      </c>
      <c r="L24" s="770"/>
      <c r="M24" s="771"/>
      <c r="N24" s="186">
        <f t="shared" si="2"/>
      </c>
      <c r="O24" s="187">
        <f t="shared" si="3"/>
      </c>
      <c r="P24" s="222"/>
      <c r="Q24" s="890">
        <f t="shared" si="4"/>
      </c>
      <c r="R24" s="223">
        <f t="shared" si="5"/>
      </c>
      <c r="S24" s="223">
        <f t="shared" si="6"/>
      </c>
      <c r="T24" s="894" t="str">
        <f t="shared" si="7"/>
        <v>--</v>
      </c>
      <c r="U24" s="895" t="str">
        <f t="shared" si="8"/>
        <v>--</v>
      </c>
      <c r="V24" s="214" t="str">
        <f t="shared" si="9"/>
        <v>--</v>
      </c>
      <c r="W24" s="215" t="str">
        <f t="shared" si="10"/>
        <v>--</v>
      </c>
      <c r="X24" s="216" t="str">
        <f t="shared" si="11"/>
        <v>--</v>
      </c>
      <c r="Y24" s="896" t="str">
        <f t="shared" si="12"/>
        <v>--</v>
      </c>
      <c r="Z24" s="897" t="str">
        <f t="shared" si="13"/>
        <v>--</v>
      </c>
      <c r="AA24" s="898" t="str">
        <f t="shared" si="14"/>
        <v>--</v>
      </c>
      <c r="AB24" s="899" t="str">
        <f t="shared" si="15"/>
        <v>--</v>
      </c>
      <c r="AC24" s="900" t="str">
        <f t="shared" si="16"/>
        <v>--</v>
      </c>
      <c r="AD24" s="891">
        <f t="shared" si="17"/>
      </c>
      <c r="AE24" s="16">
        <f t="shared" si="18"/>
      </c>
      <c r="AF24" s="777"/>
    </row>
    <row r="25" spans="2:32" s="5" customFormat="1" ht="16.5" customHeight="1">
      <c r="B25" s="50"/>
      <c r="C25" s="276"/>
      <c r="D25" s="276"/>
      <c r="E25" s="276"/>
      <c r="F25" s="152"/>
      <c r="G25" s="183"/>
      <c r="H25" s="820"/>
      <c r="I25" s="183"/>
      <c r="J25" s="768">
        <f t="shared" si="0"/>
        <v>20</v>
      </c>
      <c r="K25" s="769">
        <f t="shared" si="1"/>
        <v>58.5894</v>
      </c>
      <c r="L25" s="770"/>
      <c r="M25" s="771"/>
      <c r="N25" s="186">
        <f t="shared" si="2"/>
      </c>
      <c r="O25" s="187">
        <f t="shared" si="3"/>
      </c>
      <c r="P25" s="222"/>
      <c r="Q25" s="890">
        <f t="shared" si="4"/>
      </c>
      <c r="R25" s="223">
        <f t="shared" si="5"/>
      </c>
      <c r="S25" s="223">
        <f t="shared" si="6"/>
      </c>
      <c r="T25" s="894" t="str">
        <f t="shared" si="7"/>
        <v>--</v>
      </c>
      <c r="U25" s="895" t="str">
        <f t="shared" si="8"/>
        <v>--</v>
      </c>
      <c r="V25" s="214" t="str">
        <f t="shared" si="9"/>
        <v>--</v>
      </c>
      <c r="W25" s="215" t="str">
        <f t="shared" si="10"/>
        <v>--</v>
      </c>
      <c r="X25" s="216" t="str">
        <f t="shared" si="11"/>
        <v>--</v>
      </c>
      <c r="Y25" s="896" t="str">
        <f t="shared" si="12"/>
        <v>--</v>
      </c>
      <c r="Z25" s="897" t="str">
        <f t="shared" si="13"/>
        <v>--</v>
      </c>
      <c r="AA25" s="898" t="str">
        <f t="shared" si="14"/>
        <v>--</v>
      </c>
      <c r="AB25" s="899" t="str">
        <f t="shared" si="15"/>
        <v>--</v>
      </c>
      <c r="AC25" s="900" t="str">
        <f t="shared" si="16"/>
        <v>--</v>
      </c>
      <c r="AD25" s="891">
        <f t="shared" si="17"/>
      </c>
      <c r="AE25" s="16">
        <f t="shared" si="18"/>
      </c>
      <c r="AF25" s="777"/>
    </row>
    <row r="26" spans="2:32" s="5" customFormat="1" ht="16.5" customHeight="1">
      <c r="B26" s="50"/>
      <c r="C26" s="152"/>
      <c r="D26" s="152"/>
      <c r="E26" s="152"/>
      <c r="F26" s="146"/>
      <c r="G26" s="147"/>
      <c r="H26" s="822"/>
      <c r="I26" s="147"/>
      <c r="J26" s="768">
        <f t="shared" si="0"/>
        <v>20</v>
      </c>
      <c r="K26" s="769">
        <f t="shared" si="1"/>
        <v>58.5894</v>
      </c>
      <c r="L26" s="184"/>
      <c r="M26" s="221"/>
      <c r="N26" s="186">
        <f t="shared" si="2"/>
      </c>
      <c r="O26" s="187">
        <f t="shared" si="3"/>
      </c>
      <c r="P26" s="222"/>
      <c r="Q26" s="890">
        <f t="shared" si="4"/>
      </c>
      <c r="R26" s="223">
        <f t="shared" si="5"/>
      </c>
      <c r="S26" s="223">
        <f t="shared" si="6"/>
      </c>
      <c r="T26" s="894" t="str">
        <f t="shared" si="7"/>
        <v>--</v>
      </c>
      <c r="U26" s="895" t="str">
        <f t="shared" si="8"/>
        <v>--</v>
      </c>
      <c r="V26" s="214" t="str">
        <f t="shared" si="9"/>
        <v>--</v>
      </c>
      <c r="W26" s="215" t="str">
        <f t="shared" si="10"/>
        <v>--</v>
      </c>
      <c r="X26" s="216" t="str">
        <f t="shared" si="11"/>
        <v>--</v>
      </c>
      <c r="Y26" s="896" t="str">
        <f t="shared" si="12"/>
        <v>--</v>
      </c>
      <c r="Z26" s="897" t="str">
        <f t="shared" si="13"/>
        <v>--</v>
      </c>
      <c r="AA26" s="898" t="str">
        <f t="shared" si="14"/>
        <v>--</v>
      </c>
      <c r="AB26" s="899" t="str">
        <f t="shared" si="15"/>
        <v>--</v>
      </c>
      <c r="AC26" s="900" t="str">
        <f t="shared" si="16"/>
        <v>--</v>
      </c>
      <c r="AD26" s="891">
        <f t="shared" si="17"/>
      </c>
      <c r="AE26" s="16">
        <f t="shared" si="18"/>
      </c>
      <c r="AF26" s="777"/>
    </row>
    <row r="27" spans="2:32" s="5" customFormat="1" ht="16.5" customHeight="1">
      <c r="B27" s="50"/>
      <c r="C27" s="276"/>
      <c r="D27" s="276"/>
      <c r="E27" s="276"/>
      <c r="F27" s="146"/>
      <c r="G27" s="147"/>
      <c r="H27" s="822"/>
      <c r="I27" s="147"/>
      <c r="J27" s="768">
        <f t="shared" si="0"/>
        <v>20</v>
      </c>
      <c r="K27" s="769">
        <f t="shared" si="1"/>
        <v>58.5894</v>
      </c>
      <c r="L27" s="184"/>
      <c r="M27" s="221"/>
      <c r="N27" s="186">
        <f t="shared" si="2"/>
      </c>
      <c r="O27" s="187">
        <f t="shared" si="3"/>
      </c>
      <c r="P27" s="222"/>
      <c r="Q27" s="890">
        <f t="shared" si="4"/>
      </c>
      <c r="R27" s="223">
        <f t="shared" si="5"/>
      </c>
      <c r="S27" s="223">
        <f t="shared" si="6"/>
      </c>
      <c r="T27" s="894" t="str">
        <f t="shared" si="7"/>
        <v>--</v>
      </c>
      <c r="U27" s="895" t="str">
        <f t="shared" si="8"/>
        <v>--</v>
      </c>
      <c r="V27" s="214" t="str">
        <f t="shared" si="9"/>
        <v>--</v>
      </c>
      <c r="W27" s="215" t="str">
        <f t="shared" si="10"/>
        <v>--</v>
      </c>
      <c r="X27" s="216" t="str">
        <f t="shared" si="11"/>
        <v>--</v>
      </c>
      <c r="Y27" s="896" t="str">
        <f t="shared" si="12"/>
        <v>--</v>
      </c>
      <c r="Z27" s="897" t="str">
        <f t="shared" si="13"/>
        <v>--</v>
      </c>
      <c r="AA27" s="898" t="str">
        <f t="shared" si="14"/>
        <v>--</v>
      </c>
      <c r="AB27" s="899" t="str">
        <f t="shared" si="15"/>
        <v>--</v>
      </c>
      <c r="AC27" s="900" t="str">
        <f t="shared" si="16"/>
        <v>--</v>
      </c>
      <c r="AD27" s="891">
        <f t="shared" si="17"/>
      </c>
      <c r="AE27" s="16">
        <f t="shared" si="18"/>
      </c>
      <c r="AF27" s="777"/>
    </row>
    <row r="28" spans="2:32" s="5" customFormat="1" ht="16.5" customHeight="1">
      <c r="B28" s="50"/>
      <c r="C28" s="152"/>
      <c r="D28" s="152"/>
      <c r="E28" s="152"/>
      <c r="F28" s="146"/>
      <c r="G28" s="147"/>
      <c r="H28" s="822"/>
      <c r="I28" s="147"/>
      <c r="J28" s="768">
        <f t="shared" si="0"/>
        <v>20</v>
      </c>
      <c r="K28" s="769">
        <f t="shared" si="1"/>
        <v>58.5894</v>
      </c>
      <c r="L28" s="184"/>
      <c r="M28" s="221"/>
      <c r="N28" s="186">
        <f t="shared" si="2"/>
      </c>
      <c r="O28" s="187">
        <f t="shared" si="3"/>
      </c>
      <c r="P28" s="222"/>
      <c r="Q28" s="890">
        <f t="shared" si="4"/>
      </c>
      <c r="R28" s="223">
        <f t="shared" si="5"/>
      </c>
      <c r="S28" s="223">
        <f t="shared" si="6"/>
      </c>
      <c r="T28" s="894" t="str">
        <f t="shared" si="7"/>
        <v>--</v>
      </c>
      <c r="U28" s="895" t="str">
        <f t="shared" si="8"/>
        <v>--</v>
      </c>
      <c r="V28" s="214" t="str">
        <f t="shared" si="9"/>
        <v>--</v>
      </c>
      <c r="W28" s="215" t="str">
        <f t="shared" si="10"/>
        <v>--</v>
      </c>
      <c r="X28" s="216" t="str">
        <f t="shared" si="11"/>
        <v>--</v>
      </c>
      <c r="Y28" s="896" t="str">
        <f t="shared" si="12"/>
        <v>--</v>
      </c>
      <c r="Z28" s="897" t="str">
        <f t="shared" si="13"/>
        <v>--</v>
      </c>
      <c r="AA28" s="898" t="str">
        <f t="shared" si="14"/>
        <v>--</v>
      </c>
      <c r="AB28" s="899" t="str">
        <f t="shared" si="15"/>
        <v>--</v>
      </c>
      <c r="AC28" s="900" t="str">
        <f t="shared" si="16"/>
        <v>--</v>
      </c>
      <c r="AD28" s="891">
        <f t="shared" si="17"/>
      </c>
      <c r="AE28" s="16">
        <f t="shared" si="18"/>
      </c>
      <c r="AF28" s="777"/>
    </row>
    <row r="29" spans="2:32" s="5" customFormat="1" ht="16.5" customHeight="1">
      <c r="B29" s="50"/>
      <c r="C29" s="276"/>
      <c r="D29" s="276"/>
      <c r="E29" s="276"/>
      <c r="F29" s="146"/>
      <c r="G29" s="147"/>
      <c r="H29" s="822"/>
      <c r="I29" s="147"/>
      <c r="J29" s="768">
        <f t="shared" si="0"/>
        <v>20</v>
      </c>
      <c r="K29" s="769">
        <f t="shared" si="1"/>
        <v>58.5894</v>
      </c>
      <c r="L29" s="184"/>
      <c r="M29" s="221"/>
      <c r="N29" s="186">
        <f t="shared" si="2"/>
      </c>
      <c r="O29" s="187">
        <f t="shared" si="3"/>
      </c>
      <c r="P29" s="222"/>
      <c r="Q29" s="890">
        <f t="shared" si="4"/>
      </c>
      <c r="R29" s="223">
        <f t="shared" si="5"/>
      </c>
      <c r="S29" s="223">
        <f t="shared" si="6"/>
      </c>
      <c r="T29" s="894" t="str">
        <f t="shared" si="7"/>
        <v>--</v>
      </c>
      <c r="U29" s="895" t="str">
        <f t="shared" si="8"/>
        <v>--</v>
      </c>
      <c r="V29" s="214" t="str">
        <f t="shared" si="9"/>
        <v>--</v>
      </c>
      <c r="W29" s="215" t="str">
        <f t="shared" si="10"/>
        <v>--</v>
      </c>
      <c r="X29" s="216" t="str">
        <f t="shared" si="11"/>
        <v>--</v>
      </c>
      <c r="Y29" s="896" t="str">
        <f t="shared" si="12"/>
        <v>--</v>
      </c>
      <c r="Z29" s="897" t="str">
        <f t="shared" si="13"/>
        <v>--</v>
      </c>
      <c r="AA29" s="898" t="str">
        <f t="shared" si="14"/>
        <v>--</v>
      </c>
      <c r="AB29" s="899" t="str">
        <f t="shared" si="15"/>
        <v>--</v>
      </c>
      <c r="AC29" s="900" t="str">
        <f t="shared" si="16"/>
        <v>--</v>
      </c>
      <c r="AD29" s="891">
        <f t="shared" si="17"/>
      </c>
      <c r="AE29" s="16">
        <f t="shared" si="18"/>
      </c>
      <c r="AF29" s="777"/>
    </row>
    <row r="30" spans="2:32" s="5" customFormat="1" ht="16.5" customHeight="1">
      <c r="B30" s="50"/>
      <c r="C30" s="152"/>
      <c r="D30" s="152"/>
      <c r="E30" s="152"/>
      <c r="F30" s="146"/>
      <c r="G30" s="147"/>
      <c r="H30" s="822"/>
      <c r="I30" s="147"/>
      <c r="J30" s="768">
        <f t="shared" si="0"/>
        <v>20</v>
      </c>
      <c r="K30" s="769">
        <f t="shared" si="1"/>
        <v>58.5894</v>
      </c>
      <c r="L30" s="184"/>
      <c r="M30" s="221"/>
      <c r="N30" s="186">
        <f t="shared" si="2"/>
      </c>
      <c r="O30" s="187">
        <f t="shared" si="3"/>
      </c>
      <c r="P30" s="222"/>
      <c r="Q30" s="890">
        <f t="shared" si="4"/>
      </c>
      <c r="R30" s="223">
        <f t="shared" si="5"/>
      </c>
      <c r="S30" s="223">
        <f t="shared" si="6"/>
      </c>
      <c r="T30" s="894" t="str">
        <f t="shared" si="7"/>
        <v>--</v>
      </c>
      <c r="U30" s="895" t="str">
        <f t="shared" si="8"/>
        <v>--</v>
      </c>
      <c r="V30" s="214" t="str">
        <f t="shared" si="9"/>
        <v>--</v>
      </c>
      <c r="W30" s="215" t="str">
        <f t="shared" si="10"/>
        <v>--</v>
      </c>
      <c r="X30" s="216" t="str">
        <f t="shared" si="11"/>
        <v>--</v>
      </c>
      <c r="Y30" s="896" t="str">
        <f t="shared" si="12"/>
        <v>--</v>
      </c>
      <c r="Z30" s="897" t="str">
        <f t="shared" si="13"/>
        <v>--</v>
      </c>
      <c r="AA30" s="898" t="str">
        <f t="shared" si="14"/>
        <v>--</v>
      </c>
      <c r="AB30" s="899" t="str">
        <f t="shared" si="15"/>
        <v>--</v>
      </c>
      <c r="AC30" s="900" t="str">
        <f t="shared" si="16"/>
        <v>--</v>
      </c>
      <c r="AD30" s="891">
        <f t="shared" si="17"/>
      </c>
      <c r="AE30" s="16">
        <f t="shared" si="18"/>
      </c>
      <c r="AF30" s="777"/>
    </row>
    <row r="31" spans="2:32" s="5" customFormat="1" ht="16.5" customHeight="1">
      <c r="B31" s="50"/>
      <c r="C31" s="276"/>
      <c r="D31" s="276"/>
      <c r="E31" s="276"/>
      <c r="F31" s="146"/>
      <c r="G31" s="147"/>
      <c r="H31" s="822"/>
      <c r="I31" s="147"/>
      <c r="J31" s="768">
        <f t="shared" si="0"/>
        <v>20</v>
      </c>
      <c r="K31" s="769">
        <f t="shared" si="1"/>
        <v>58.5894</v>
      </c>
      <c r="L31" s="184"/>
      <c r="M31" s="185"/>
      <c r="N31" s="186">
        <f t="shared" si="2"/>
      </c>
      <c r="O31" s="187">
        <f t="shared" si="3"/>
      </c>
      <c r="P31" s="222"/>
      <c r="Q31" s="890">
        <f t="shared" si="4"/>
      </c>
      <c r="R31" s="223">
        <f t="shared" si="5"/>
      </c>
      <c r="S31" s="223">
        <f t="shared" si="6"/>
      </c>
      <c r="T31" s="894" t="str">
        <f t="shared" si="7"/>
        <v>--</v>
      </c>
      <c r="U31" s="895" t="str">
        <f t="shared" si="8"/>
        <v>--</v>
      </c>
      <c r="V31" s="214" t="str">
        <f t="shared" si="9"/>
        <v>--</v>
      </c>
      <c r="W31" s="215" t="str">
        <f t="shared" si="10"/>
        <v>--</v>
      </c>
      <c r="X31" s="216" t="str">
        <f t="shared" si="11"/>
        <v>--</v>
      </c>
      <c r="Y31" s="896" t="str">
        <f t="shared" si="12"/>
        <v>--</v>
      </c>
      <c r="Z31" s="897" t="str">
        <f t="shared" si="13"/>
        <v>--</v>
      </c>
      <c r="AA31" s="898" t="str">
        <f t="shared" si="14"/>
        <v>--</v>
      </c>
      <c r="AB31" s="899" t="str">
        <f t="shared" si="15"/>
        <v>--</v>
      </c>
      <c r="AC31" s="900" t="str">
        <f t="shared" si="16"/>
        <v>--</v>
      </c>
      <c r="AD31" s="891">
        <f t="shared" si="17"/>
      </c>
      <c r="AE31" s="16">
        <f t="shared" si="18"/>
      </c>
      <c r="AF31" s="777"/>
    </row>
    <row r="32" spans="2:32" s="5" customFormat="1" ht="16.5" customHeight="1">
      <c r="B32" s="50"/>
      <c r="C32" s="152"/>
      <c r="D32" s="152"/>
      <c r="E32" s="152"/>
      <c r="F32" s="146"/>
      <c r="G32" s="147"/>
      <c r="H32" s="822"/>
      <c r="I32" s="147"/>
      <c r="J32" s="768">
        <f t="shared" si="0"/>
        <v>20</v>
      </c>
      <c r="K32" s="769">
        <f t="shared" si="1"/>
        <v>58.5894</v>
      </c>
      <c r="L32" s="184"/>
      <c r="M32" s="185"/>
      <c r="N32" s="186">
        <f t="shared" si="2"/>
      </c>
      <c r="O32" s="187">
        <f t="shared" si="3"/>
      </c>
      <c r="P32" s="222"/>
      <c r="Q32" s="890">
        <f t="shared" si="4"/>
      </c>
      <c r="R32" s="223">
        <f t="shared" si="5"/>
      </c>
      <c r="S32" s="223">
        <f t="shared" si="6"/>
      </c>
      <c r="T32" s="894" t="str">
        <f t="shared" si="7"/>
        <v>--</v>
      </c>
      <c r="U32" s="895" t="str">
        <f t="shared" si="8"/>
        <v>--</v>
      </c>
      <c r="V32" s="214" t="str">
        <f t="shared" si="9"/>
        <v>--</v>
      </c>
      <c r="W32" s="215" t="str">
        <f t="shared" si="10"/>
        <v>--</v>
      </c>
      <c r="X32" s="216" t="str">
        <f t="shared" si="11"/>
        <v>--</v>
      </c>
      <c r="Y32" s="896" t="str">
        <f t="shared" si="12"/>
        <v>--</v>
      </c>
      <c r="Z32" s="897" t="str">
        <f t="shared" si="13"/>
        <v>--</v>
      </c>
      <c r="AA32" s="898" t="str">
        <f t="shared" si="14"/>
        <v>--</v>
      </c>
      <c r="AB32" s="899" t="str">
        <f t="shared" si="15"/>
        <v>--</v>
      </c>
      <c r="AC32" s="900" t="str">
        <f t="shared" si="16"/>
        <v>--</v>
      </c>
      <c r="AD32" s="891">
        <f t="shared" si="17"/>
      </c>
      <c r="AE32" s="16">
        <f t="shared" si="18"/>
      </c>
      <c r="AF32" s="777"/>
    </row>
    <row r="33" spans="2:32" s="5" customFormat="1" ht="16.5" customHeight="1">
      <c r="B33" s="50"/>
      <c r="C33" s="276"/>
      <c r="D33" s="276"/>
      <c r="E33" s="276"/>
      <c r="F33" s="146"/>
      <c r="G33" s="147"/>
      <c r="H33" s="822"/>
      <c r="I33" s="147"/>
      <c r="J33" s="768">
        <f t="shared" si="0"/>
        <v>20</v>
      </c>
      <c r="K33" s="769">
        <f t="shared" si="1"/>
        <v>58.5894</v>
      </c>
      <c r="L33" s="184"/>
      <c r="M33" s="185"/>
      <c r="N33" s="186">
        <f t="shared" si="2"/>
      </c>
      <c r="O33" s="187">
        <f t="shared" si="3"/>
      </c>
      <c r="P33" s="222"/>
      <c r="Q33" s="890">
        <f t="shared" si="4"/>
      </c>
      <c r="R33" s="223">
        <f t="shared" si="5"/>
      </c>
      <c r="S33" s="223">
        <f t="shared" si="6"/>
      </c>
      <c r="T33" s="894" t="str">
        <f t="shared" si="7"/>
        <v>--</v>
      </c>
      <c r="U33" s="895" t="str">
        <f t="shared" si="8"/>
        <v>--</v>
      </c>
      <c r="V33" s="214" t="str">
        <f t="shared" si="9"/>
        <v>--</v>
      </c>
      <c r="W33" s="215" t="str">
        <f t="shared" si="10"/>
        <v>--</v>
      </c>
      <c r="X33" s="216" t="str">
        <f t="shared" si="11"/>
        <v>--</v>
      </c>
      <c r="Y33" s="896" t="str">
        <f t="shared" si="12"/>
        <v>--</v>
      </c>
      <c r="Z33" s="897" t="str">
        <f t="shared" si="13"/>
        <v>--</v>
      </c>
      <c r="AA33" s="898" t="str">
        <f t="shared" si="14"/>
        <v>--</v>
      </c>
      <c r="AB33" s="899" t="str">
        <f t="shared" si="15"/>
        <v>--</v>
      </c>
      <c r="AC33" s="900" t="str">
        <f t="shared" si="16"/>
        <v>--</v>
      </c>
      <c r="AD33" s="891">
        <f t="shared" si="17"/>
      </c>
      <c r="AE33" s="16">
        <f t="shared" si="18"/>
      </c>
      <c r="AF33" s="777"/>
    </row>
    <row r="34" spans="2:32" s="5" customFormat="1" ht="16.5" customHeight="1">
      <c r="B34" s="50"/>
      <c r="C34" s="152"/>
      <c r="D34" s="152"/>
      <c r="E34" s="152"/>
      <c r="F34" s="146"/>
      <c r="G34" s="147"/>
      <c r="H34" s="822"/>
      <c r="I34" s="147"/>
      <c r="J34" s="768">
        <f t="shared" si="0"/>
        <v>20</v>
      </c>
      <c r="K34" s="769">
        <f t="shared" si="1"/>
        <v>58.5894</v>
      </c>
      <c r="L34" s="184"/>
      <c r="M34" s="185"/>
      <c r="N34" s="186">
        <f t="shared" si="2"/>
      </c>
      <c r="O34" s="187">
        <f t="shared" si="3"/>
      </c>
      <c r="P34" s="222"/>
      <c r="Q34" s="890">
        <f t="shared" si="4"/>
      </c>
      <c r="R34" s="223">
        <f t="shared" si="5"/>
      </c>
      <c r="S34" s="223">
        <f t="shared" si="6"/>
      </c>
      <c r="T34" s="894" t="str">
        <f t="shared" si="7"/>
        <v>--</v>
      </c>
      <c r="U34" s="895" t="str">
        <f t="shared" si="8"/>
        <v>--</v>
      </c>
      <c r="V34" s="214" t="str">
        <f t="shared" si="9"/>
        <v>--</v>
      </c>
      <c r="W34" s="215" t="str">
        <f t="shared" si="10"/>
        <v>--</v>
      </c>
      <c r="X34" s="216" t="str">
        <f t="shared" si="11"/>
        <v>--</v>
      </c>
      <c r="Y34" s="896" t="str">
        <f t="shared" si="12"/>
        <v>--</v>
      </c>
      <c r="Z34" s="897" t="str">
        <f t="shared" si="13"/>
        <v>--</v>
      </c>
      <c r="AA34" s="898" t="str">
        <f t="shared" si="14"/>
        <v>--</v>
      </c>
      <c r="AB34" s="899" t="str">
        <f t="shared" si="15"/>
        <v>--</v>
      </c>
      <c r="AC34" s="900" t="str">
        <f t="shared" si="16"/>
        <v>--</v>
      </c>
      <c r="AD34" s="891">
        <f t="shared" si="17"/>
      </c>
      <c r="AE34" s="16">
        <f t="shared" si="18"/>
      </c>
      <c r="AF34" s="777"/>
    </row>
    <row r="35" spans="2:32" s="5" customFormat="1" ht="16.5" customHeight="1">
      <c r="B35" s="50"/>
      <c r="C35" s="276"/>
      <c r="D35" s="276"/>
      <c r="E35" s="276"/>
      <c r="F35" s="146"/>
      <c r="G35" s="147"/>
      <c r="H35" s="822"/>
      <c r="I35" s="147"/>
      <c r="J35" s="768">
        <f t="shared" si="0"/>
        <v>20</v>
      </c>
      <c r="K35" s="769">
        <f t="shared" si="1"/>
        <v>58.5894</v>
      </c>
      <c r="L35" s="184"/>
      <c r="M35" s="185"/>
      <c r="N35" s="186">
        <f t="shared" si="2"/>
      </c>
      <c r="O35" s="187">
        <f t="shared" si="3"/>
      </c>
      <c r="P35" s="222"/>
      <c r="Q35" s="890">
        <f t="shared" si="4"/>
      </c>
      <c r="R35" s="223">
        <f t="shared" si="5"/>
      </c>
      <c r="S35" s="223">
        <f t="shared" si="6"/>
      </c>
      <c r="T35" s="894" t="str">
        <f t="shared" si="7"/>
        <v>--</v>
      </c>
      <c r="U35" s="895" t="str">
        <f t="shared" si="8"/>
        <v>--</v>
      </c>
      <c r="V35" s="214" t="str">
        <f t="shared" si="9"/>
        <v>--</v>
      </c>
      <c r="W35" s="215" t="str">
        <f t="shared" si="10"/>
        <v>--</v>
      </c>
      <c r="X35" s="216" t="str">
        <f t="shared" si="11"/>
        <v>--</v>
      </c>
      <c r="Y35" s="896" t="str">
        <f t="shared" si="12"/>
        <v>--</v>
      </c>
      <c r="Z35" s="897" t="str">
        <f t="shared" si="13"/>
        <v>--</v>
      </c>
      <c r="AA35" s="898" t="str">
        <f t="shared" si="14"/>
        <v>--</v>
      </c>
      <c r="AB35" s="899" t="str">
        <f t="shared" si="15"/>
        <v>--</v>
      </c>
      <c r="AC35" s="900" t="str">
        <f t="shared" si="16"/>
        <v>--</v>
      </c>
      <c r="AD35" s="891">
        <f t="shared" si="17"/>
      </c>
      <c r="AE35" s="16">
        <f t="shared" si="18"/>
      </c>
      <c r="AF35" s="777"/>
    </row>
    <row r="36" spans="2:32" s="5" customFormat="1" ht="16.5" customHeight="1">
      <c r="B36" s="50"/>
      <c r="C36" s="152"/>
      <c r="D36" s="152"/>
      <c r="E36" s="152"/>
      <c r="F36" s="146"/>
      <c r="G36" s="147"/>
      <c r="H36" s="822"/>
      <c r="I36" s="147"/>
      <c r="J36" s="768">
        <f t="shared" si="0"/>
        <v>20</v>
      </c>
      <c r="K36" s="769">
        <f t="shared" si="1"/>
        <v>58.5894</v>
      </c>
      <c r="L36" s="184"/>
      <c r="M36" s="185"/>
      <c r="N36" s="186">
        <f t="shared" si="2"/>
      </c>
      <c r="O36" s="187">
        <f t="shared" si="3"/>
      </c>
      <c r="P36" s="222"/>
      <c r="Q36" s="890">
        <f t="shared" si="4"/>
      </c>
      <c r="R36" s="223">
        <f t="shared" si="5"/>
      </c>
      <c r="S36" s="223">
        <f t="shared" si="6"/>
      </c>
      <c r="T36" s="894" t="str">
        <f t="shared" si="7"/>
        <v>--</v>
      </c>
      <c r="U36" s="895" t="str">
        <f t="shared" si="8"/>
        <v>--</v>
      </c>
      <c r="V36" s="214" t="str">
        <f t="shared" si="9"/>
        <v>--</v>
      </c>
      <c r="W36" s="215" t="str">
        <f t="shared" si="10"/>
        <v>--</v>
      </c>
      <c r="X36" s="216" t="str">
        <f t="shared" si="11"/>
        <v>--</v>
      </c>
      <c r="Y36" s="896" t="str">
        <f t="shared" si="12"/>
        <v>--</v>
      </c>
      <c r="Z36" s="897" t="str">
        <f t="shared" si="13"/>
        <v>--</v>
      </c>
      <c r="AA36" s="898" t="str">
        <f t="shared" si="14"/>
        <v>--</v>
      </c>
      <c r="AB36" s="899" t="str">
        <f t="shared" si="15"/>
        <v>--</v>
      </c>
      <c r="AC36" s="900" t="str">
        <f t="shared" si="16"/>
        <v>--</v>
      </c>
      <c r="AD36" s="891">
        <f t="shared" si="17"/>
      </c>
      <c r="AE36" s="16">
        <f t="shared" si="18"/>
      </c>
      <c r="AF36" s="777"/>
    </row>
    <row r="37" spans="2:32" s="5" customFormat="1" ht="16.5" customHeight="1">
      <c r="B37" s="50"/>
      <c r="C37" s="276"/>
      <c r="D37" s="276"/>
      <c r="E37" s="276"/>
      <c r="F37" s="146"/>
      <c r="G37" s="147"/>
      <c r="H37" s="822"/>
      <c r="I37" s="147"/>
      <c r="J37" s="768">
        <f t="shared" si="0"/>
        <v>20</v>
      </c>
      <c r="K37" s="769">
        <f t="shared" si="1"/>
        <v>58.5894</v>
      </c>
      <c r="L37" s="184"/>
      <c r="M37" s="185"/>
      <c r="N37" s="186">
        <f t="shared" si="2"/>
      </c>
      <c r="O37" s="187">
        <f t="shared" si="3"/>
      </c>
      <c r="P37" s="222"/>
      <c r="Q37" s="890">
        <f t="shared" si="4"/>
      </c>
      <c r="R37" s="223">
        <f t="shared" si="5"/>
      </c>
      <c r="S37" s="223">
        <f t="shared" si="6"/>
      </c>
      <c r="T37" s="894" t="str">
        <f t="shared" si="7"/>
        <v>--</v>
      </c>
      <c r="U37" s="895" t="str">
        <f t="shared" si="8"/>
        <v>--</v>
      </c>
      <c r="V37" s="214" t="str">
        <f t="shared" si="9"/>
        <v>--</v>
      </c>
      <c r="W37" s="215" t="str">
        <f t="shared" si="10"/>
        <v>--</v>
      </c>
      <c r="X37" s="216" t="str">
        <f t="shared" si="11"/>
        <v>--</v>
      </c>
      <c r="Y37" s="896" t="str">
        <f t="shared" si="12"/>
        <v>--</v>
      </c>
      <c r="Z37" s="897" t="str">
        <f t="shared" si="13"/>
        <v>--</v>
      </c>
      <c r="AA37" s="898" t="str">
        <f t="shared" si="14"/>
        <v>--</v>
      </c>
      <c r="AB37" s="899" t="str">
        <f t="shared" si="15"/>
        <v>--</v>
      </c>
      <c r="AC37" s="900" t="str">
        <f t="shared" si="16"/>
        <v>--</v>
      </c>
      <c r="AD37" s="891">
        <f t="shared" si="17"/>
      </c>
      <c r="AE37" s="16">
        <f t="shared" si="18"/>
      </c>
      <c r="AF37" s="777"/>
    </row>
    <row r="38" spans="2:32" s="5" customFormat="1" ht="16.5" customHeight="1">
      <c r="B38" s="50"/>
      <c r="C38" s="152"/>
      <c r="D38" s="152"/>
      <c r="E38" s="152"/>
      <c r="F38" s="146"/>
      <c r="G38" s="147"/>
      <c r="H38" s="822"/>
      <c r="I38" s="147"/>
      <c r="J38" s="768">
        <f t="shared" si="0"/>
        <v>20</v>
      </c>
      <c r="K38" s="769">
        <f t="shared" si="1"/>
        <v>58.5894</v>
      </c>
      <c r="L38" s="184"/>
      <c r="M38" s="185"/>
      <c r="N38" s="186">
        <f t="shared" si="2"/>
      </c>
      <c r="O38" s="187">
        <f t="shared" si="3"/>
      </c>
      <c r="P38" s="222"/>
      <c r="Q38" s="890">
        <f t="shared" si="4"/>
      </c>
      <c r="R38" s="223">
        <f t="shared" si="5"/>
      </c>
      <c r="S38" s="223">
        <f t="shared" si="6"/>
      </c>
      <c r="T38" s="894" t="str">
        <f t="shared" si="7"/>
        <v>--</v>
      </c>
      <c r="U38" s="895" t="str">
        <f t="shared" si="8"/>
        <v>--</v>
      </c>
      <c r="V38" s="214" t="str">
        <f t="shared" si="9"/>
        <v>--</v>
      </c>
      <c r="W38" s="215" t="str">
        <f t="shared" si="10"/>
        <v>--</v>
      </c>
      <c r="X38" s="216" t="str">
        <f t="shared" si="11"/>
        <v>--</v>
      </c>
      <c r="Y38" s="896" t="str">
        <f t="shared" si="12"/>
        <v>--</v>
      </c>
      <c r="Z38" s="897" t="str">
        <f t="shared" si="13"/>
        <v>--</v>
      </c>
      <c r="AA38" s="898" t="str">
        <f t="shared" si="14"/>
        <v>--</v>
      </c>
      <c r="AB38" s="899" t="str">
        <f t="shared" si="15"/>
        <v>--</v>
      </c>
      <c r="AC38" s="900" t="str">
        <f t="shared" si="16"/>
        <v>--</v>
      </c>
      <c r="AD38" s="891">
        <f t="shared" si="17"/>
      </c>
      <c r="AE38" s="16">
        <f t="shared" si="18"/>
      </c>
      <c r="AF38" s="777"/>
    </row>
    <row r="39" spans="2:32" s="5" customFormat="1" ht="16.5" customHeight="1">
      <c r="B39" s="50"/>
      <c r="C39" s="276"/>
      <c r="D39" s="276"/>
      <c r="E39" s="276"/>
      <c r="F39" s="146"/>
      <c r="G39" s="147"/>
      <c r="H39" s="822"/>
      <c r="I39" s="147"/>
      <c r="J39" s="768">
        <f t="shared" si="0"/>
        <v>20</v>
      </c>
      <c r="K39" s="769">
        <f t="shared" si="1"/>
        <v>58.5894</v>
      </c>
      <c r="L39" s="184"/>
      <c r="M39" s="185"/>
      <c r="N39" s="186">
        <f t="shared" si="2"/>
      </c>
      <c r="O39" s="187">
        <f t="shared" si="3"/>
      </c>
      <c r="P39" s="222"/>
      <c r="Q39" s="890">
        <f t="shared" si="4"/>
      </c>
      <c r="R39" s="223">
        <f t="shared" si="5"/>
      </c>
      <c r="S39" s="223">
        <f t="shared" si="6"/>
      </c>
      <c r="T39" s="894" t="str">
        <f t="shared" si="7"/>
        <v>--</v>
      </c>
      <c r="U39" s="895" t="str">
        <f t="shared" si="8"/>
        <v>--</v>
      </c>
      <c r="V39" s="214" t="str">
        <f t="shared" si="9"/>
        <v>--</v>
      </c>
      <c r="W39" s="215" t="str">
        <f t="shared" si="10"/>
        <v>--</v>
      </c>
      <c r="X39" s="216" t="str">
        <f t="shared" si="11"/>
        <v>--</v>
      </c>
      <c r="Y39" s="896" t="str">
        <f t="shared" si="12"/>
        <v>--</v>
      </c>
      <c r="Z39" s="897" t="str">
        <f t="shared" si="13"/>
        <v>--</v>
      </c>
      <c r="AA39" s="898" t="str">
        <f t="shared" si="14"/>
        <v>--</v>
      </c>
      <c r="AB39" s="899" t="str">
        <f t="shared" si="15"/>
        <v>--</v>
      </c>
      <c r="AC39" s="900" t="str">
        <f t="shared" si="16"/>
        <v>--</v>
      </c>
      <c r="AD39" s="891">
        <f t="shared" si="17"/>
      </c>
      <c r="AE39" s="16">
        <f t="shared" si="18"/>
      </c>
      <c r="AF39" s="777"/>
    </row>
    <row r="40" spans="2:32" s="5" customFormat="1" ht="16.5" customHeight="1" thickBot="1">
      <c r="B40" s="50"/>
      <c r="C40" s="152"/>
      <c r="D40" s="889"/>
      <c r="E40" s="152"/>
      <c r="F40" s="149"/>
      <c r="G40" s="230"/>
      <c r="H40" s="816"/>
      <c r="I40" s="231"/>
      <c r="J40" s="782"/>
      <c r="K40" s="783"/>
      <c r="L40" s="814"/>
      <c r="M40" s="814"/>
      <c r="N40" s="9"/>
      <c r="O40" s="9"/>
      <c r="P40" s="151"/>
      <c r="Q40" s="190"/>
      <c r="R40" s="151"/>
      <c r="S40" s="151"/>
      <c r="T40" s="784"/>
      <c r="U40" s="785"/>
      <c r="V40" s="232"/>
      <c r="W40" s="233"/>
      <c r="X40" s="234"/>
      <c r="Y40" s="786"/>
      <c r="Z40" s="787"/>
      <c r="AA40" s="788"/>
      <c r="AB40" s="235"/>
      <c r="AC40" s="236"/>
      <c r="AD40" s="789"/>
      <c r="AE40" s="237"/>
      <c r="AF40" s="777"/>
    </row>
    <row r="41" spans="2:32" s="5" customFormat="1" ht="16.5" customHeight="1" thickBot="1" thickTop="1">
      <c r="B41" s="50"/>
      <c r="C41" s="127" t="s">
        <v>25</v>
      </c>
      <c r="D41" s="73" t="s">
        <v>256</v>
      </c>
      <c r="E41" s="127"/>
      <c r="F41" s="128"/>
      <c r="G41" s="238"/>
      <c r="H41" s="203"/>
      <c r="I41" s="239"/>
      <c r="J41" s="203"/>
      <c r="K41" s="192"/>
      <c r="L41" s="192"/>
      <c r="M41" s="192"/>
      <c r="N41" s="192"/>
      <c r="O41" s="192"/>
      <c r="P41" s="192"/>
      <c r="Q41" s="240"/>
      <c r="R41" s="192"/>
      <c r="S41" s="192"/>
      <c r="T41" s="790">
        <f aca="true" t="shared" si="19" ref="T41:AC41">SUM(T18:T40)</f>
        <v>428.69565926928004</v>
      </c>
      <c r="U41" s="791">
        <f t="shared" si="19"/>
        <v>0</v>
      </c>
      <c r="V41" s="792">
        <f t="shared" si="19"/>
        <v>2842.8094116</v>
      </c>
      <c r="W41" s="792">
        <f t="shared" si="19"/>
        <v>8158.863011292001</v>
      </c>
      <c r="X41" s="792">
        <f t="shared" si="19"/>
        <v>0</v>
      </c>
      <c r="Y41" s="793">
        <f t="shared" si="19"/>
        <v>0</v>
      </c>
      <c r="Z41" s="793">
        <f t="shared" si="19"/>
        <v>0</v>
      </c>
      <c r="AA41" s="793">
        <f t="shared" si="19"/>
        <v>0</v>
      </c>
      <c r="AB41" s="241">
        <f t="shared" si="19"/>
        <v>0</v>
      </c>
      <c r="AC41" s="242">
        <f t="shared" si="19"/>
        <v>0</v>
      </c>
      <c r="AD41" s="243"/>
      <c r="AE41" s="244">
        <f>ROUND(SUM(AE18:AE40),2)</f>
        <v>11430.37</v>
      </c>
      <c r="AF41" s="777"/>
    </row>
    <row r="42" spans="2:32" s="5" customFormat="1" ht="16.5" customHeight="1" thickBot="1" thickTop="1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6.5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1"/>
  <sheetViews>
    <sheetView zoomScale="70" zoomScaleNormal="70" workbookViewId="0" topLeftCell="A13">
      <selection activeCell="H17" sqref="H17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7.851562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6.421875" style="0" bestFit="1" customWidth="1"/>
    <col min="19" max="19" width="5.00390625" style="0" hidden="1" customWidth="1"/>
    <col min="20" max="21" width="12.140625" style="0" hidden="1" customWidth="1"/>
    <col min="22" max="22" width="11.57421875" style="0" hidden="1" customWidth="1"/>
    <col min="23" max="23" width="13.421875" style="0" hidden="1" customWidth="1"/>
    <col min="24" max="25" width="10.57421875" style="0" hidden="1" customWidth="1"/>
    <col min="26" max="26" width="11.7109375" style="0" hidden="1" customWidth="1"/>
    <col min="27" max="27" width="12.8515625" style="0" hidden="1" customWidth="1"/>
    <col min="28" max="28" width="9.7109375" style="0" customWidth="1"/>
    <col min="29" max="29" width="15.7109375" style="0" customWidth="1"/>
    <col min="30" max="30" width="5.00390625" style="0" bestFit="1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5" t="str">
        <f>+'TOT-0110'!B2</f>
        <v>ANEXO II al Memorandum D.T.E.E. N°    679       / 2011           </v>
      </c>
      <c r="C2" s="245"/>
      <c r="D2" s="245"/>
      <c r="E2" s="245"/>
      <c r="F2" s="245"/>
      <c r="G2" s="1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6" t="s">
        <v>64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6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7" t="s">
        <v>58</v>
      </c>
      <c r="G8" s="105"/>
      <c r="H8" s="105"/>
      <c r="I8" s="248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9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45" customFormat="1" ht="30" customHeight="1">
      <c r="A10" s="839"/>
      <c r="B10" s="840"/>
      <c r="C10" s="843"/>
      <c r="D10" s="843"/>
      <c r="E10" s="839"/>
      <c r="F10" s="841" t="s">
        <v>151</v>
      </c>
      <c r="G10" s="839"/>
      <c r="H10" s="842"/>
      <c r="I10" s="843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43"/>
      <c r="U10" s="843"/>
      <c r="V10" s="843"/>
      <c r="W10" s="843"/>
      <c r="X10" s="843"/>
      <c r="Y10" s="843"/>
      <c r="Z10" s="843"/>
      <c r="AA10" s="843"/>
      <c r="AB10" s="843"/>
      <c r="AC10" s="843"/>
      <c r="AD10" s="844"/>
    </row>
    <row r="11" spans="1:30" s="850" customFormat="1" ht="9.75" customHeight="1">
      <c r="A11" s="846"/>
      <c r="B11" s="847"/>
      <c r="C11" s="848"/>
      <c r="D11" s="848"/>
      <c r="E11" s="846"/>
      <c r="G11" s="848"/>
      <c r="H11" s="848"/>
      <c r="I11" s="848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8"/>
      <c r="U11" s="848"/>
      <c r="V11" s="848"/>
      <c r="W11" s="848"/>
      <c r="X11" s="848"/>
      <c r="Y11" s="848"/>
      <c r="Z11" s="848"/>
      <c r="AA11" s="848"/>
      <c r="AB11" s="848"/>
      <c r="AC11" s="848"/>
      <c r="AD11" s="849"/>
    </row>
    <row r="12" spans="1:30" s="850" customFormat="1" ht="21" customHeight="1">
      <c r="A12" s="839"/>
      <c r="B12" s="840"/>
      <c r="C12" s="843"/>
      <c r="D12" s="843"/>
      <c r="E12" s="839"/>
      <c r="F12" s="851" t="s">
        <v>152</v>
      </c>
      <c r="G12" s="839"/>
      <c r="H12" s="839"/>
      <c r="I12" s="839"/>
      <c r="J12" s="852"/>
      <c r="K12" s="852"/>
      <c r="L12" s="852"/>
      <c r="M12" s="852"/>
      <c r="N12" s="852"/>
      <c r="O12" s="846"/>
      <c r="P12" s="846"/>
      <c r="Q12" s="846"/>
      <c r="R12" s="846"/>
      <c r="S12" s="846"/>
      <c r="T12" s="848"/>
      <c r="U12" s="848"/>
      <c r="V12" s="848"/>
      <c r="W12" s="848"/>
      <c r="X12" s="848"/>
      <c r="Y12" s="848"/>
      <c r="Z12" s="848"/>
      <c r="AA12" s="848"/>
      <c r="AB12" s="848"/>
      <c r="AC12" s="848"/>
      <c r="AD12" s="849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'TOT-0110'!B14</f>
        <v>Desde el 01 al 31 de enero de 2010</v>
      </c>
      <c r="C14" s="40"/>
      <c r="D14" s="40"/>
      <c r="E14" s="250"/>
      <c r="F14" s="112"/>
      <c r="G14" s="112"/>
      <c r="H14" s="112"/>
      <c r="I14" s="112"/>
      <c r="J14" s="112"/>
      <c r="K14" s="112"/>
      <c r="L14" s="112"/>
      <c r="M14" s="112"/>
      <c r="N14" s="112"/>
      <c r="O14" s="250"/>
      <c r="P14" s="250"/>
      <c r="Q14" s="250"/>
      <c r="R14" s="250"/>
      <c r="S14" s="250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51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52" t="s">
        <v>65</v>
      </c>
      <c r="G16" s="253"/>
      <c r="H16" s="254">
        <v>0.418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824">
        <v>200</v>
      </c>
      <c r="I17"/>
      <c r="J17" s="15"/>
      <c r="K17" s="201"/>
      <c r="L17" s="202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20">
        <v>3</v>
      </c>
      <c r="D18" s="920">
        <v>4</v>
      </c>
      <c r="E18" s="920">
        <v>5</v>
      </c>
      <c r="F18" s="920">
        <v>6</v>
      </c>
      <c r="G18" s="920">
        <v>7</v>
      </c>
      <c r="H18" s="920">
        <v>8</v>
      </c>
      <c r="I18" s="920">
        <v>9</v>
      </c>
      <c r="J18" s="920">
        <v>10</v>
      </c>
      <c r="K18" s="920">
        <v>11</v>
      </c>
      <c r="L18" s="920">
        <v>12</v>
      </c>
      <c r="M18" s="920">
        <v>13</v>
      </c>
      <c r="N18" s="920">
        <v>14</v>
      </c>
      <c r="O18" s="920">
        <v>15</v>
      </c>
      <c r="P18" s="920">
        <v>16</v>
      </c>
      <c r="Q18" s="920">
        <v>17</v>
      </c>
      <c r="R18" s="920">
        <v>18</v>
      </c>
      <c r="S18" s="920">
        <v>19</v>
      </c>
      <c r="T18" s="920">
        <v>20</v>
      </c>
      <c r="U18" s="920">
        <v>21</v>
      </c>
      <c r="V18" s="920">
        <v>22</v>
      </c>
      <c r="W18" s="920">
        <v>23</v>
      </c>
      <c r="X18" s="920">
        <v>24</v>
      </c>
      <c r="Y18" s="920">
        <v>25</v>
      </c>
      <c r="Z18" s="920">
        <v>26</v>
      </c>
      <c r="AA18" s="920">
        <v>27</v>
      </c>
      <c r="AB18" s="920">
        <v>28</v>
      </c>
      <c r="AC18" s="920">
        <v>29</v>
      </c>
      <c r="AD18" s="17"/>
    </row>
    <row r="19" spans="1:30" s="5" customFormat="1" ht="33.75" customHeight="1" thickBot="1" thickTop="1">
      <c r="A19" s="90"/>
      <c r="B19" s="95"/>
      <c r="C19" s="123" t="s">
        <v>13</v>
      </c>
      <c r="D19" s="84" t="s">
        <v>171</v>
      </c>
      <c r="E19" s="84" t="s">
        <v>172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9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46</v>
      </c>
      <c r="Q19" s="122" t="s">
        <v>32</v>
      </c>
      <c r="R19" s="118" t="s">
        <v>33</v>
      </c>
      <c r="S19" s="255" t="s">
        <v>37</v>
      </c>
      <c r="T19" s="256" t="s">
        <v>20</v>
      </c>
      <c r="U19" s="257" t="s">
        <v>21</v>
      </c>
      <c r="V19" s="207" t="s">
        <v>66</v>
      </c>
      <c r="W19" s="209"/>
      <c r="X19" s="258" t="s">
        <v>67</v>
      </c>
      <c r="Y19" s="259"/>
      <c r="Z19" s="260" t="s">
        <v>22</v>
      </c>
      <c r="AA19" s="261" t="s">
        <v>62</v>
      </c>
      <c r="AB19" s="132" t="s">
        <v>63</v>
      </c>
      <c r="AC19" s="121" t="s">
        <v>24</v>
      </c>
      <c r="AD19" s="17"/>
    </row>
    <row r="20" spans="1:30" s="5" customFormat="1" ht="16.5" customHeight="1" thickTop="1">
      <c r="A20" s="90"/>
      <c r="B20" s="95"/>
      <c r="C20" s="262"/>
      <c r="D20" s="262"/>
      <c r="E20" s="262"/>
      <c r="F20" s="262"/>
      <c r="G20" s="262"/>
      <c r="H20" s="262"/>
      <c r="I20" s="263"/>
      <c r="J20" s="264"/>
      <c r="K20" s="262"/>
      <c r="L20" s="262"/>
      <c r="M20" s="262"/>
      <c r="N20" s="262"/>
      <c r="O20" s="262"/>
      <c r="P20" s="178"/>
      <c r="Q20" s="265"/>
      <c r="R20" s="262"/>
      <c r="S20" s="266"/>
      <c r="T20" s="267"/>
      <c r="U20" s="268"/>
      <c r="V20" s="269"/>
      <c r="W20" s="270"/>
      <c r="X20" s="271"/>
      <c r="Y20" s="272"/>
      <c r="Z20" s="273"/>
      <c r="AA20" s="274"/>
      <c r="AB20" s="265"/>
      <c r="AC20" s="275"/>
      <c r="AD20" s="17"/>
    </row>
    <row r="21" spans="1:30" s="5" customFormat="1" ht="16.5" customHeight="1">
      <c r="A21" s="90"/>
      <c r="B21" s="95"/>
      <c r="C21" s="276"/>
      <c r="D21" s="276"/>
      <c r="E21" s="276"/>
      <c r="F21" s="276"/>
      <c r="G21" s="276"/>
      <c r="H21" s="276"/>
      <c r="I21" s="277"/>
      <c r="J21" s="278"/>
      <c r="K21" s="276"/>
      <c r="L21" s="276"/>
      <c r="M21" s="276"/>
      <c r="N21" s="276"/>
      <c r="O21" s="276"/>
      <c r="P21" s="181"/>
      <c r="Q21" s="279"/>
      <c r="R21" s="276"/>
      <c r="S21" s="280"/>
      <c r="T21" s="281"/>
      <c r="U21" s="282"/>
      <c r="V21" s="283"/>
      <c r="W21" s="284"/>
      <c r="X21" s="285"/>
      <c r="Y21" s="286"/>
      <c r="Z21" s="287"/>
      <c r="AA21" s="288"/>
      <c r="AB21" s="279"/>
      <c r="AC21" s="289"/>
      <c r="AD21" s="17"/>
    </row>
    <row r="22" spans="1:30" s="5" customFormat="1" ht="16.5" customHeight="1">
      <c r="A22" s="90"/>
      <c r="B22" s="95"/>
      <c r="C22" s="152">
        <v>35</v>
      </c>
      <c r="D22" s="152">
        <v>217193</v>
      </c>
      <c r="E22" s="152">
        <v>56</v>
      </c>
      <c r="F22" s="148" t="s">
        <v>204</v>
      </c>
      <c r="G22" s="290" t="s">
        <v>205</v>
      </c>
      <c r="H22" s="291">
        <v>800</v>
      </c>
      <c r="I22" s="292" t="s">
        <v>206</v>
      </c>
      <c r="J22" s="293">
        <f aca="true" t="shared" si="0" ref="J22:J36">H22*$H$16</f>
        <v>334.4</v>
      </c>
      <c r="K22" s="153">
        <v>40192.63055555556</v>
      </c>
      <c r="L22" s="153">
        <v>40192.643055555556</v>
      </c>
      <c r="M22" s="294">
        <f aca="true" t="shared" si="1" ref="M22:M36">IF(F22="","",(L22-K22)*24)</f>
        <v>0.2999999999301508</v>
      </c>
      <c r="N22" s="14">
        <f aca="true" t="shared" si="2" ref="N22:N36">IF(F22="","",ROUND((L22-K22)*24*60,0))</f>
        <v>18</v>
      </c>
      <c r="O22" s="154" t="s">
        <v>186</v>
      </c>
      <c r="P22" s="518" t="str">
        <f aca="true" t="shared" si="3" ref="P22:P36">IF(F22="","","--")</f>
        <v>--</v>
      </c>
      <c r="Q22" s="8" t="str">
        <f aca="true" t="shared" si="4" ref="Q22:Q36">IF(F22="","",IF(OR(O22="P",O22="RP"),"--","NO"))</f>
        <v>NO</v>
      </c>
      <c r="R22" s="223" t="str">
        <f aca="true" t="shared" si="5" ref="R22:R36">IF(F22="","","NO")</f>
        <v>NO</v>
      </c>
      <c r="S22" s="295">
        <f aca="true" t="shared" si="6" ref="S22:S36">$H$17*IF(OR(O22="P",O22="RP"),0.1,1)*IF(R22="SI",1,0.1)</f>
        <v>20</v>
      </c>
      <c r="T22" s="296" t="str">
        <f aca="true" t="shared" si="7" ref="T22:T36">IF(O22="P",J22*S22*ROUND(N22/60,2),"--")</f>
        <v>--</v>
      </c>
      <c r="U22" s="297" t="str">
        <f aca="true" t="shared" si="8" ref="U22:U36">IF(O22="RP",J22*S22*P22/100*ROUND(N22/60,2),"--")</f>
        <v>--</v>
      </c>
      <c r="V22" s="298">
        <f aca="true" t="shared" si="9" ref="V22:V36">IF(AND(O22="F",Q22="NO"),J22*S22,"--")</f>
        <v>6688</v>
      </c>
      <c r="W22" s="299">
        <f aca="true" t="shared" si="10" ref="W22:W36">IF(O22="F",J22*S22*ROUND(N22/60,2),"--")</f>
        <v>2006.3999999999999</v>
      </c>
      <c r="X22" s="300" t="str">
        <f aca="true" t="shared" si="11" ref="X22:X36">IF(AND(O22="R",Q22="NO"),J22*S22*P22/100,"--")</f>
        <v>--</v>
      </c>
      <c r="Y22" s="301" t="str">
        <f aca="true" t="shared" si="12" ref="Y22:Y36">IF(O22="R",J22*S22*P22/100*ROUND(N22/60,2),"--")</f>
        <v>--</v>
      </c>
      <c r="Z22" s="302" t="str">
        <f aca="true" t="shared" si="13" ref="Z22:Z36">IF(O22="RF",J22*S22*ROUND(N22/60,2),"--")</f>
        <v>--</v>
      </c>
      <c r="AA22" s="303" t="str">
        <f aca="true" t="shared" si="14" ref="AA22:AA36">IF(O22="RR",J22*S22*P22/100*ROUND(N22/60,2),"--")</f>
        <v>--</v>
      </c>
      <c r="AB22" s="304" t="s">
        <v>148</v>
      </c>
      <c r="AC22" s="16">
        <f aca="true" t="shared" si="15" ref="AC22:AC36">IF(F22="","",(SUM(T22:AA22)*IF(AB22="SI",1,2)*IF(AND(P22&lt;&gt;"--",O22="RF"),P22/100,1)))</f>
        <v>8694.4</v>
      </c>
      <c r="AD22" s="17"/>
    </row>
    <row r="23" spans="1:30" s="5" customFormat="1" ht="16.5" customHeight="1">
      <c r="A23" s="90"/>
      <c r="B23" s="95"/>
      <c r="C23" s="152">
        <v>36</v>
      </c>
      <c r="D23" s="276">
        <v>217196</v>
      </c>
      <c r="E23" s="276">
        <v>1885</v>
      </c>
      <c r="F23" s="148" t="s">
        <v>207</v>
      </c>
      <c r="G23" s="148" t="s">
        <v>205</v>
      </c>
      <c r="H23" s="291">
        <v>300</v>
      </c>
      <c r="I23" s="1104" t="s">
        <v>313</v>
      </c>
      <c r="J23" s="1105" t="e">
        <f>H23*$F$19</f>
        <v>#VALUE!</v>
      </c>
      <c r="K23" s="1106">
        <v>40194.118055555555</v>
      </c>
      <c r="L23" s="1106">
        <v>40209.99930555555</v>
      </c>
      <c r="M23" s="294">
        <f>IF(F23="","",(L23-K23)*24)</f>
        <v>381.1499999999651</v>
      </c>
      <c r="N23" s="14">
        <f>IF(F23="","",ROUND((L23-K23)*24*60,0))</f>
        <v>22869</v>
      </c>
      <c r="O23" s="154" t="s">
        <v>186</v>
      </c>
      <c r="P23" s="518" t="str">
        <f>IF(F23="","","--")</f>
        <v>--</v>
      </c>
      <c r="Q23" s="8" t="str">
        <f>IF(F23="","",IF(OR(O23="P",O23="RP"),"--","NO"))</f>
        <v>NO</v>
      </c>
      <c r="R23" s="223" t="str">
        <f>IF(F23="","","NO")</f>
        <v>NO</v>
      </c>
      <c r="S23" s="295">
        <f>$H$17*IF(OR(O23="P",O23="RP"),0.1,1)*IF(R23="SI",1,0.1)</f>
        <v>20</v>
      </c>
      <c r="T23" s="296" t="str">
        <f>IF(O23="P",J23*S23*ROUND(N23/60,2),"--")</f>
        <v>--</v>
      </c>
      <c r="U23" s="297" t="str">
        <f>IF(O23="RP",J23*S23*P23/100*ROUND(N23/60,2),"--")</f>
        <v>--</v>
      </c>
      <c r="V23" s="298" t="e">
        <f>IF(AND(O23="F",Q23="NO"),J23*S23,"--")</f>
        <v>#VALUE!</v>
      </c>
      <c r="W23" s="299" t="e">
        <f>IF(O23="F",J23*S23*ROUND(N23/60,2),"--")</f>
        <v>#VALUE!</v>
      </c>
      <c r="X23" s="300" t="str">
        <f>IF(AND(O23="R",Q23="NO"),J23*S23*P23/100,"--")</f>
        <v>--</v>
      </c>
      <c r="Y23" s="301" t="str">
        <f>IF(O23="R",J23*S23*P23/100*ROUND(N23/60,2),"--")</f>
        <v>--</v>
      </c>
      <c r="Z23" s="302" t="str">
        <f>IF(O23="RF",J23*S23*ROUND(N23/60,2),"--")</f>
        <v>--</v>
      </c>
      <c r="AA23" s="303" t="str">
        <f>IF(O23="RR",J23*S23*P23/100*ROUND(N23/60,2),"--")</f>
        <v>--</v>
      </c>
      <c r="AB23" s="304" t="str">
        <f>IF(F23="","","SI")</f>
        <v>SI</v>
      </c>
      <c r="AC23" s="16">
        <v>0</v>
      </c>
      <c r="AD23" s="1035" t="s">
        <v>260</v>
      </c>
    </row>
    <row r="24" spans="1:31" s="5" customFormat="1" ht="16.5" customHeight="1">
      <c r="A24" s="90"/>
      <c r="B24" s="95"/>
      <c r="C24" s="152">
        <v>37</v>
      </c>
      <c r="D24" s="152">
        <v>217522</v>
      </c>
      <c r="E24" s="152">
        <v>59</v>
      </c>
      <c r="F24" s="148" t="s">
        <v>208</v>
      </c>
      <c r="G24" s="290" t="s">
        <v>209</v>
      </c>
      <c r="H24" s="291">
        <v>150</v>
      </c>
      <c r="I24" s="292" t="s">
        <v>202</v>
      </c>
      <c r="J24" s="293">
        <f t="shared" si="0"/>
        <v>62.699999999999996</v>
      </c>
      <c r="K24" s="153">
        <v>40198.51944444444</v>
      </c>
      <c r="L24" s="153">
        <v>40198.520833333336</v>
      </c>
      <c r="M24" s="294">
        <f t="shared" si="1"/>
        <v>0.033333333441987634</v>
      </c>
      <c r="N24" s="14">
        <f t="shared" si="2"/>
        <v>2</v>
      </c>
      <c r="O24" s="154" t="s">
        <v>186</v>
      </c>
      <c r="P24" s="518" t="str">
        <f t="shared" si="3"/>
        <v>--</v>
      </c>
      <c r="Q24" s="8" t="str">
        <f t="shared" si="4"/>
        <v>NO</v>
      </c>
      <c r="R24" s="223" t="str">
        <f t="shared" si="5"/>
        <v>NO</v>
      </c>
      <c r="S24" s="295">
        <f t="shared" si="6"/>
        <v>20</v>
      </c>
      <c r="T24" s="296" t="str">
        <f t="shared" si="7"/>
        <v>--</v>
      </c>
      <c r="U24" s="297" t="str">
        <f t="shared" si="8"/>
        <v>--</v>
      </c>
      <c r="V24" s="298">
        <f t="shared" si="9"/>
        <v>1254</v>
      </c>
      <c r="W24" s="299">
        <f t="shared" si="10"/>
        <v>37.62</v>
      </c>
      <c r="X24" s="300" t="str">
        <f t="shared" si="11"/>
        <v>--</v>
      </c>
      <c r="Y24" s="301" t="str">
        <f t="shared" si="12"/>
        <v>--</v>
      </c>
      <c r="Z24" s="302" t="str">
        <f t="shared" si="13"/>
        <v>--</v>
      </c>
      <c r="AA24" s="303" t="str">
        <f t="shared" si="14"/>
        <v>--</v>
      </c>
      <c r="AB24" s="304" t="s">
        <v>148</v>
      </c>
      <c r="AC24" s="16">
        <f t="shared" si="15"/>
        <v>1291.62</v>
      </c>
      <c r="AD24" s="17"/>
      <c r="AE24" s="15"/>
    </row>
    <row r="25" spans="1:30" s="5" customFormat="1" ht="16.5" customHeight="1">
      <c r="A25" s="90"/>
      <c r="B25" s="95"/>
      <c r="C25" s="152">
        <v>39</v>
      </c>
      <c r="D25" s="152">
        <v>217965</v>
      </c>
      <c r="E25" s="152">
        <v>3265</v>
      </c>
      <c r="F25" s="148" t="s">
        <v>210</v>
      </c>
      <c r="G25" s="290" t="s">
        <v>268</v>
      </c>
      <c r="H25" s="291">
        <v>150</v>
      </c>
      <c r="I25" s="292" t="s">
        <v>121</v>
      </c>
      <c r="J25" s="293">
        <f t="shared" si="0"/>
        <v>62.699999999999996</v>
      </c>
      <c r="K25" s="153">
        <v>40205.85763888889</v>
      </c>
      <c r="L25" s="153">
        <v>40205.96527777778</v>
      </c>
      <c r="M25" s="294">
        <f t="shared" si="1"/>
        <v>2.5833333333721384</v>
      </c>
      <c r="N25" s="14">
        <f t="shared" si="2"/>
        <v>155</v>
      </c>
      <c r="O25" s="154" t="s">
        <v>78</v>
      </c>
      <c r="P25" s="518">
        <v>40</v>
      </c>
      <c r="Q25" s="8" t="str">
        <f t="shared" si="4"/>
        <v>NO</v>
      </c>
      <c r="R25" s="223" t="s">
        <v>148</v>
      </c>
      <c r="S25" s="295">
        <f t="shared" si="6"/>
        <v>200</v>
      </c>
      <c r="T25" s="296" t="str">
        <f>IF(O25="P",J25*S25*ROUND(N25/60,2),"--")</f>
        <v>--</v>
      </c>
      <c r="U25" s="297" t="str">
        <f>IF(O25="RP",J25*S25*P25/100*ROUND(N25/60,2),"--")</f>
        <v>--</v>
      </c>
      <c r="V25" s="298" t="str">
        <f>IF(AND(O25="F",Q25="NO"),J25*S25,"--")</f>
        <v>--</v>
      </c>
      <c r="W25" s="299" t="str">
        <f>IF(O25="F",J25*S25*ROUND(N25/60,2),"--")</f>
        <v>--</v>
      </c>
      <c r="X25" s="300">
        <f>IF(AND(O25="R",Q25="NO"),J25*S25*P25/100,"--")</f>
        <v>5016</v>
      </c>
      <c r="Y25" s="301">
        <f>IF(O25="R",J25*S25*P25/100*ROUND(N25/60,2),"--")</f>
        <v>12941.28</v>
      </c>
      <c r="Z25" s="302" t="str">
        <f>IF(O25="RF",J25*S25*ROUND(N25/60,2),"--")</f>
        <v>--</v>
      </c>
      <c r="AA25" s="303" t="str">
        <f>IF(O25="RR",J25*S25*P25/100*ROUND(N25/60,2),"--")</f>
        <v>--</v>
      </c>
      <c r="AB25" s="304" t="s">
        <v>148</v>
      </c>
      <c r="AC25" s="16">
        <f>IF(F25="","",(SUM(T25:AA25)*IF(AB25="SI",1,2)*IF(AND(P25&lt;&gt;"--",O25="RF"),P25/100,1)))</f>
        <v>17957.28</v>
      </c>
      <c r="AD25" s="17"/>
    </row>
    <row r="26" spans="1:30" s="5" customFormat="1" ht="16.5" customHeight="1">
      <c r="A26" s="90"/>
      <c r="B26" s="95"/>
      <c r="C26" s="152">
        <v>40</v>
      </c>
      <c r="D26" s="276">
        <v>217776</v>
      </c>
      <c r="E26" s="276">
        <v>3759</v>
      </c>
      <c r="F26" s="148" t="s">
        <v>210</v>
      </c>
      <c r="G26" s="290" t="s">
        <v>205</v>
      </c>
      <c r="H26" s="291">
        <v>150</v>
      </c>
      <c r="I26" s="292" t="s">
        <v>121</v>
      </c>
      <c r="J26" s="293">
        <f t="shared" si="0"/>
        <v>62.699999999999996</v>
      </c>
      <c r="K26" s="153">
        <v>40206.72361111111</v>
      </c>
      <c r="L26" s="153">
        <v>40206.84027777778</v>
      </c>
      <c r="M26" s="294">
        <f t="shared" si="1"/>
        <v>2.800000000046566</v>
      </c>
      <c r="N26" s="14">
        <f t="shared" si="2"/>
        <v>168</v>
      </c>
      <c r="O26" s="154" t="s">
        <v>186</v>
      </c>
      <c r="P26" s="518" t="str">
        <f t="shared" si="3"/>
        <v>--</v>
      </c>
      <c r="Q26" s="8" t="str">
        <f t="shared" si="4"/>
        <v>NO</v>
      </c>
      <c r="R26" s="223" t="s">
        <v>148</v>
      </c>
      <c r="S26" s="295">
        <f t="shared" si="6"/>
        <v>200</v>
      </c>
      <c r="T26" s="296" t="str">
        <f t="shared" si="7"/>
        <v>--</v>
      </c>
      <c r="U26" s="297" t="str">
        <f t="shared" si="8"/>
        <v>--</v>
      </c>
      <c r="V26" s="298">
        <f t="shared" si="9"/>
        <v>12540</v>
      </c>
      <c r="W26" s="299">
        <f t="shared" si="10"/>
        <v>35112</v>
      </c>
      <c r="X26" s="300" t="str">
        <f t="shared" si="11"/>
        <v>--</v>
      </c>
      <c r="Y26" s="301" t="str">
        <f t="shared" si="12"/>
        <v>--</v>
      </c>
      <c r="Z26" s="302" t="str">
        <f t="shared" si="13"/>
        <v>--</v>
      </c>
      <c r="AA26" s="303" t="str">
        <f t="shared" si="14"/>
        <v>--</v>
      </c>
      <c r="AB26" s="304" t="s">
        <v>148</v>
      </c>
      <c r="AC26" s="16">
        <f t="shared" si="15"/>
        <v>47652</v>
      </c>
      <c r="AD26" s="17"/>
    </row>
    <row r="27" spans="1:30" s="5" customFormat="1" ht="16.5" customHeight="1">
      <c r="A27" s="90"/>
      <c r="B27" s="95"/>
      <c r="C27" s="152"/>
      <c r="D27" s="152"/>
      <c r="E27" s="152"/>
      <c r="F27" s="148"/>
      <c r="G27" s="306"/>
      <c r="H27" s="291"/>
      <c r="I27" s="292"/>
      <c r="J27" s="293">
        <f t="shared" si="0"/>
        <v>0</v>
      </c>
      <c r="K27" s="153"/>
      <c r="L27" s="153"/>
      <c r="M27" s="294">
        <f t="shared" si="1"/>
      </c>
      <c r="N27" s="14">
        <f t="shared" si="2"/>
      </c>
      <c r="O27" s="154"/>
      <c r="P27" s="518">
        <f t="shared" si="3"/>
      </c>
      <c r="Q27" s="8">
        <f t="shared" si="4"/>
      </c>
      <c r="R27" s="223">
        <f t="shared" si="5"/>
      </c>
      <c r="S27" s="295">
        <f t="shared" si="6"/>
        <v>20</v>
      </c>
      <c r="T27" s="296" t="str">
        <f t="shared" si="7"/>
        <v>--</v>
      </c>
      <c r="U27" s="297" t="str">
        <f t="shared" si="8"/>
        <v>--</v>
      </c>
      <c r="V27" s="298" t="str">
        <f t="shared" si="9"/>
        <v>--</v>
      </c>
      <c r="W27" s="299" t="str">
        <f t="shared" si="10"/>
        <v>--</v>
      </c>
      <c r="X27" s="300" t="str">
        <f t="shared" si="11"/>
        <v>--</v>
      </c>
      <c r="Y27" s="301" t="str">
        <f t="shared" si="12"/>
        <v>--</v>
      </c>
      <c r="Z27" s="302" t="str">
        <f t="shared" si="13"/>
        <v>--</v>
      </c>
      <c r="AA27" s="303" t="str">
        <f t="shared" si="14"/>
        <v>--</v>
      </c>
      <c r="AB27" s="304">
        <f aca="true" t="shared" si="16" ref="AB27:AB36">IF(F27="","","SI")</f>
      </c>
      <c r="AC27" s="16">
        <f t="shared" si="15"/>
      </c>
      <c r="AD27" s="17"/>
    </row>
    <row r="28" spans="1:30" s="5" customFormat="1" ht="16.5" customHeight="1">
      <c r="A28" s="90"/>
      <c r="B28" s="95"/>
      <c r="C28" s="276"/>
      <c r="D28" s="276"/>
      <c r="E28" s="276"/>
      <c r="F28" s="148"/>
      <c r="G28" s="306"/>
      <c r="H28" s="291"/>
      <c r="I28" s="292"/>
      <c r="J28" s="293">
        <f t="shared" si="0"/>
        <v>0</v>
      </c>
      <c r="K28" s="153"/>
      <c r="L28" s="153"/>
      <c r="M28" s="294">
        <f t="shared" si="1"/>
      </c>
      <c r="N28" s="14">
        <f t="shared" si="2"/>
      </c>
      <c r="O28" s="154"/>
      <c r="P28" s="518">
        <f t="shared" si="3"/>
      </c>
      <c r="Q28" s="8">
        <f t="shared" si="4"/>
      </c>
      <c r="R28" s="223">
        <f t="shared" si="5"/>
      </c>
      <c r="S28" s="295">
        <f t="shared" si="6"/>
        <v>20</v>
      </c>
      <c r="T28" s="296" t="str">
        <f t="shared" si="7"/>
        <v>--</v>
      </c>
      <c r="U28" s="297" t="str">
        <f t="shared" si="8"/>
        <v>--</v>
      </c>
      <c r="V28" s="298" t="str">
        <f t="shared" si="9"/>
        <v>--</v>
      </c>
      <c r="W28" s="299" t="str">
        <f t="shared" si="10"/>
        <v>--</v>
      </c>
      <c r="X28" s="300" t="str">
        <f t="shared" si="11"/>
        <v>--</v>
      </c>
      <c r="Y28" s="301" t="str">
        <f t="shared" si="12"/>
        <v>--</v>
      </c>
      <c r="Z28" s="302" t="str">
        <f t="shared" si="13"/>
        <v>--</v>
      </c>
      <c r="AA28" s="303" t="str">
        <f t="shared" si="14"/>
        <v>--</v>
      </c>
      <c r="AB28" s="304">
        <f t="shared" si="16"/>
      </c>
      <c r="AC28" s="16">
        <f t="shared" si="15"/>
      </c>
      <c r="AD28" s="17"/>
    </row>
    <row r="29" spans="1:30" s="5" customFormat="1" ht="16.5" customHeight="1">
      <c r="A29" s="90"/>
      <c r="B29" s="95"/>
      <c r="C29" s="152"/>
      <c r="D29" s="152"/>
      <c r="E29" s="1035"/>
      <c r="F29" s="1101"/>
      <c r="G29" s="1102"/>
      <c r="H29" s="1103"/>
      <c r="I29" s="1104"/>
      <c r="J29" s="1105" t="e">
        <f>H29*$F$19</f>
        <v>#VALUE!</v>
      </c>
      <c r="K29" s="1106"/>
      <c r="L29" s="1106"/>
      <c r="M29" s="294"/>
      <c r="N29" s="14"/>
      <c r="O29" s="154"/>
      <c r="P29" s="518"/>
      <c r="Q29" s="8"/>
      <c r="R29" s="223"/>
      <c r="S29" s="295">
        <f t="shared" si="6"/>
        <v>20</v>
      </c>
      <c r="T29" s="296" t="str">
        <f t="shared" si="7"/>
        <v>--</v>
      </c>
      <c r="U29" s="297" t="str">
        <f t="shared" si="8"/>
        <v>--</v>
      </c>
      <c r="V29" s="298" t="str">
        <f t="shared" si="9"/>
        <v>--</v>
      </c>
      <c r="W29" s="299" t="str">
        <f t="shared" si="10"/>
        <v>--</v>
      </c>
      <c r="X29" s="300" t="str">
        <f t="shared" si="11"/>
        <v>--</v>
      </c>
      <c r="Y29" s="301" t="str">
        <f t="shared" si="12"/>
        <v>--</v>
      </c>
      <c r="Z29" s="302" t="str">
        <f t="shared" si="13"/>
        <v>--</v>
      </c>
      <c r="AA29" s="303" t="str">
        <f t="shared" si="14"/>
        <v>--</v>
      </c>
      <c r="AB29" s="304"/>
      <c r="AC29" s="16"/>
      <c r="AD29" s="17"/>
    </row>
    <row r="30" spans="1:30" s="5" customFormat="1" ht="16.5" customHeight="1">
      <c r="A30" s="90"/>
      <c r="B30" s="95"/>
      <c r="C30" s="276"/>
      <c r="D30" s="276"/>
      <c r="E30" s="1035"/>
      <c r="F30" s="1101"/>
      <c r="G30" s="1102"/>
      <c r="H30" s="1103"/>
      <c r="I30" s="1104"/>
      <c r="J30" s="1105"/>
      <c r="K30" s="1106"/>
      <c r="L30" s="1106"/>
      <c r="M30" s="294"/>
      <c r="N30" s="14"/>
      <c r="O30" s="154"/>
      <c r="P30" s="518"/>
      <c r="Q30" s="8"/>
      <c r="R30" s="223"/>
      <c r="S30" s="295"/>
      <c r="T30" s="296"/>
      <c r="U30" s="297"/>
      <c r="V30" s="298"/>
      <c r="W30" s="299"/>
      <c r="X30" s="300"/>
      <c r="Y30" s="301"/>
      <c r="Z30" s="302"/>
      <c r="AA30" s="303"/>
      <c r="AB30" s="304"/>
      <c r="AC30" s="16"/>
      <c r="AD30" s="17"/>
    </row>
    <row r="31" spans="1:30" s="5" customFormat="1" ht="16.5" customHeight="1">
      <c r="A31" s="90"/>
      <c r="B31" s="95"/>
      <c r="C31" s="152"/>
      <c r="D31" s="152"/>
      <c r="E31" s="152"/>
      <c r="F31" s="148"/>
      <c r="G31" s="306"/>
      <c r="H31" s="291"/>
      <c r="I31" s="292"/>
      <c r="J31" s="293">
        <f t="shared" si="0"/>
        <v>0</v>
      </c>
      <c r="K31" s="153"/>
      <c r="L31" s="153"/>
      <c r="M31" s="294">
        <f t="shared" si="1"/>
      </c>
      <c r="N31" s="14">
        <f t="shared" si="2"/>
      </c>
      <c r="O31" s="154"/>
      <c r="P31" s="518">
        <f t="shared" si="3"/>
      </c>
      <c r="Q31" s="8">
        <f t="shared" si="4"/>
      </c>
      <c r="R31" s="223">
        <f t="shared" si="5"/>
      </c>
      <c r="S31" s="295">
        <f t="shared" si="6"/>
        <v>20</v>
      </c>
      <c r="T31" s="296" t="str">
        <f t="shared" si="7"/>
        <v>--</v>
      </c>
      <c r="U31" s="297" t="str">
        <f t="shared" si="8"/>
        <v>--</v>
      </c>
      <c r="V31" s="298" t="str">
        <f t="shared" si="9"/>
        <v>--</v>
      </c>
      <c r="W31" s="299" t="str">
        <f t="shared" si="10"/>
        <v>--</v>
      </c>
      <c r="X31" s="300" t="str">
        <f t="shared" si="11"/>
        <v>--</v>
      </c>
      <c r="Y31" s="301" t="str">
        <f t="shared" si="12"/>
        <v>--</v>
      </c>
      <c r="Z31" s="302" t="str">
        <f t="shared" si="13"/>
        <v>--</v>
      </c>
      <c r="AA31" s="303" t="str">
        <f t="shared" si="14"/>
        <v>--</v>
      </c>
      <c r="AB31" s="304">
        <f t="shared" si="16"/>
      </c>
      <c r="AC31" s="16">
        <f t="shared" si="15"/>
      </c>
      <c r="AD31" s="17"/>
    </row>
    <row r="32" spans="1:30" s="5" customFormat="1" ht="16.5" customHeight="1">
      <c r="A32" s="90"/>
      <c r="B32" s="95"/>
      <c r="C32" s="276"/>
      <c r="D32" s="276"/>
      <c r="E32" s="276"/>
      <c r="F32" s="148"/>
      <c r="G32" s="306"/>
      <c r="H32" s="291"/>
      <c r="I32" s="292"/>
      <c r="J32" s="293">
        <f t="shared" si="0"/>
        <v>0</v>
      </c>
      <c r="K32" s="153"/>
      <c r="L32" s="153"/>
      <c r="M32" s="294">
        <f t="shared" si="1"/>
      </c>
      <c r="N32" s="14">
        <f t="shared" si="2"/>
      </c>
      <c r="O32" s="154"/>
      <c r="P32" s="518">
        <f t="shared" si="3"/>
      </c>
      <c r="Q32" s="8">
        <f t="shared" si="4"/>
      </c>
      <c r="R32" s="223">
        <f t="shared" si="5"/>
      </c>
      <c r="S32" s="295">
        <f t="shared" si="6"/>
        <v>20</v>
      </c>
      <c r="T32" s="296" t="str">
        <f t="shared" si="7"/>
        <v>--</v>
      </c>
      <c r="U32" s="297" t="str">
        <f t="shared" si="8"/>
        <v>--</v>
      </c>
      <c r="V32" s="298" t="str">
        <f t="shared" si="9"/>
        <v>--</v>
      </c>
      <c r="W32" s="299" t="str">
        <f t="shared" si="10"/>
        <v>--</v>
      </c>
      <c r="X32" s="300" t="str">
        <f t="shared" si="11"/>
        <v>--</v>
      </c>
      <c r="Y32" s="301" t="str">
        <f t="shared" si="12"/>
        <v>--</v>
      </c>
      <c r="Z32" s="302" t="str">
        <f t="shared" si="13"/>
        <v>--</v>
      </c>
      <c r="AA32" s="303" t="str">
        <f t="shared" si="14"/>
        <v>--</v>
      </c>
      <c r="AB32" s="304">
        <f t="shared" si="16"/>
      </c>
      <c r="AC32" s="16">
        <f t="shared" si="15"/>
      </c>
      <c r="AD32" s="17"/>
    </row>
    <row r="33" spans="1:30" s="5" customFormat="1" ht="16.5" customHeight="1">
      <c r="A33" s="90"/>
      <c r="B33" s="95"/>
      <c r="C33" s="152"/>
      <c r="D33" s="152"/>
      <c r="E33" s="152"/>
      <c r="F33" s="148"/>
      <c r="G33" s="306"/>
      <c r="H33" s="291"/>
      <c r="I33" s="292"/>
      <c r="J33" s="293">
        <f t="shared" si="0"/>
        <v>0</v>
      </c>
      <c r="K33" s="153"/>
      <c r="L33" s="153"/>
      <c r="M33" s="294">
        <f t="shared" si="1"/>
      </c>
      <c r="N33" s="14">
        <f t="shared" si="2"/>
      </c>
      <c r="O33" s="154"/>
      <c r="P33" s="518">
        <f t="shared" si="3"/>
      </c>
      <c r="Q33" s="8">
        <f t="shared" si="4"/>
      </c>
      <c r="R33" s="223">
        <f t="shared" si="5"/>
      </c>
      <c r="S33" s="295">
        <f t="shared" si="6"/>
        <v>20</v>
      </c>
      <c r="T33" s="296" t="str">
        <f t="shared" si="7"/>
        <v>--</v>
      </c>
      <c r="U33" s="297" t="str">
        <f t="shared" si="8"/>
        <v>--</v>
      </c>
      <c r="V33" s="298" t="str">
        <f t="shared" si="9"/>
        <v>--</v>
      </c>
      <c r="W33" s="299" t="str">
        <f t="shared" si="10"/>
        <v>--</v>
      </c>
      <c r="X33" s="300" t="str">
        <f t="shared" si="11"/>
        <v>--</v>
      </c>
      <c r="Y33" s="301" t="str">
        <f t="shared" si="12"/>
        <v>--</v>
      </c>
      <c r="Z33" s="302" t="str">
        <f t="shared" si="13"/>
        <v>--</v>
      </c>
      <c r="AA33" s="303" t="str">
        <f t="shared" si="14"/>
        <v>--</v>
      </c>
      <c r="AB33" s="304">
        <f t="shared" si="16"/>
      </c>
      <c r="AC33" s="16">
        <f t="shared" si="15"/>
      </c>
      <c r="AD33" s="17"/>
    </row>
    <row r="34" spans="1:30" s="5" customFormat="1" ht="16.5" customHeight="1">
      <c r="A34" s="90"/>
      <c r="B34" s="95"/>
      <c r="C34" s="276"/>
      <c r="D34" s="276"/>
      <c r="E34" s="276"/>
      <c r="F34" s="148"/>
      <c r="G34" s="306"/>
      <c r="H34" s="291"/>
      <c r="I34" s="292"/>
      <c r="J34" s="293">
        <f t="shared" si="0"/>
        <v>0</v>
      </c>
      <c r="K34" s="153"/>
      <c r="L34" s="153"/>
      <c r="M34" s="294">
        <f t="shared" si="1"/>
      </c>
      <c r="N34" s="14">
        <f t="shared" si="2"/>
      </c>
      <c r="O34" s="154"/>
      <c r="P34" s="518">
        <f t="shared" si="3"/>
      </c>
      <c r="Q34" s="8">
        <f t="shared" si="4"/>
      </c>
      <c r="R34" s="223">
        <f t="shared" si="5"/>
      </c>
      <c r="S34" s="295">
        <f t="shared" si="6"/>
        <v>20</v>
      </c>
      <c r="T34" s="296" t="str">
        <f t="shared" si="7"/>
        <v>--</v>
      </c>
      <c r="U34" s="297" t="str">
        <f t="shared" si="8"/>
        <v>--</v>
      </c>
      <c r="V34" s="298" t="str">
        <f t="shared" si="9"/>
        <v>--</v>
      </c>
      <c r="W34" s="299" t="str">
        <f t="shared" si="10"/>
        <v>--</v>
      </c>
      <c r="X34" s="300" t="str">
        <f t="shared" si="11"/>
        <v>--</v>
      </c>
      <c r="Y34" s="301" t="str">
        <f t="shared" si="12"/>
        <v>--</v>
      </c>
      <c r="Z34" s="302" t="str">
        <f t="shared" si="13"/>
        <v>--</v>
      </c>
      <c r="AA34" s="303" t="str">
        <f t="shared" si="14"/>
        <v>--</v>
      </c>
      <c r="AB34" s="304">
        <f t="shared" si="16"/>
      </c>
      <c r="AC34" s="16">
        <f t="shared" si="15"/>
      </c>
      <c r="AD34" s="17"/>
    </row>
    <row r="35" spans="1:30" s="5" customFormat="1" ht="16.5" customHeight="1">
      <c r="A35" s="90"/>
      <c r="B35" s="95"/>
      <c r="C35" s="152"/>
      <c r="D35" s="152"/>
      <c r="E35" s="152"/>
      <c r="F35" s="148"/>
      <c r="G35" s="306"/>
      <c r="H35" s="291"/>
      <c r="I35" s="292"/>
      <c r="J35" s="293">
        <f t="shared" si="0"/>
        <v>0</v>
      </c>
      <c r="K35" s="153"/>
      <c r="L35" s="153"/>
      <c r="M35" s="294">
        <f t="shared" si="1"/>
      </c>
      <c r="N35" s="14">
        <f t="shared" si="2"/>
      </c>
      <c r="O35" s="154"/>
      <c r="P35" s="518">
        <f t="shared" si="3"/>
      </c>
      <c r="Q35" s="8">
        <f t="shared" si="4"/>
      </c>
      <c r="R35" s="223">
        <f t="shared" si="5"/>
      </c>
      <c r="S35" s="295">
        <f t="shared" si="6"/>
        <v>20</v>
      </c>
      <c r="T35" s="296" t="str">
        <f t="shared" si="7"/>
        <v>--</v>
      </c>
      <c r="U35" s="297" t="str">
        <f t="shared" si="8"/>
        <v>--</v>
      </c>
      <c r="V35" s="298" t="str">
        <f t="shared" si="9"/>
        <v>--</v>
      </c>
      <c r="W35" s="299" t="str">
        <f t="shared" si="10"/>
        <v>--</v>
      </c>
      <c r="X35" s="300" t="str">
        <f t="shared" si="11"/>
        <v>--</v>
      </c>
      <c r="Y35" s="301" t="str">
        <f t="shared" si="12"/>
        <v>--</v>
      </c>
      <c r="Z35" s="302" t="str">
        <f t="shared" si="13"/>
        <v>--</v>
      </c>
      <c r="AA35" s="303" t="str">
        <f t="shared" si="14"/>
        <v>--</v>
      </c>
      <c r="AB35" s="304">
        <f t="shared" si="16"/>
      </c>
      <c r="AC35" s="16">
        <f t="shared" si="15"/>
      </c>
      <c r="AD35" s="17"/>
    </row>
    <row r="36" spans="1:30" s="5" customFormat="1" ht="16.5" customHeight="1">
      <c r="A36" s="90"/>
      <c r="B36" s="95"/>
      <c r="C36" s="276"/>
      <c r="D36" s="276"/>
      <c r="E36" s="276"/>
      <c r="F36" s="148"/>
      <c r="G36" s="306"/>
      <c r="H36" s="291"/>
      <c r="I36" s="292"/>
      <c r="J36" s="293">
        <f t="shared" si="0"/>
        <v>0</v>
      </c>
      <c r="K36" s="153"/>
      <c r="L36" s="153"/>
      <c r="M36" s="294">
        <f t="shared" si="1"/>
      </c>
      <c r="N36" s="14">
        <f t="shared" si="2"/>
      </c>
      <c r="O36" s="154"/>
      <c r="P36" s="518">
        <f t="shared" si="3"/>
      </c>
      <c r="Q36" s="8">
        <f t="shared" si="4"/>
      </c>
      <c r="R36" s="223">
        <f t="shared" si="5"/>
      </c>
      <c r="S36" s="295">
        <f t="shared" si="6"/>
        <v>20</v>
      </c>
      <c r="T36" s="296" t="str">
        <f t="shared" si="7"/>
        <v>--</v>
      </c>
      <c r="U36" s="297" t="str">
        <f t="shared" si="8"/>
        <v>--</v>
      </c>
      <c r="V36" s="298" t="str">
        <f t="shared" si="9"/>
        <v>--</v>
      </c>
      <c r="W36" s="299" t="str">
        <f t="shared" si="10"/>
        <v>--</v>
      </c>
      <c r="X36" s="300" t="str">
        <f t="shared" si="11"/>
        <v>--</v>
      </c>
      <c r="Y36" s="301" t="str">
        <f t="shared" si="12"/>
        <v>--</v>
      </c>
      <c r="Z36" s="302" t="str">
        <f t="shared" si="13"/>
        <v>--</v>
      </c>
      <c r="AA36" s="303" t="str">
        <f t="shared" si="14"/>
        <v>--</v>
      </c>
      <c r="AB36" s="304">
        <f t="shared" si="16"/>
      </c>
      <c r="AC36" s="16">
        <f t="shared" si="15"/>
      </c>
      <c r="AD36" s="17"/>
    </row>
    <row r="37" spans="1:30" s="5" customFormat="1" ht="16.5" customHeight="1" thickBot="1">
      <c r="A37" s="90"/>
      <c r="B37" s="95"/>
      <c r="C37" s="152"/>
      <c r="D37" s="152"/>
      <c r="E37" s="152"/>
      <c r="F37" s="307"/>
      <c r="G37" s="308"/>
      <c r="H37" s="307"/>
      <c r="I37" s="309"/>
      <c r="J37" s="131"/>
      <c r="K37" s="155"/>
      <c r="L37" s="310"/>
      <c r="M37" s="311"/>
      <c r="N37" s="312"/>
      <c r="O37" s="158"/>
      <c r="P37" s="190"/>
      <c r="Q37" s="156"/>
      <c r="R37" s="158"/>
      <c r="S37" s="313"/>
      <c r="T37" s="314"/>
      <c r="U37" s="315"/>
      <c r="V37" s="316"/>
      <c r="W37" s="317"/>
      <c r="X37" s="318"/>
      <c r="Y37" s="319"/>
      <c r="Z37" s="320"/>
      <c r="AA37" s="321"/>
      <c r="AB37" s="322"/>
      <c r="AC37" s="323"/>
      <c r="AD37" s="17"/>
    </row>
    <row r="38" spans="1:30" s="5" customFormat="1" ht="16.5" customHeight="1" thickBot="1" thickTop="1">
      <c r="A38" s="90"/>
      <c r="B38" s="95"/>
      <c r="C38" s="127" t="s">
        <v>25</v>
      </c>
      <c r="D38" s="951" t="s">
        <v>258</v>
      </c>
      <c r="E38" s="127"/>
      <c r="F38" s="128"/>
      <c r="G38" s="15"/>
      <c r="H38" s="15"/>
      <c r="I38" s="15"/>
      <c r="J38" s="15"/>
      <c r="K38" s="15"/>
      <c r="L38" s="99"/>
      <c r="M38" s="15"/>
      <c r="N38" s="15"/>
      <c r="O38" s="15"/>
      <c r="P38" s="15"/>
      <c r="Q38" s="15"/>
      <c r="R38" s="15"/>
      <c r="S38" s="15"/>
      <c r="T38" s="324">
        <f aca="true" t="shared" si="17" ref="T38:AA38">SUM(T20:T37)</f>
        <v>0</v>
      </c>
      <c r="U38" s="325">
        <f t="shared" si="17"/>
        <v>0</v>
      </c>
      <c r="V38" s="326" t="e">
        <f t="shared" si="17"/>
        <v>#VALUE!</v>
      </c>
      <c r="W38" s="327" t="e">
        <f t="shared" si="17"/>
        <v>#VALUE!</v>
      </c>
      <c r="X38" s="328">
        <f t="shared" si="17"/>
        <v>5016</v>
      </c>
      <c r="Y38" s="329">
        <f t="shared" si="17"/>
        <v>12941.28</v>
      </c>
      <c r="Z38" s="330">
        <f t="shared" si="17"/>
        <v>0</v>
      </c>
      <c r="AA38" s="331">
        <f t="shared" si="17"/>
        <v>0</v>
      </c>
      <c r="AB38" s="90"/>
      <c r="AC38" s="332">
        <f>ROUND(SUM(AC20:AC37),2)</f>
        <v>75595.3</v>
      </c>
      <c r="AD38" s="17"/>
    </row>
    <row r="39" spans="1:30" s="5" customFormat="1" ht="16.5" customHeight="1" thickTop="1">
      <c r="A39" s="90"/>
      <c r="B39" s="95"/>
      <c r="C39" s="1035" t="s">
        <v>260</v>
      </c>
      <c r="D39" s="1036" t="s">
        <v>294</v>
      </c>
      <c r="E39" s="1027"/>
      <c r="F39" s="128"/>
      <c r="G39" s="15"/>
      <c r="H39" s="15"/>
      <c r="I39" s="15"/>
      <c r="J39" s="15"/>
      <c r="K39" s="15"/>
      <c r="L39" s="99"/>
      <c r="M39" s="15"/>
      <c r="N39" s="15"/>
      <c r="O39" s="15"/>
      <c r="P39" s="15"/>
      <c r="Q39" s="15"/>
      <c r="R39" s="15"/>
      <c r="S39" s="15"/>
      <c r="T39" s="1028"/>
      <c r="U39" s="1029"/>
      <c r="V39" s="1030"/>
      <c r="W39" s="1030"/>
      <c r="X39" s="1031"/>
      <c r="Y39" s="1031"/>
      <c r="Z39" s="1032"/>
      <c r="AA39" s="1033"/>
      <c r="AB39" s="90"/>
      <c r="AC39" s="1034"/>
      <c r="AD39" s="17"/>
    </row>
    <row r="40" spans="1:31" ht="16.5" customHeight="1" thickBot="1">
      <c r="A40" s="2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3"/>
      <c r="AE40" s="172"/>
    </row>
    <row r="41" spans="1:31" ht="16.5" customHeight="1" thickTop="1">
      <c r="A41" s="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</row>
    <row r="42" spans="1:31" ht="16.5" customHeight="1">
      <c r="A42" s="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</row>
    <row r="43" spans="1:31" ht="16.5" customHeight="1">
      <c r="A43" s="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6:31" ht="16.5" customHeight="1"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6:31" ht="16.5" customHeight="1"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6:31" ht="16.5" customHeight="1"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6:31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6:31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ht="16.5" customHeight="1">
      <c r="AE149" s="172"/>
    </row>
    <row r="150" ht="16.5" customHeight="1">
      <c r="AE150" s="172"/>
    </row>
    <row r="151" ht="16.5" customHeight="1">
      <c r="AE151" s="172"/>
    </row>
    <row r="152" ht="16.5" customHeight="1"/>
    <row r="153" ht="16.5" customHeight="1"/>
    <row r="154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AE154"/>
  <sheetViews>
    <sheetView zoomScale="70" zoomScaleNormal="70" workbookViewId="0" topLeftCell="A6">
      <selection activeCell="G20" sqref="G20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5" t="str">
        <f>+'TOT-0110'!B2</f>
        <v>ANEXO II al Memorandum D.T.E.E. N°    679       / 2011           </v>
      </c>
      <c r="C2" s="245"/>
      <c r="D2" s="245"/>
      <c r="E2" s="245"/>
      <c r="F2" s="245"/>
      <c r="G2" s="1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6" t="s">
        <v>64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6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7" t="s">
        <v>58</v>
      </c>
      <c r="G8" s="105"/>
      <c r="H8" s="105"/>
      <c r="I8" s="248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9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31" customFormat="1" ht="33" customHeight="1">
      <c r="A10" s="855"/>
      <c r="B10" s="863"/>
      <c r="C10" s="866"/>
      <c r="D10" s="866"/>
      <c r="E10" s="855"/>
      <c r="F10" s="864" t="s">
        <v>151</v>
      </c>
      <c r="G10" s="855"/>
      <c r="H10" s="865"/>
      <c r="I10" s="866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33"/>
    </row>
    <row r="11" spans="1:30" s="834" customFormat="1" ht="33" customHeight="1">
      <c r="A11" s="859"/>
      <c r="B11" s="867"/>
      <c r="C11" s="869"/>
      <c r="D11" s="869"/>
      <c r="E11" s="859"/>
      <c r="F11" s="868" t="s">
        <v>277</v>
      </c>
      <c r="G11" s="869"/>
      <c r="H11" s="869"/>
      <c r="I11" s="870"/>
      <c r="J11" s="869"/>
      <c r="K11" s="869"/>
      <c r="L11" s="869"/>
      <c r="M11" s="869"/>
      <c r="N11" s="869"/>
      <c r="O11" s="859"/>
      <c r="P11" s="859"/>
      <c r="Q11" s="859"/>
      <c r="R11" s="859"/>
      <c r="S11" s="85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38"/>
    </row>
    <row r="12" spans="1:30" s="36" customFormat="1" ht="19.5">
      <c r="A12" s="109"/>
      <c r="B12" s="37" t="str">
        <f>'TOT-0110'!B14</f>
        <v>Desde el 01 al 31 de enero de 2010</v>
      </c>
      <c r="C12" s="40"/>
      <c r="D12" s="40"/>
      <c r="E12" s="250"/>
      <c r="F12" s="112"/>
      <c r="G12" s="112"/>
      <c r="H12" s="112"/>
      <c r="I12" s="112"/>
      <c r="J12" s="112"/>
      <c r="K12" s="112"/>
      <c r="L12" s="112"/>
      <c r="M12" s="112"/>
      <c r="N12" s="112"/>
      <c r="O12" s="250"/>
      <c r="P12" s="250"/>
      <c r="Q12" s="250"/>
      <c r="R12" s="250"/>
      <c r="S12" s="250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251"/>
    </row>
    <row r="13" spans="1:30" s="5" customFormat="1" ht="13.5" thickBot="1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90"/>
      <c r="B14" s="95"/>
      <c r="C14" s="15"/>
      <c r="D14" s="15"/>
      <c r="E14" s="90"/>
      <c r="F14" s="252" t="s">
        <v>65</v>
      </c>
      <c r="G14" s="253"/>
      <c r="H14" s="254">
        <v>0.118</v>
      </c>
      <c r="J14" s="90"/>
      <c r="K14" s="90"/>
      <c r="L14" s="90"/>
      <c r="M14" s="90"/>
      <c r="N14" s="90"/>
      <c r="O14" s="90"/>
      <c r="P14" s="9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90"/>
      <c r="B15" s="95"/>
      <c r="C15" s="15"/>
      <c r="D15" s="15"/>
      <c r="E15" s="90"/>
      <c r="F15" s="110" t="s">
        <v>26</v>
      </c>
      <c r="G15" s="111"/>
      <c r="H15" s="824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9"/>
      <c r="X15" s="99"/>
      <c r="Y15" s="99"/>
      <c r="Z15" s="99"/>
      <c r="AA15" s="99"/>
      <c r="AB15" s="99"/>
      <c r="AC15" s="90"/>
      <c r="AD15" s="17"/>
    </row>
    <row r="16" spans="1:30" s="5" customFormat="1" ht="16.5" customHeight="1" thickBot="1" thickTop="1">
      <c r="A16" s="90"/>
      <c r="B16" s="95"/>
      <c r="C16" s="920">
        <v>3</v>
      </c>
      <c r="D16" s="920">
        <v>4</v>
      </c>
      <c r="E16" s="920">
        <v>5</v>
      </c>
      <c r="F16" s="920">
        <v>6</v>
      </c>
      <c r="G16" s="920">
        <v>7</v>
      </c>
      <c r="H16" s="920">
        <v>8</v>
      </c>
      <c r="I16" s="920">
        <v>9</v>
      </c>
      <c r="J16" s="920">
        <v>10</v>
      </c>
      <c r="K16" s="920">
        <v>11</v>
      </c>
      <c r="L16" s="920">
        <v>12</v>
      </c>
      <c r="M16" s="920">
        <v>13</v>
      </c>
      <c r="N16" s="920">
        <v>14</v>
      </c>
      <c r="O16" s="920">
        <v>15</v>
      </c>
      <c r="P16" s="920">
        <v>16</v>
      </c>
      <c r="Q16" s="920">
        <v>17</v>
      </c>
      <c r="R16" s="920">
        <v>18</v>
      </c>
      <c r="S16" s="920">
        <v>19</v>
      </c>
      <c r="T16" s="920">
        <v>20</v>
      </c>
      <c r="U16" s="920">
        <v>21</v>
      </c>
      <c r="V16" s="920">
        <v>22</v>
      </c>
      <c r="W16" s="920">
        <v>23</v>
      </c>
      <c r="X16" s="920">
        <v>24</v>
      </c>
      <c r="Y16" s="920">
        <v>25</v>
      </c>
      <c r="Z16" s="920">
        <v>26</v>
      </c>
      <c r="AA16" s="920">
        <v>27</v>
      </c>
      <c r="AB16" s="920">
        <v>28</v>
      </c>
      <c r="AC16" s="920">
        <v>29</v>
      </c>
      <c r="AD16" s="17"/>
    </row>
    <row r="17" spans="1:30" s="5" customFormat="1" ht="33.75" customHeight="1" thickBot="1" thickTop="1">
      <c r="A17" s="90"/>
      <c r="B17" s="95"/>
      <c r="C17" s="123" t="s">
        <v>13</v>
      </c>
      <c r="D17" s="84" t="s">
        <v>171</v>
      </c>
      <c r="E17" s="84" t="s">
        <v>172</v>
      </c>
      <c r="F17" s="119" t="s">
        <v>27</v>
      </c>
      <c r="G17" s="118" t="s">
        <v>28</v>
      </c>
      <c r="H17" s="120" t="s">
        <v>29</v>
      </c>
      <c r="I17" s="121" t="s">
        <v>14</v>
      </c>
      <c r="J17" s="129" t="s">
        <v>16</v>
      </c>
      <c r="K17" s="118" t="s">
        <v>17</v>
      </c>
      <c r="L17" s="118" t="s">
        <v>18</v>
      </c>
      <c r="M17" s="119" t="s">
        <v>30</v>
      </c>
      <c r="N17" s="119" t="s">
        <v>31</v>
      </c>
      <c r="O17" s="88" t="s">
        <v>19</v>
      </c>
      <c r="P17" s="88" t="s">
        <v>46</v>
      </c>
      <c r="Q17" s="122" t="s">
        <v>32</v>
      </c>
      <c r="R17" s="118" t="s">
        <v>33</v>
      </c>
      <c r="S17" s="255" t="s">
        <v>37</v>
      </c>
      <c r="T17" s="256" t="s">
        <v>20</v>
      </c>
      <c r="U17" s="257" t="s">
        <v>21</v>
      </c>
      <c r="V17" s="207" t="s">
        <v>66</v>
      </c>
      <c r="W17" s="209"/>
      <c r="X17" s="258" t="s">
        <v>67</v>
      </c>
      <c r="Y17" s="259"/>
      <c r="Z17" s="260" t="s">
        <v>22</v>
      </c>
      <c r="AA17" s="261" t="s">
        <v>62</v>
      </c>
      <c r="AB17" s="132" t="s">
        <v>63</v>
      </c>
      <c r="AC17" s="121" t="s">
        <v>24</v>
      </c>
      <c r="AD17" s="17"/>
    </row>
    <row r="18" spans="1:30" s="5" customFormat="1" ht="16.5" customHeight="1" thickTop="1">
      <c r="A18" s="90"/>
      <c r="B18" s="95"/>
      <c r="C18" s="262"/>
      <c r="D18" s="262"/>
      <c r="E18" s="262"/>
      <c r="F18" s="262"/>
      <c r="G18" s="262"/>
      <c r="H18" s="262"/>
      <c r="I18" s="263"/>
      <c r="J18" s="264"/>
      <c r="K18" s="262"/>
      <c r="L18" s="262"/>
      <c r="M18" s="262"/>
      <c r="N18" s="262"/>
      <c r="O18" s="262"/>
      <c r="P18" s="178"/>
      <c r="Q18" s="265"/>
      <c r="R18" s="262"/>
      <c r="S18" s="266"/>
      <c r="T18" s="267"/>
      <c r="U18" s="268"/>
      <c r="V18" s="269"/>
      <c r="W18" s="270"/>
      <c r="X18" s="271"/>
      <c r="Y18" s="272"/>
      <c r="Z18" s="273"/>
      <c r="AA18" s="274"/>
      <c r="AB18" s="265"/>
      <c r="AC18" s="275"/>
      <c r="AD18" s="17"/>
    </row>
    <row r="19" spans="1:30" s="5" customFormat="1" ht="16.5" customHeight="1">
      <c r="A19" s="90"/>
      <c r="B19" s="95"/>
      <c r="C19" s="276"/>
      <c r="D19" s="276"/>
      <c r="E19" s="276"/>
      <c r="F19" s="276"/>
      <c r="G19" s="276"/>
      <c r="H19" s="276"/>
      <c r="I19" s="277"/>
      <c r="J19" s="278"/>
      <c r="K19" s="276"/>
      <c r="L19" s="276"/>
      <c r="M19" s="276"/>
      <c r="N19" s="276"/>
      <c r="O19" s="276"/>
      <c r="P19" s="181"/>
      <c r="Q19" s="279"/>
      <c r="R19" s="276"/>
      <c r="S19" s="280"/>
      <c r="T19" s="281"/>
      <c r="U19" s="282"/>
      <c r="V19" s="283"/>
      <c r="W19" s="284"/>
      <c r="X19" s="285"/>
      <c r="Y19" s="286"/>
      <c r="Z19" s="287"/>
      <c r="AA19" s="288"/>
      <c r="AB19" s="279"/>
      <c r="AC19" s="289"/>
      <c r="AD19" s="17"/>
    </row>
    <row r="20" spans="1:30" s="5" customFormat="1" ht="16.5" customHeight="1">
      <c r="A20" s="90"/>
      <c r="B20" s="95"/>
      <c r="C20" s="276">
        <v>41</v>
      </c>
      <c r="D20" s="276">
        <v>217518</v>
      </c>
      <c r="E20" s="152">
        <v>2599</v>
      </c>
      <c r="F20" s="148" t="s">
        <v>211</v>
      </c>
      <c r="G20" s="290" t="s">
        <v>212</v>
      </c>
      <c r="H20" s="291">
        <v>300</v>
      </c>
      <c r="I20" s="292" t="s">
        <v>202</v>
      </c>
      <c r="J20" s="293">
        <f aca="true" t="shared" si="0" ref="J20:J39">H20*$H$14</f>
        <v>35.4</v>
      </c>
      <c r="K20" s="153">
        <v>40198.36041666667</v>
      </c>
      <c r="L20" s="153">
        <v>40198.65069444444</v>
      </c>
      <c r="M20" s="294">
        <f aca="true" t="shared" si="1" ref="M20:M39">IF(F20="","",(L20-K20)*24)</f>
        <v>6.966666666499805</v>
      </c>
      <c r="N20" s="14">
        <f aca="true" t="shared" si="2" ref="N20:N39">IF(F20="","",ROUND((L20-K20)*24*60,0))</f>
        <v>418</v>
      </c>
      <c r="O20" s="154" t="s">
        <v>191</v>
      </c>
      <c r="P20" s="518" t="str">
        <f aca="true" t="shared" si="3" ref="P20:P39">IF(F20="","","--")</f>
        <v>--</v>
      </c>
      <c r="Q20" s="8" t="str">
        <f>IF(F20="","",IF(OR(O20="P",O20="RP"),"--","NO"))</f>
        <v>--</v>
      </c>
      <c r="R20" s="223" t="str">
        <f aca="true" t="shared" si="4" ref="R20:R39">IF(F20="","","NO")</f>
        <v>NO</v>
      </c>
      <c r="S20" s="295">
        <f aca="true" t="shared" si="5" ref="S20:S39">$H$15*IF(OR(O20="P",O20="RP"),0.1,1)*IF(R20="SI",1,0.1)</f>
        <v>2</v>
      </c>
      <c r="T20" s="901">
        <f aca="true" t="shared" si="6" ref="T20:T39">IF(O20="P",J20*S20*ROUND(N20/60,2),"--")</f>
        <v>493.47599999999994</v>
      </c>
      <c r="U20" s="902" t="str">
        <f aca="true" t="shared" si="7" ref="U20:U39">IF(O20="RP",J20*S20*P20/100*ROUND(N20/60,2),"--")</f>
        <v>--</v>
      </c>
      <c r="V20" s="298" t="str">
        <f aca="true" t="shared" si="8" ref="V20:V39">IF(AND(O20="F",Q20="NO"),J20*S20,"--")</f>
        <v>--</v>
      </c>
      <c r="W20" s="299" t="str">
        <f aca="true" t="shared" si="9" ref="W20:W39">IF(O20="F",J20*S20*ROUND(N20/60,2),"--")</f>
        <v>--</v>
      </c>
      <c r="X20" s="300" t="str">
        <f aca="true" t="shared" si="10" ref="X20:X39">IF(AND(O20="R",Q20="NO"),J20*S20*P20/100,"--")</f>
        <v>--</v>
      </c>
      <c r="Y20" s="301" t="str">
        <f aca="true" t="shared" si="11" ref="Y20:Y39">IF(O20="R",J20*S20*P20/100*ROUND(N20/60,2),"--")</f>
        <v>--</v>
      </c>
      <c r="Z20" s="302" t="str">
        <f aca="true" t="shared" si="12" ref="Z20:Z39">IF(O20="RF",J20*S20*ROUND(N20/60,2),"--")</f>
        <v>--</v>
      </c>
      <c r="AA20" s="303" t="str">
        <f aca="true" t="shared" si="13" ref="AA20:AA39">IF(O20="RR",J20*S20*P20/100*ROUND(N20/60,2),"--")</f>
        <v>--</v>
      </c>
      <c r="AB20" s="903" t="s">
        <v>148</v>
      </c>
      <c r="AC20" s="305">
        <f aca="true" t="shared" si="14" ref="AC20:AC39">IF(F20="","",SUM(T20:AA20)*IF(AB20="SI",1,2)*IF(AND(P22&lt;&gt;"--",O22="RF"),P22/100,1))</f>
        <v>493.47599999999994</v>
      </c>
      <c r="AD20" s="17"/>
    </row>
    <row r="21" spans="1:30" s="5" customFormat="1" ht="16.5" customHeight="1">
      <c r="A21" s="90"/>
      <c r="B21" s="95"/>
      <c r="C21" s="276">
        <v>42</v>
      </c>
      <c r="D21" s="276">
        <v>217524</v>
      </c>
      <c r="E21" s="276">
        <v>2599</v>
      </c>
      <c r="F21" s="148" t="s">
        <v>211</v>
      </c>
      <c r="G21" s="290" t="s">
        <v>212</v>
      </c>
      <c r="H21" s="291">
        <v>300</v>
      </c>
      <c r="I21" s="292" t="s">
        <v>202</v>
      </c>
      <c r="J21" s="293">
        <f t="shared" si="0"/>
        <v>35.4</v>
      </c>
      <c r="K21" s="153">
        <v>40199.36319444444</v>
      </c>
      <c r="L21" s="153">
        <v>40199.61875</v>
      </c>
      <c r="M21" s="294">
        <f t="shared" si="1"/>
        <v>6.133333333418705</v>
      </c>
      <c r="N21" s="14">
        <f t="shared" si="2"/>
        <v>368</v>
      </c>
      <c r="O21" s="154" t="s">
        <v>191</v>
      </c>
      <c r="P21" s="518" t="str">
        <f t="shared" si="3"/>
        <v>--</v>
      </c>
      <c r="Q21" s="8" t="str">
        <f aca="true" t="shared" si="15" ref="Q21:Q39">IF(F21="","",IF(O21="P","--","NO"))</f>
        <v>--</v>
      </c>
      <c r="R21" s="223" t="str">
        <f t="shared" si="4"/>
        <v>NO</v>
      </c>
      <c r="S21" s="295">
        <f t="shared" si="5"/>
        <v>2</v>
      </c>
      <c r="T21" s="901">
        <f t="shared" si="6"/>
        <v>434.00399999999996</v>
      </c>
      <c r="U21" s="902" t="str">
        <f t="shared" si="7"/>
        <v>--</v>
      </c>
      <c r="V21" s="298" t="str">
        <f t="shared" si="8"/>
        <v>--</v>
      </c>
      <c r="W21" s="299" t="str">
        <f t="shared" si="9"/>
        <v>--</v>
      </c>
      <c r="X21" s="300" t="str">
        <f t="shared" si="10"/>
        <v>--</v>
      </c>
      <c r="Y21" s="301" t="str">
        <f t="shared" si="11"/>
        <v>--</v>
      </c>
      <c r="Z21" s="302" t="str">
        <f t="shared" si="12"/>
        <v>--</v>
      </c>
      <c r="AA21" s="303" t="str">
        <f t="shared" si="13"/>
        <v>--</v>
      </c>
      <c r="AB21" s="903" t="s">
        <v>148</v>
      </c>
      <c r="AC21" s="305">
        <f t="shared" si="14"/>
        <v>434.00399999999996</v>
      </c>
      <c r="AD21" s="17"/>
    </row>
    <row r="22" spans="1:30" s="5" customFormat="1" ht="16.5" customHeight="1">
      <c r="A22" s="90"/>
      <c r="B22" s="95"/>
      <c r="C22" s="276"/>
      <c r="D22" s="276"/>
      <c r="E22" s="152"/>
      <c r="F22" s="148"/>
      <c r="G22" s="290"/>
      <c r="H22" s="291"/>
      <c r="I22" s="292"/>
      <c r="J22" s="293">
        <f t="shared" si="0"/>
        <v>0</v>
      </c>
      <c r="K22" s="153"/>
      <c r="L22" s="153"/>
      <c r="M22" s="294">
        <f t="shared" si="1"/>
      </c>
      <c r="N22" s="14">
        <f t="shared" si="2"/>
      </c>
      <c r="O22" s="154"/>
      <c r="P22" s="518">
        <f t="shared" si="3"/>
      </c>
      <c r="Q22" s="8">
        <f t="shared" si="15"/>
      </c>
      <c r="R22" s="223">
        <f t="shared" si="4"/>
      </c>
      <c r="S22" s="295">
        <f t="shared" si="5"/>
        <v>20</v>
      </c>
      <c r="T22" s="901" t="str">
        <f t="shared" si="6"/>
        <v>--</v>
      </c>
      <c r="U22" s="902" t="str">
        <f t="shared" si="7"/>
        <v>--</v>
      </c>
      <c r="V22" s="298" t="str">
        <f t="shared" si="8"/>
        <v>--</v>
      </c>
      <c r="W22" s="299" t="str">
        <f t="shared" si="9"/>
        <v>--</v>
      </c>
      <c r="X22" s="300" t="str">
        <f t="shared" si="10"/>
        <v>--</v>
      </c>
      <c r="Y22" s="301" t="str">
        <f t="shared" si="11"/>
        <v>--</v>
      </c>
      <c r="Z22" s="302" t="str">
        <f t="shared" si="12"/>
        <v>--</v>
      </c>
      <c r="AA22" s="303" t="str">
        <f t="shared" si="13"/>
        <v>--</v>
      </c>
      <c r="AB22" s="903">
        <f aca="true" t="shared" si="16" ref="AB22:AB39">IF(F22="","","SI")</f>
      </c>
      <c r="AC22" s="305">
        <f t="shared" si="14"/>
      </c>
      <c r="AD22" s="17"/>
    </row>
    <row r="23" spans="1:30" s="5" customFormat="1" ht="16.5" customHeight="1">
      <c r="A23" s="90"/>
      <c r="B23" s="95"/>
      <c r="C23" s="276"/>
      <c r="D23" s="276"/>
      <c r="E23" s="276"/>
      <c r="F23" s="148"/>
      <c r="G23" s="290"/>
      <c r="H23" s="291"/>
      <c r="I23" s="292"/>
      <c r="J23" s="293">
        <f t="shared" si="0"/>
        <v>0</v>
      </c>
      <c r="K23" s="153"/>
      <c r="L23" s="153"/>
      <c r="M23" s="294">
        <f t="shared" si="1"/>
      </c>
      <c r="N23" s="14">
        <f t="shared" si="2"/>
      </c>
      <c r="O23" s="154"/>
      <c r="P23" s="518">
        <f t="shared" si="3"/>
      </c>
      <c r="Q23" s="8">
        <f t="shared" si="15"/>
      </c>
      <c r="R23" s="223">
        <f t="shared" si="4"/>
      </c>
      <c r="S23" s="295">
        <f t="shared" si="5"/>
        <v>20</v>
      </c>
      <c r="T23" s="901" t="str">
        <f t="shared" si="6"/>
        <v>--</v>
      </c>
      <c r="U23" s="902" t="str">
        <f t="shared" si="7"/>
        <v>--</v>
      </c>
      <c r="V23" s="298" t="str">
        <f t="shared" si="8"/>
        <v>--</v>
      </c>
      <c r="W23" s="299" t="str">
        <f t="shared" si="9"/>
        <v>--</v>
      </c>
      <c r="X23" s="300" t="str">
        <f t="shared" si="10"/>
        <v>--</v>
      </c>
      <c r="Y23" s="301" t="str">
        <f t="shared" si="11"/>
        <v>--</v>
      </c>
      <c r="Z23" s="302" t="str">
        <f t="shared" si="12"/>
        <v>--</v>
      </c>
      <c r="AA23" s="303" t="str">
        <f t="shared" si="13"/>
        <v>--</v>
      </c>
      <c r="AB23" s="903">
        <f t="shared" si="16"/>
      </c>
      <c r="AC23" s="305">
        <f t="shared" si="14"/>
      </c>
      <c r="AD23" s="17"/>
    </row>
    <row r="24" spans="1:30" s="5" customFormat="1" ht="16.5" customHeight="1">
      <c r="A24" s="90"/>
      <c r="B24" s="95"/>
      <c r="C24" s="276"/>
      <c r="D24" s="276"/>
      <c r="E24" s="152"/>
      <c r="F24" s="148"/>
      <c r="G24" s="290"/>
      <c r="H24" s="291"/>
      <c r="I24" s="292"/>
      <c r="J24" s="293">
        <f t="shared" si="0"/>
        <v>0</v>
      </c>
      <c r="K24" s="153"/>
      <c r="L24" s="153"/>
      <c r="M24" s="294">
        <f t="shared" si="1"/>
      </c>
      <c r="N24" s="14">
        <f t="shared" si="2"/>
      </c>
      <c r="O24" s="154"/>
      <c r="P24" s="518">
        <f t="shared" si="3"/>
      </c>
      <c r="Q24" s="8">
        <f t="shared" si="15"/>
      </c>
      <c r="R24" s="223">
        <f t="shared" si="4"/>
      </c>
      <c r="S24" s="295">
        <f t="shared" si="5"/>
        <v>20</v>
      </c>
      <c r="T24" s="901" t="str">
        <f t="shared" si="6"/>
        <v>--</v>
      </c>
      <c r="U24" s="902" t="str">
        <f t="shared" si="7"/>
        <v>--</v>
      </c>
      <c r="V24" s="298" t="str">
        <f t="shared" si="8"/>
        <v>--</v>
      </c>
      <c r="W24" s="299" t="str">
        <f t="shared" si="9"/>
        <v>--</v>
      </c>
      <c r="X24" s="300" t="str">
        <f t="shared" si="10"/>
        <v>--</v>
      </c>
      <c r="Y24" s="301" t="str">
        <f t="shared" si="11"/>
        <v>--</v>
      </c>
      <c r="Z24" s="302" t="str">
        <f t="shared" si="12"/>
        <v>--</v>
      </c>
      <c r="AA24" s="303" t="str">
        <f t="shared" si="13"/>
        <v>--</v>
      </c>
      <c r="AB24" s="903">
        <f t="shared" si="16"/>
      </c>
      <c r="AC24" s="305">
        <f t="shared" si="14"/>
      </c>
      <c r="AD24" s="17"/>
    </row>
    <row r="25" spans="1:30" s="5" customFormat="1" ht="16.5" customHeight="1">
      <c r="A25" s="90"/>
      <c r="B25" s="95"/>
      <c r="C25" s="276"/>
      <c r="D25" s="276"/>
      <c r="E25" s="276"/>
      <c r="F25" s="148"/>
      <c r="G25" s="290"/>
      <c r="H25" s="291"/>
      <c r="I25" s="292"/>
      <c r="J25" s="293">
        <f t="shared" si="0"/>
        <v>0</v>
      </c>
      <c r="K25" s="153"/>
      <c r="L25" s="153"/>
      <c r="M25" s="294">
        <f t="shared" si="1"/>
      </c>
      <c r="N25" s="14">
        <f t="shared" si="2"/>
      </c>
      <c r="O25" s="154"/>
      <c r="P25" s="518">
        <f t="shared" si="3"/>
      </c>
      <c r="Q25" s="8">
        <f t="shared" si="15"/>
      </c>
      <c r="R25" s="223">
        <f t="shared" si="4"/>
      </c>
      <c r="S25" s="295">
        <f t="shared" si="5"/>
        <v>20</v>
      </c>
      <c r="T25" s="901" t="str">
        <f t="shared" si="6"/>
        <v>--</v>
      </c>
      <c r="U25" s="902" t="str">
        <f t="shared" si="7"/>
        <v>--</v>
      </c>
      <c r="V25" s="298" t="str">
        <f t="shared" si="8"/>
        <v>--</v>
      </c>
      <c r="W25" s="299" t="str">
        <f t="shared" si="9"/>
        <v>--</v>
      </c>
      <c r="X25" s="300" t="str">
        <f t="shared" si="10"/>
        <v>--</v>
      </c>
      <c r="Y25" s="301" t="str">
        <f t="shared" si="11"/>
        <v>--</v>
      </c>
      <c r="Z25" s="302" t="str">
        <f t="shared" si="12"/>
        <v>--</v>
      </c>
      <c r="AA25" s="303" t="str">
        <f t="shared" si="13"/>
        <v>--</v>
      </c>
      <c r="AB25" s="903">
        <f t="shared" si="16"/>
      </c>
      <c r="AC25" s="305">
        <f t="shared" si="14"/>
      </c>
      <c r="AD25" s="17"/>
    </row>
    <row r="26" spans="1:31" s="5" customFormat="1" ht="16.5" customHeight="1">
      <c r="A26" s="90"/>
      <c r="B26" s="95"/>
      <c r="C26" s="276"/>
      <c r="D26" s="276"/>
      <c r="E26" s="152"/>
      <c r="F26" s="148"/>
      <c r="G26" s="290"/>
      <c r="H26" s="291"/>
      <c r="I26" s="292"/>
      <c r="J26" s="293">
        <f t="shared" si="0"/>
        <v>0</v>
      </c>
      <c r="K26" s="153"/>
      <c r="L26" s="153"/>
      <c r="M26" s="294">
        <f t="shared" si="1"/>
      </c>
      <c r="N26" s="14">
        <f t="shared" si="2"/>
      </c>
      <c r="O26" s="154"/>
      <c r="P26" s="518">
        <f t="shared" si="3"/>
      </c>
      <c r="Q26" s="8">
        <f t="shared" si="15"/>
      </c>
      <c r="R26" s="223">
        <f t="shared" si="4"/>
      </c>
      <c r="S26" s="295">
        <f t="shared" si="5"/>
        <v>20</v>
      </c>
      <c r="T26" s="901" t="str">
        <f t="shared" si="6"/>
        <v>--</v>
      </c>
      <c r="U26" s="902" t="str">
        <f t="shared" si="7"/>
        <v>--</v>
      </c>
      <c r="V26" s="298" t="str">
        <f t="shared" si="8"/>
        <v>--</v>
      </c>
      <c r="W26" s="299" t="str">
        <f t="shared" si="9"/>
        <v>--</v>
      </c>
      <c r="X26" s="300" t="str">
        <f t="shared" si="10"/>
        <v>--</v>
      </c>
      <c r="Y26" s="301" t="str">
        <f t="shared" si="11"/>
        <v>--</v>
      </c>
      <c r="Z26" s="302" t="str">
        <f t="shared" si="12"/>
        <v>--</v>
      </c>
      <c r="AA26" s="303" t="str">
        <f t="shared" si="13"/>
        <v>--</v>
      </c>
      <c r="AB26" s="903">
        <f t="shared" si="16"/>
      </c>
      <c r="AC26" s="305">
        <f t="shared" si="14"/>
      </c>
      <c r="AD26" s="17"/>
      <c r="AE26" s="15"/>
    </row>
    <row r="27" spans="1:30" s="5" customFormat="1" ht="16.5" customHeight="1">
      <c r="A27" s="90"/>
      <c r="B27" s="95"/>
      <c r="C27" s="276"/>
      <c r="D27" s="276"/>
      <c r="E27" s="276"/>
      <c r="F27" s="148"/>
      <c r="G27" s="290"/>
      <c r="H27" s="291"/>
      <c r="I27" s="292"/>
      <c r="J27" s="293">
        <f t="shared" si="0"/>
        <v>0</v>
      </c>
      <c r="K27" s="153"/>
      <c r="L27" s="153"/>
      <c r="M27" s="294">
        <f t="shared" si="1"/>
      </c>
      <c r="N27" s="14">
        <f t="shared" si="2"/>
      </c>
      <c r="O27" s="154"/>
      <c r="P27" s="518">
        <f t="shared" si="3"/>
      </c>
      <c r="Q27" s="8">
        <f t="shared" si="15"/>
      </c>
      <c r="R27" s="223">
        <f t="shared" si="4"/>
      </c>
      <c r="S27" s="295">
        <f t="shared" si="5"/>
        <v>20</v>
      </c>
      <c r="T27" s="901" t="str">
        <f t="shared" si="6"/>
        <v>--</v>
      </c>
      <c r="U27" s="902" t="str">
        <f t="shared" si="7"/>
        <v>--</v>
      </c>
      <c r="V27" s="298" t="str">
        <f t="shared" si="8"/>
        <v>--</v>
      </c>
      <c r="W27" s="299" t="str">
        <f t="shared" si="9"/>
        <v>--</v>
      </c>
      <c r="X27" s="300" t="str">
        <f t="shared" si="10"/>
        <v>--</v>
      </c>
      <c r="Y27" s="301" t="str">
        <f t="shared" si="11"/>
        <v>--</v>
      </c>
      <c r="Z27" s="302" t="str">
        <f t="shared" si="12"/>
        <v>--</v>
      </c>
      <c r="AA27" s="303" t="str">
        <f t="shared" si="13"/>
        <v>--</v>
      </c>
      <c r="AB27" s="903">
        <f t="shared" si="16"/>
      </c>
      <c r="AC27" s="305">
        <f t="shared" si="14"/>
      </c>
      <c r="AD27" s="17"/>
    </row>
    <row r="28" spans="1:30" s="5" customFormat="1" ht="16.5" customHeight="1">
      <c r="A28" s="90"/>
      <c r="B28" s="95"/>
      <c r="C28" s="276"/>
      <c r="D28" s="276"/>
      <c r="E28" s="152"/>
      <c r="F28" s="148"/>
      <c r="G28" s="290"/>
      <c r="H28" s="291"/>
      <c r="I28" s="292"/>
      <c r="J28" s="293">
        <f t="shared" si="0"/>
        <v>0</v>
      </c>
      <c r="K28" s="153"/>
      <c r="L28" s="153"/>
      <c r="M28" s="294">
        <f t="shared" si="1"/>
      </c>
      <c r="N28" s="14">
        <f t="shared" si="2"/>
      </c>
      <c r="O28" s="154"/>
      <c r="P28" s="518">
        <f t="shared" si="3"/>
      </c>
      <c r="Q28" s="8">
        <f t="shared" si="15"/>
      </c>
      <c r="R28" s="223">
        <f t="shared" si="4"/>
      </c>
      <c r="S28" s="295">
        <f t="shared" si="5"/>
        <v>20</v>
      </c>
      <c r="T28" s="901" t="str">
        <f t="shared" si="6"/>
        <v>--</v>
      </c>
      <c r="U28" s="902" t="str">
        <f t="shared" si="7"/>
        <v>--</v>
      </c>
      <c r="V28" s="298" t="str">
        <f t="shared" si="8"/>
        <v>--</v>
      </c>
      <c r="W28" s="299" t="str">
        <f t="shared" si="9"/>
        <v>--</v>
      </c>
      <c r="X28" s="300" t="str">
        <f t="shared" si="10"/>
        <v>--</v>
      </c>
      <c r="Y28" s="301" t="str">
        <f t="shared" si="11"/>
        <v>--</v>
      </c>
      <c r="Z28" s="302" t="str">
        <f t="shared" si="12"/>
        <v>--</v>
      </c>
      <c r="AA28" s="303" t="str">
        <f t="shared" si="13"/>
        <v>--</v>
      </c>
      <c r="AB28" s="903">
        <f t="shared" si="16"/>
      </c>
      <c r="AC28" s="305">
        <f t="shared" si="14"/>
      </c>
      <c r="AD28" s="17"/>
    </row>
    <row r="29" spans="1:30" s="5" customFormat="1" ht="16.5" customHeight="1">
      <c r="A29" s="90"/>
      <c r="B29" s="95"/>
      <c r="C29" s="276"/>
      <c r="D29" s="276"/>
      <c r="E29" s="276"/>
      <c r="F29" s="148"/>
      <c r="G29" s="290"/>
      <c r="H29" s="291"/>
      <c r="I29" s="292"/>
      <c r="J29" s="293">
        <f t="shared" si="0"/>
        <v>0</v>
      </c>
      <c r="K29" s="153"/>
      <c r="L29" s="153"/>
      <c r="M29" s="294">
        <f t="shared" si="1"/>
      </c>
      <c r="N29" s="14">
        <f t="shared" si="2"/>
      </c>
      <c r="O29" s="154"/>
      <c r="P29" s="518">
        <f t="shared" si="3"/>
      </c>
      <c r="Q29" s="8">
        <f t="shared" si="15"/>
      </c>
      <c r="R29" s="223">
        <f t="shared" si="4"/>
      </c>
      <c r="S29" s="295">
        <f t="shared" si="5"/>
        <v>20</v>
      </c>
      <c r="T29" s="901" t="str">
        <f t="shared" si="6"/>
        <v>--</v>
      </c>
      <c r="U29" s="902" t="str">
        <f t="shared" si="7"/>
        <v>--</v>
      </c>
      <c r="V29" s="298" t="str">
        <f t="shared" si="8"/>
        <v>--</v>
      </c>
      <c r="W29" s="299" t="str">
        <f t="shared" si="9"/>
        <v>--</v>
      </c>
      <c r="X29" s="300" t="str">
        <f t="shared" si="10"/>
        <v>--</v>
      </c>
      <c r="Y29" s="301" t="str">
        <f t="shared" si="11"/>
        <v>--</v>
      </c>
      <c r="Z29" s="302" t="str">
        <f t="shared" si="12"/>
        <v>--</v>
      </c>
      <c r="AA29" s="303" t="str">
        <f t="shared" si="13"/>
        <v>--</v>
      </c>
      <c r="AB29" s="903">
        <f t="shared" si="16"/>
      </c>
      <c r="AC29" s="305">
        <f t="shared" si="14"/>
      </c>
      <c r="AD29" s="17"/>
    </row>
    <row r="30" spans="1:30" s="5" customFormat="1" ht="16.5" customHeight="1">
      <c r="A30" s="90"/>
      <c r="B30" s="95"/>
      <c r="C30" s="276"/>
      <c r="D30" s="276"/>
      <c r="E30" s="152"/>
      <c r="F30" s="148"/>
      <c r="G30" s="306"/>
      <c r="H30" s="291"/>
      <c r="I30" s="292"/>
      <c r="J30" s="293">
        <f t="shared" si="0"/>
        <v>0</v>
      </c>
      <c r="K30" s="153"/>
      <c r="L30" s="153"/>
      <c r="M30" s="294">
        <f t="shared" si="1"/>
      </c>
      <c r="N30" s="14">
        <f t="shared" si="2"/>
      </c>
      <c r="O30" s="154"/>
      <c r="P30" s="518">
        <f t="shared" si="3"/>
      </c>
      <c r="Q30" s="8">
        <f t="shared" si="15"/>
      </c>
      <c r="R30" s="223">
        <f t="shared" si="4"/>
      </c>
      <c r="S30" s="295">
        <f t="shared" si="5"/>
        <v>20</v>
      </c>
      <c r="T30" s="901" t="str">
        <f t="shared" si="6"/>
        <v>--</v>
      </c>
      <c r="U30" s="902" t="str">
        <f t="shared" si="7"/>
        <v>--</v>
      </c>
      <c r="V30" s="298" t="str">
        <f t="shared" si="8"/>
        <v>--</v>
      </c>
      <c r="W30" s="299" t="str">
        <f t="shared" si="9"/>
        <v>--</v>
      </c>
      <c r="X30" s="300" t="str">
        <f t="shared" si="10"/>
        <v>--</v>
      </c>
      <c r="Y30" s="301" t="str">
        <f t="shared" si="11"/>
        <v>--</v>
      </c>
      <c r="Z30" s="302" t="str">
        <f t="shared" si="12"/>
        <v>--</v>
      </c>
      <c r="AA30" s="303" t="str">
        <f t="shared" si="13"/>
        <v>--</v>
      </c>
      <c r="AB30" s="903">
        <f t="shared" si="16"/>
      </c>
      <c r="AC30" s="305">
        <f t="shared" si="14"/>
      </c>
      <c r="AD30" s="17"/>
    </row>
    <row r="31" spans="1:30" s="5" customFormat="1" ht="16.5" customHeight="1">
      <c r="A31" s="90"/>
      <c r="B31" s="95"/>
      <c r="C31" s="276"/>
      <c r="D31" s="276"/>
      <c r="E31" s="276"/>
      <c r="F31" s="148"/>
      <c r="G31" s="306"/>
      <c r="H31" s="291"/>
      <c r="I31" s="292"/>
      <c r="J31" s="293">
        <f t="shared" si="0"/>
        <v>0</v>
      </c>
      <c r="K31" s="153"/>
      <c r="L31" s="153"/>
      <c r="M31" s="294">
        <f t="shared" si="1"/>
      </c>
      <c r="N31" s="14">
        <f t="shared" si="2"/>
      </c>
      <c r="O31" s="154"/>
      <c r="P31" s="518">
        <f t="shared" si="3"/>
      </c>
      <c r="Q31" s="8">
        <f t="shared" si="15"/>
      </c>
      <c r="R31" s="223">
        <f t="shared" si="4"/>
      </c>
      <c r="S31" s="295">
        <f t="shared" si="5"/>
        <v>20</v>
      </c>
      <c r="T31" s="901" t="str">
        <f t="shared" si="6"/>
        <v>--</v>
      </c>
      <c r="U31" s="902" t="str">
        <f t="shared" si="7"/>
        <v>--</v>
      </c>
      <c r="V31" s="298" t="str">
        <f t="shared" si="8"/>
        <v>--</v>
      </c>
      <c r="W31" s="299" t="str">
        <f t="shared" si="9"/>
        <v>--</v>
      </c>
      <c r="X31" s="300" t="str">
        <f t="shared" si="10"/>
        <v>--</v>
      </c>
      <c r="Y31" s="301" t="str">
        <f t="shared" si="11"/>
        <v>--</v>
      </c>
      <c r="Z31" s="302" t="str">
        <f t="shared" si="12"/>
        <v>--</v>
      </c>
      <c r="AA31" s="303" t="str">
        <f t="shared" si="13"/>
        <v>--</v>
      </c>
      <c r="AB31" s="903">
        <f t="shared" si="16"/>
      </c>
      <c r="AC31" s="305">
        <f t="shared" si="14"/>
      </c>
      <c r="AD31" s="17"/>
    </row>
    <row r="32" spans="1:30" s="5" customFormat="1" ht="16.5" customHeight="1">
      <c r="A32" s="90"/>
      <c r="B32" s="95"/>
      <c r="C32" s="276"/>
      <c r="D32" s="276"/>
      <c r="E32" s="152"/>
      <c r="F32" s="148"/>
      <c r="G32" s="306"/>
      <c r="H32" s="291"/>
      <c r="I32" s="292"/>
      <c r="J32" s="293">
        <f t="shared" si="0"/>
        <v>0</v>
      </c>
      <c r="K32" s="153"/>
      <c r="L32" s="153"/>
      <c r="M32" s="294">
        <f t="shared" si="1"/>
      </c>
      <c r="N32" s="14">
        <f t="shared" si="2"/>
      </c>
      <c r="O32" s="154"/>
      <c r="P32" s="518">
        <f t="shared" si="3"/>
      </c>
      <c r="Q32" s="8">
        <f t="shared" si="15"/>
      </c>
      <c r="R32" s="223">
        <f t="shared" si="4"/>
      </c>
      <c r="S32" s="295">
        <f t="shared" si="5"/>
        <v>20</v>
      </c>
      <c r="T32" s="901" t="str">
        <f t="shared" si="6"/>
        <v>--</v>
      </c>
      <c r="U32" s="902" t="str">
        <f t="shared" si="7"/>
        <v>--</v>
      </c>
      <c r="V32" s="298" t="str">
        <f t="shared" si="8"/>
        <v>--</v>
      </c>
      <c r="W32" s="299" t="str">
        <f t="shared" si="9"/>
        <v>--</v>
      </c>
      <c r="X32" s="300" t="str">
        <f t="shared" si="10"/>
        <v>--</v>
      </c>
      <c r="Y32" s="301" t="str">
        <f t="shared" si="11"/>
        <v>--</v>
      </c>
      <c r="Z32" s="302" t="str">
        <f t="shared" si="12"/>
        <v>--</v>
      </c>
      <c r="AA32" s="303" t="str">
        <f t="shared" si="13"/>
        <v>--</v>
      </c>
      <c r="AB32" s="903">
        <f t="shared" si="16"/>
      </c>
      <c r="AC32" s="305">
        <f t="shared" si="14"/>
      </c>
      <c r="AD32" s="17"/>
    </row>
    <row r="33" spans="1:30" s="5" customFormat="1" ht="16.5" customHeight="1">
      <c r="A33" s="90"/>
      <c r="B33" s="95"/>
      <c r="C33" s="276"/>
      <c r="D33" s="276"/>
      <c r="E33" s="276"/>
      <c r="F33" s="148"/>
      <c r="G33" s="306"/>
      <c r="H33" s="291"/>
      <c r="I33" s="292"/>
      <c r="J33" s="293">
        <f t="shared" si="0"/>
        <v>0</v>
      </c>
      <c r="K33" s="153"/>
      <c r="L33" s="153"/>
      <c r="M33" s="294">
        <f t="shared" si="1"/>
      </c>
      <c r="N33" s="14">
        <f t="shared" si="2"/>
      </c>
      <c r="O33" s="154"/>
      <c r="P33" s="518">
        <f t="shared" si="3"/>
      </c>
      <c r="Q33" s="8">
        <f t="shared" si="15"/>
      </c>
      <c r="R33" s="223">
        <f t="shared" si="4"/>
      </c>
      <c r="S33" s="295">
        <f t="shared" si="5"/>
        <v>20</v>
      </c>
      <c r="T33" s="901" t="str">
        <f t="shared" si="6"/>
        <v>--</v>
      </c>
      <c r="U33" s="902" t="str">
        <f t="shared" si="7"/>
        <v>--</v>
      </c>
      <c r="V33" s="298" t="str">
        <f t="shared" si="8"/>
        <v>--</v>
      </c>
      <c r="W33" s="299" t="str">
        <f t="shared" si="9"/>
        <v>--</v>
      </c>
      <c r="X33" s="300" t="str">
        <f t="shared" si="10"/>
        <v>--</v>
      </c>
      <c r="Y33" s="301" t="str">
        <f t="shared" si="11"/>
        <v>--</v>
      </c>
      <c r="Z33" s="302" t="str">
        <f t="shared" si="12"/>
        <v>--</v>
      </c>
      <c r="AA33" s="303" t="str">
        <f t="shared" si="13"/>
        <v>--</v>
      </c>
      <c r="AB33" s="903">
        <f t="shared" si="16"/>
      </c>
      <c r="AC33" s="305">
        <f t="shared" si="14"/>
      </c>
      <c r="AD33" s="17"/>
    </row>
    <row r="34" spans="1:30" s="5" customFormat="1" ht="16.5" customHeight="1">
      <c r="A34" s="90"/>
      <c r="B34" s="95"/>
      <c r="C34" s="276"/>
      <c r="D34" s="276"/>
      <c r="E34" s="152"/>
      <c r="F34" s="148"/>
      <c r="G34" s="306"/>
      <c r="H34" s="291"/>
      <c r="I34" s="292"/>
      <c r="J34" s="293">
        <f t="shared" si="0"/>
        <v>0</v>
      </c>
      <c r="K34" s="153"/>
      <c r="L34" s="153"/>
      <c r="M34" s="294">
        <f t="shared" si="1"/>
      </c>
      <c r="N34" s="14">
        <f t="shared" si="2"/>
      </c>
      <c r="O34" s="154"/>
      <c r="P34" s="518">
        <f t="shared" si="3"/>
      </c>
      <c r="Q34" s="8">
        <f t="shared" si="15"/>
      </c>
      <c r="R34" s="223">
        <f t="shared" si="4"/>
      </c>
      <c r="S34" s="295">
        <f t="shared" si="5"/>
        <v>20</v>
      </c>
      <c r="T34" s="901" t="str">
        <f t="shared" si="6"/>
        <v>--</v>
      </c>
      <c r="U34" s="902" t="str">
        <f t="shared" si="7"/>
        <v>--</v>
      </c>
      <c r="V34" s="298" t="str">
        <f t="shared" si="8"/>
        <v>--</v>
      </c>
      <c r="W34" s="299" t="str">
        <f t="shared" si="9"/>
        <v>--</v>
      </c>
      <c r="X34" s="300" t="str">
        <f t="shared" si="10"/>
        <v>--</v>
      </c>
      <c r="Y34" s="301" t="str">
        <f t="shared" si="11"/>
        <v>--</v>
      </c>
      <c r="Z34" s="302" t="str">
        <f t="shared" si="12"/>
        <v>--</v>
      </c>
      <c r="AA34" s="303" t="str">
        <f t="shared" si="13"/>
        <v>--</v>
      </c>
      <c r="AB34" s="903">
        <f t="shared" si="16"/>
      </c>
      <c r="AC34" s="305">
        <f t="shared" si="14"/>
      </c>
      <c r="AD34" s="17"/>
    </row>
    <row r="35" spans="1:30" s="5" customFormat="1" ht="16.5" customHeight="1">
      <c r="A35" s="90"/>
      <c r="B35" s="95"/>
      <c r="C35" s="276"/>
      <c r="D35" s="276"/>
      <c r="E35" s="276"/>
      <c r="F35" s="148"/>
      <c r="G35" s="306"/>
      <c r="H35" s="291"/>
      <c r="I35" s="292"/>
      <c r="J35" s="293">
        <f t="shared" si="0"/>
        <v>0</v>
      </c>
      <c r="K35" s="153"/>
      <c r="L35" s="153"/>
      <c r="M35" s="294">
        <f t="shared" si="1"/>
      </c>
      <c r="N35" s="14">
        <f t="shared" si="2"/>
      </c>
      <c r="O35" s="154"/>
      <c r="P35" s="518">
        <f t="shared" si="3"/>
      </c>
      <c r="Q35" s="8">
        <f t="shared" si="15"/>
      </c>
      <c r="R35" s="223">
        <f t="shared" si="4"/>
      </c>
      <c r="S35" s="295">
        <f t="shared" si="5"/>
        <v>20</v>
      </c>
      <c r="T35" s="901" t="str">
        <f t="shared" si="6"/>
        <v>--</v>
      </c>
      <c r="U35" s="902" t="str">
        <f t="shared" si="7"/>
        <v>--</v>
      </c>
      <c r="V35" s="298" t="str">
        <f t="shared" si="8"/>
        <v>--</v>
      </c>
      <c r="W35" s="299" t="str">
        <f t="shared" si="9"/>
        <v>--</v>
      </c>
      <c r="X35" s="300" t="str">
        <f t="shared" si="10"/>
        <v>--</v>
      </c>
      <c r="Y35" s="301" t="str">
        <f t="shared" si="11"/>
        <v>--</v>
      </c>
      <c r="Z35" s="302" t="str">
        <f t="shared" si="12"/>
        <v>--</v>
      </c>
      <c r="AA35" s="303" t="str">
        <f t="shared" si="13"/>
        <v>--</v>
      </c>
      <c r="AB35" s="903">
        <f t="shared" si="16"/>
      </c>
      <c r="AC35" s="305">
        <f t="shared" si="14"/>
      </c>
      <c r="AD35" s="17"/>
    </row>
    <row r="36" spans="1:30" s="5" customFormat="1" ht="16.5" customHeight="1">
      <c r="A36" s="90"/>
      <c r="B36" s="95"/>
      <c r="C36" s="276"/>
      <c r="D36" s="276"/>
      <c r="E36" s="152"/>
      <c r="F36" s="148"/>
      <c r="G36" s="306"/>
      <c r="H36" s="291"/>
      <c r="I36" s="292"/>
      <c r="J36" s="293">
        <f t="shared" si="0"/>
        <v>0</v>
      </c>
      <c r="K36" s="153"/>
      <c r="L36" s="153"/>
      <c r="M36" s="294">
        <f t="shared" si="1"/>
      </c>
      <c r="N36" s="14">
        <f t="shared" si="2"/>
      </c>
      <c r="O36" s="154"/>
      <c r="P36" s="518">
        <f t="shared" si="3"/>
      </c>
      <c r="Q36" s="8">
        <f t="shared" si="15"/>
      </c>
      <c r="R36" s="223">
        <f t="shared" si="4"/>
      </c>
      <c r="S36" s="295">
        <f t="shared" si="5"/>
        <v>20</v>
      </c>
      <c r="T36" s="901" t="str">
        <f t="shared" si="6"/>
        <v>--</v>
      </c>
      <c r="U36" s="902" t="str">
        <f t="shared" si="7"/>
        <v>--</v>
      </c>
      <c r="V36" s="298" t="str">
        <f t="shared" si="8"/>
        <v>--</v>
      </c>
      <c r="W36" s="299" t="str">
        <f t="shared" si="9"/>
        <v>--</v>
      </c>
      <c r="X36" s="300" t="str">
        <f t="shared" si="10"/>
        <v>--</v>
      </c>
      <c r="Y36" s="301" t="str">
        <f t="shared" si="11"/>
        <v>--</v>
      </c>
      <c r="Z36" s="302" t="str">
        <f t="shared" si="12"/>
        <v>--</v>
      </c>
      <c r="AA36" s="303" t="str">
        <f t="shared" si="13"/>
        <v>--</v>
      </c>
      <c r="AB36" s="903">
        <f t="shared" si="16"/>
      </c>
      <c r="AC36" s="305">
        <f t="shared" si="14"/>
      </c>
      <c r="AD36" s="17"/>
    </row>
    <row r="37" spans="1:30" s="5" customFormat="1" ht="16.5" customHeight="1">
      <c r="A37" s="90"/>
      <c r="B37" s="95"/>
      <c r="C37" s="276"/>
      <c r="D37" s="276"/>
      <c r="E37" s="276"/>
      <c r="F37" s="148"/>
      <c r="G37" s="306"/>
      <c r="H37" s="291"/>
      <c r="I37" s="292"/>
      <c r="J37" s="293">
        <f t="shared" si="0"/>
        <v>0</v>
      </c>
      <c r="K37" s="153"/>
      <c r="L37" s="153"/>
      <c r="M37" s="294">
        <f t="shared" si="1"/>
      </c>
      <c r="N37" s="14">
        <f t="shared" si="2"/>
      </c>
      <c r="O37" s="154"/>
      <c r="P37" s="518">
        <f t="shared" si="3"/>
      </c>
      <c r="Q37" s="8">
        <f t="shared" si="15"/>
      </c>
      <c r="R37" s="223">
        <f t="shared" si="4"/>
      </c>
      <c r="S37" s="295">
        <f t="shared" si="5"/>
        <v>20</v>
      </c>
      <c r="T37" s="901" t="str">
        <f t="shared" si="6"/>
        <v>--</v>
      </c>
      <c r="U37" s="902" t="str">
        <f t="shared" si="7"/>
        <v>--</v>
      </c>
      <c r="V37" s="298" t="str">
        <f t="shared" si="8"/>
        <v>--</v>
      </c>
      <c r="W37" s="299" t="str">
        <f t="shared" si="9"/>
        <v>--</v>
      </c>
      <c r="X37" s="300" t="str">
        <f t="shared" si="10"/>
        <v>--</v>
      </c>
      <c r="Y37" s="301" t="str">
        <f t="shared" si="11"/>
        <v>--</v>
      </c>
      <c r="Z37" s="302" t="str">
        <f t="shared" si="12"/>
        <v>--</v>
      </c>
      <c r="AA37" s="303" t="str">
        <f t="shared" si="13"/>
        <v>--</v>
      </c>
      <c r="AB37" s="903">
        <f t="shared" si="16"/>
      </c>
      <c r="AC37" s="305">
        <f t="shared" si="14"/>
      </c>
      <c r="AD37" s="17"/>
    </row>
    <row r="38" spans="1:30" s="5" customFormat="1" ht="16.5" customHeight="1">
      <c r="A38" s="90"/>
      <c r="B38" s="95"/>
      <c r="C38" s="276"/>
      <c r="D38" s="276"/>
      <c r="E38" s="152"/>
      <c r="F38" s="148"/>
      <c r="G38" s="306"/>
      <c r="H38" s="291"/>
      <c r="I38" s="292"/>
      <c r="J38" s="293">
        <f t="shared" si="0"/>
        <v>0</v>
      </c>
      <c r="K38" s="153"/>
      <c r="L38" s="153"/>
      <c r="M38" s="294">
        <f t="shared" si="1"/>
      </c>
      <c r="N38" s="14">
        <f t="shared" si="2"/>
      </c>
      <c r="O38" s="154"/>
      <c r="P38" s="518">
        <f t="shared" si="3"/>
      </c>
      <c r="Q38" s="8">
        <f t="shared" si="15"/>
      </c>
      <c r="R38" s="223">
        <f t="shared" si="4"/>
      </c>
      <c r="S38" s="295">
        <f t="shared" si="5"/>
        <v>20</v>
      </c>
      <c r="T38" s="901" t="str">
        <f t="shared" si="6"/>
        <v>--</v>
      </c>
      <c r="U38" s="902" t="str">
        <f t="shared" si="7"/>
        <v>--</v>
      </c>
      <c r="V38" s="298" t="str">
        <f t="shared" si="8"/>
        <v>--</v>
      </c>
      <c r="W38" s="299" t="str">
        <f t="shared" si="9"/>
        <v>--</v>
      </c>
      <c r="X38" s="300" t="str">
        <f t="shared" si="10"/>
        <v>--</v>
      </c>
      <c r="Y38" s="301" t="str">
        <f t="shared" si="11"/>
        <v>--</v>
      </c>
      <c r="Z38" s="302" t="str">
        <f t="shared" si="12"/>
        <v>--</v>
      </c>
      <c r="AA38" s="303" t="str">
        <f t="shared" si="13"/>
        <v>--</v>
      </c>
      <c r="AB38" s="903">
        <f t="shared" si="16"/>
      </c>
      <c r="AC38" s="305">
        <f t="shared" si="14"/>
      </c>
      <c r="AD38" s="17"/>
    </row>
    <row r="39" spans="1:30" s="5" customFormat="1" ht="16.5" customHeight="1">
      <c r="A39" s="90"/>
      <c r="B39" s="95"/>
      <c r="C39" s="276"/>
      <c r="D39" s="276"/>
      <c r="E39" s="276"/>
      <c r="F39" s="148"/>
      <c r="G39" s="306"/>
      <c r="H39" s="291"/>
      <c r="I39" s="292"/>
      <c r="J39" s="293">
        <f t="shared" si="0"/>
        <v>0</v>
      </c>
      <c r="K39" s="153"/>
      <c r="L39" s="153"/>
      <c r="M39" s="294">
        <f t="shared" si="1"/>
      </c>
      <c r="N39" s="14">
        <f t="shared" si="2"/>
      </c>
      <c r="O39" s="154"/>
      <c r="P39" s="518">
        <f t="shared" si="3"/>
      </c>
      <c r="Q39" s="8">
        <f t="shared" si="15"/>
      </c>
      <c r="R39" s="223">
        <f t="shared" si="4"/>
      </c>
      <c r="S39" s="295">
        <f t="shared" si="5"/>
        <v>20</v>
      </c>
      <c r="T39" s="901" t="str">
        <f t="shared" si="6"/>
        <v>--</v>
      </c>
      <c r="U39" s="902" t="str">
        <f t="shared" si="7"/>
        <v>--</v>
      </c>
      <c r="V39" s="298" t="str">
        <f t="shared" si="8"/>
        <v>--</v>
      </c>
      <c r="W39" s="299" t="str">
        <f t="shared" si="9"/>
        <v>--</v>
      </c>
      <c r="X39" s="300" t="str">
        <f t="shared" si="10"/>
        <v>--</v>
      </c>
      <c r="Y39" s="301" t="str">
        <f t="shared" si="11"/>
        <v>--</v>
      </c>
      <c r="Z39" s="302" t="str">
        <f t="shared" si="12"/>
        <v>--</v>
      </c>
      <c r="AA39" s="303" t="str">
        <f t="shared" si="13"/>
        <v>--</v>
      </c>
      <c r="AB39" s="903">
        <f t="shared" si="16"/>
      </c>
      <c r="AC39" s="305">
        <f t="shared" si="14"/>
      </c>
      <c r="AD39" s="17"/>
    </row>
    <row r="40" spans="1:30" s="5" customFormat="1" ht="16.5" customHeight="1" thickBot="1">
      <c r="A40" s="90"/>
      <c r="B40" s="95"/>
      <c r="C40" s="307"/>
      <c r="D40" s="307"/>
      <c r="E40" s="307"/>
      <c r="F40" s="307"/>
      <c r="G40" s="307"/>
      <c r="H40" s="307"/>
      <c r="I40" s="309"/>
      <c r="J40" s="131"/>
      <c r="K40" s="155"/>
      <c r="L40" s="310"/>
      <c r="M40" s="311"/>
      <c r="N40" s="312"/>
      <c r="O40" s="158"/>
      <c r="P40" s="190"/>
      <c r="Q40" s="156"/>
      <c r="R40" s="158"/>
      <c r="S40" s="343"/>
      <c r="T40" s="334"/>
      <c r="U40" s="335"/>
      <c r="V40" s="336"/>
      <c r="W40" s="337"/>
      <c r="X40" s="338"/>
      <c r="Y40" s="339"/>
      <c r="Z40" s="340"/>
      <c r="AA40" s="341"/>
      <c r="AB40" s="342"/>
      <c r="AC40" s="323"/>
      <c r="AD40" s="17"/>
    </row>
    <row r="41" spans="1:30" s="5" customFormat="1" ht="16.5" customHeight="1" thickBot="1" thickTop="1">
      <c r="A41" s="90"/>
      <c r="B41" s="95"/>
      <c r="C41" s="127" t="s">
        <v>25</v>
      </c>
      <c r="D41" s="909" t="s">
        <v>257</v>
      </c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24">
        <f aca="true" t="shared" si="17" ref="T41:AA41">SUM(T18:T40)</f>
        <v>927.4799999999999</v>
      </c>
      <c r="U41" s="325">
        <f t="shared" si="17"/>
        <v>0</v>
      </c>
      <c r="V41" s="326">
        <f t="shared" si="17"/>
        <v>0</v>
      </c>
      <c r="W41" s="327">
        <f t="shared" si="17"/>
        <v>0</v>
      </c>
      <c r="X41" s="328">
        <f t="shared" si="17"/>
        <v>0</v>
      </c>
      <c r="Y41" s="329">
        <f t="shared" si="17"/>
        <v>0</v>
      </c>
      <c r="Z41" s="330">
        <f t="shared" si="17"/>
        <v>0</v>
      </c>
      <c r="AA41" s="331">
        <f t="shared" si="17"/>
        <v>0</v>
      </c>
      <c r="AB41" s="90"/>
      <c r="AC41" s="332">
        <f>ROUND(SUM(AC18:AC40),2)</f>
        <v>927.48</v>
      </c>
      <c r="AD41" s="17"/>
    </row>
    <row r="42" spans="1:30" s="5" customFormat="1" ht="16.5" customHeight="1" thickBot="1" thickTop="1">
      <c r="A42" s="90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1" ht="16.5" customHeight="1" thickTop="1">
      <c r="A43" s="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ht="16.5" customHeight="1">
      <c r="A44" s="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ht="16.5" customHeight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6:31" ht="16.5" customHeight="1"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6:31" ht="16.5" customHeight="1"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ht="16.5" customHeight="1">
      <c r="AE151" s="172"/>
    </row>
    <row r="152" ht="16.5" customHeight="1">
      <c r="AE152" s="172"/>
    </row>
    <row r="153" ht="16.5" customHeight="1">
      <c r="AE153" s="172"/>
    </row>
    <row r="154" ht="16.5" customHeight="1">
      <c r="AE154" s="172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5">
    <pageSetUpPr fitToPage="1"/>
  </sheetPr>
  <dimension ref="A1:AE156"/>
  <sheetViews>
    <sheetView zoomScale="70" zoomScaleNormal="70" workbookViewId="0" topLeftCell="A7">
      <selection activeCell="H42" sqref="H4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6.851562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5.00390625" style="0" hidden="1" customWidth="1"/>
    <col min="20" max="21" width="12.140625" style="0" hidden="1" customWidth="1"/>
    <col min="22" max="23" width="6.00390625" style="0" hidden="1" customWidth="1"/>
    <col min="24" max="24" width="9.28125" style="0" hidden="1" customWidth="1"/>
    <col min="25" max="26" width="12.57421875" style="0" hidden="1" customWidth="1"/>
    <col min="27" max="27" width="12.85156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5" t="str">
        <f>+'TOT-0110'!B2</f>
        <v>ANEXO II al Memorandum D.T.E.E. N°    679       / 2011           </v>
      </c>
      <c r="C2" s="245"/>
      <c r="D2" s="245"/>
      <c r="E2" s="245"/>
      <c r="F2" s="245"/>
      <c r="G2" s="1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6" t="s">
        <v>64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6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7" t="s">
        <v>58</v>
      </c>
      <c r="G8" s="105"/>
      <c r="H8" s="105"/>
      <c r="I8" s="248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9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31" customFormat="1" ht="33" customHeight="1">
      <c r="A10" s="855"/>
      <c r="B10" s="863"/>
      <c r="C10" s="866"/>
      <c r="D10" s="866"/>
      <c r="E10" s="855"/>
      <c r="F10" s="864" t="s">
        <v>151</v>
      </c>
      <c r="G10" s="855"/>
      <c r="H10" s="865"/>
      <c r="I10" s="866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33"/>
    </row>
    <row r="11" spans="1:30" s="834" customFormat="1" ht="33" customHeight="1">
      <c r="A11" s="859"/>
      <c r="B11" s="867"/>
      <c r="C11" s="869"/>
      <c r="D11" s="869"/>
      <c r="E11" s="859"/>
      <c r="F11" s="868" t="s">
        <v>278</v>
      </c>
      <c r="G11" s="869"/>
      <c r="H11" s="869"/>
      <c r="I11" s="870"/>
      <c r="J11" s="869"/>
      <c r="K11" s="869"/>
      <c r="L11" s="869"/>
      <c r="M11" s="869"/>
      <c r="N11" s="869"/>
      <c r="O11" s="859"/>
      <c r="P11" s="859"/>
      <c r="Q11" s="859"/>
      <c r="R11" s="859"/>
      <c r="S11" s="85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38"/>
    </row>
    <row r="12" spans="1:30" s="36" customFormat="1" ht="19.5">
      <c r="A12" s="109"/>
      <c r="B12" s="37" t="str">
        <f>'TOT-0110'!B14</f>
        <v>Desde el 01 al 31 de enero de 2010</v>
      </c>
      <c r="C12" s="40"/>
      <c r="D12" s="40"/>
      <c r="E12" s="250"/>
      <c r="F12" s="112"/>
      <c r="G12" s="112"/>
      <c r="H12" s="112"/>
      <c r="I12" s="112"/>
      <c r="J12" s="112"/>
      <c r="K12" s="112"/>
      <c r="L12" s="112"/>
      <c r="M12" s="112"/>
      <c r="N12" s="112"/>
      <c r="O12" s="250"/>
      <c r="P12" s="250"/>
      <c r="Q12" s="250"/>
      <c r="R12" s="250"/>
      <c r="S12" s="250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251"/>
    </row>
    <row r="13" spans="1:30" s="5" customFormat="1" ht="13.5" thickBot="1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90"/>
      <c r="B14" s="95"/>
      <c r="C14" s="15"/>
      <c r="D14" s="15"/>
      <c r="E14" s="90"/>
      <c r="F14" s="252" t="s">
        <v>65</v>
      </c>
      <c r="G14" s="253"/>
      <c r="H14" s="254">
        <v>0.319</v>
      </c>
      <c r="J14" s="90"/>
      <c r="K14" s="90"/>
      <c r="L14" s="90"/>
      <c r="M14" s="90"/>
      <c r="N14" s="90"/>
      <c r="O14" s="90"/>
      <c r="P14" s="9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90"/>
      <c r="B15" s="95"/>
      <c r="C15" s="15"/>
      <c r="D15" s="15"/>
      <c r="E15" s="90"/>
      <c r="F15" s="110" t="s">
        <v>26</v>
      </c>
      <c r="G15" s="111"/>
      <c r="H15" s="824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9"/>
      <c r="X15" s="99"/>
      <c r="Y15" s="99"/>
      <c r="Z15" s="99"/>
      <c r="AA15" s="99"/>
      <c r="AB15" s="99"/>
      <c r="AC15" s="90"/>
      <c r="AD15" s="17"/>
    </row>
    <row r="16" spans="1:30" s="5" customFormat="1" ht="16.5" customHeight="1" thickBot="1" thickTop="1">
      <c r="A16" s="90"/>
      <c r="B16" s="95"/>
      <c r="C16" s="920">
        <v>3</v>
      </c>
      <c r="D16" s="920">
        <v>4</v>
      </c>
      <c r="E16" s="920">
        <v>5</v>
      </c>
      <c r="F16" s="920">
        <v>6</v>
      </c>
      <c r="G16" s="920">
        <v>7</v>
      </c>
      <c r="H16" s="920">
        <v>8</v>
      </c>
      <c r="I16" s="920">
        <v>9</v>
      </c>
      <c r="J16" s="920">
        <v>10</v>
      </c>
      <c r="K16" s="920">
        <v>11</v>
      </c>
      <c r="L16" s="920">
        <v>12</v>
      </c>
      <c r="M16" s="920">
        <v>13</v>
      </c>
      <c r="N16" s="920">
        <v>14</v>
      </c>
      <c r="O16" s="920">
        <v>15</v>
      </c>
      <c r="P16" s="920">
        <v>16</v>
      </c>
      <c r="Q16" s="920">
        <v>17</v>
      </c>
      <c r="R16" s="920">
        <v>18</v>
      </c>
      <c r="S16" s="920">
        <v>19</v>
      </c>
      <c r="T16" s="920">
        <v>20</v>
      </c>
      <c r="U16" s="920">
        <v>21</v>
      </c>
      <c r="V16" s="920">
        <v>22</v>
      </c>
      <c r="W16" s="920">
        <v>23</v>
      </c>
      <c r="X16" s="920">
        <v>24</v>
      </c>
      <c r="Y16" s="920">
        <v>25</v>
      </c>
      <c r="Z16" s="920">
        <v>26</v>
      </c>
      <c r="AA16" s="920">
        <v>27</v>
      </c>
      <c r="AB16" s="920">
        <v>28</v>
      </c>
      <c r="AC16" s="920">
        <v>29</v>
      </c>
      <c r="AD16" s="17"/>
    </row>
    <row r="17" spans="1:30" s="5" customFormat="1" ht="33.75" customHeight="1" thickBot="1" thickTop="1">
      <c r="A17" s="90"/>
      <c r="B17" s="95"/>
      <c r="C17" s="123" t="s">
        <v>13</v>
      </c>
      <c r="D17" s="84" t="s">
        <v>171</v>
      </c>
      <c r="E17" s="84" t="s">
        <v>172</v>
      </c>
      <c r="F17" s="119" t="s">
        <v>27</v>
      </c>
      <c r="G17" s="118" t="s">
        <v>28</v>
      </c>
      <c r="H17" s="120" t="s">
        <v>29</v>
      </c>
      <c r="I17" s="121" t="s">
        <v>14</v>
      </c>
      <c r="J17" s="129" t="s">
        <v>16</v>
      </c>
      <c r="K17" s="118" t="s">
        <v>17</v>
      </c>
      <c r="L17" s="118" t="s">
        <v>18</v>
      </c>
      <c r="M17" s="119" t="s">
        <v>30</v>
      </c>
      <c r="N17" s="119" t="s">
        <v>31</v>
      </c>
      <c r="O17" s="88" t="s">
        <v>19</v>
      </c>
      <c r="P17" s="88" t="s">
        <v>46</v>
      </c>
      <c r="Q17" s="122" t="s">
        <v>32</v>
      </c>
      <c r="R17" s="118" t="s">
        <v>33</v>
      </c>
      <c r="S17" s="255" t="s">
        <v>37</v>
      </c>
      <c r="T17" s="256" t="s">
        <v>20</v>
      </c>
      <c r="U17" s="257" t="s">
        <v>21</v>
      </c>
      <c r="V17" s="207" t="s">
        <v>66</v>
      </c>
      <c r="W17" s="209"/>
      <c r="X17" s="258" t="s">
        <v>67</v>
      </c>
      <c r="Y17" s="259"/>
      <c r="Z17" s="260" t="s">
        <v>22</v>
      </c>
      <c r="AA17" s="261" t="s">
        <v>62</v>
      </c>
      <c r="AB17" s="132" t="s">
        <v>63</v>
      </c>
      <c r="AC17" s="121" t="s">
        <v>24</v>
      </c>
      <c r="AD17" s="17"/>
    </row>
    <row r="18" spans="1:30" s="5" customFormat="1" ht="16.5" customHeight="1" thickTop="1">
      <c r="A18" s="90"/>
      <c r="B18" s="95"/>
      <c r="C18" s="262"/>
      <c r="D18" s="262"/>
      <c r="E18" s="262"/>
      <c r="F18" s="262"/>
      <c r="G18" s="262"/>
      <c r="H18" s="262"/>
      <c r="I18" s="263"/>
      <c r="J18" s="264"/>
      <c r="K18" s="262"/>
      <c r="L18" s="262"/>
      <c r="M18" s="262"/>
      <c r="N18" s="262"/>
      <c r="O18" s="262"/>
      <c r="P18" s="178"/>
      <c r="Q18" s="265"/>
      <c r="R18" s="262"/>
      <c r="S18" s="266"/>
      <c r="T18" s="267"/>
      <c r="U18" s="268"/>
      <c r="V18" s="269"/>
      <c r="W18" s="270"/>
      <c r="X18" s="271"/>
      <c r="Y18" s="272"/>
      <c r="Z18" s="273"/>
      <c r="AA18" s="274"/>
      <c r="AB18" s="265"/>
      <c r="AC18" s="275"/>
      <c r="AD18" s="17"/>
    </row>
    <row r="19" spans="1:30" s="5" customFormat="1" ht="16.5" customHeight="1">
      <c r="A19" s="90"/>
      <c r="B19" s="95"/>
      <c r="C19" s="276"/>
      <c r="D19" s="276"/>
      <c r="E19" s="276"/>
      <c r="F19" s="276"/>
      <c r="G19" s="276"/>
      <c r="H19" s="276"/>
      <c r="I19" s="277"/>
      <c r="J19" s="278"/>
      <c r="K19" s="276"/>
      <c r="L19" s="276"/>
      <c r="M19" s="276"/>
      <c r="N19" s="276"/>
      <c r="O19" s="276"/>
      <c r="P19" s="181"/>
      <c r="Q19" s="279"/>
      <c r="R19" s="276"/>
      <c r="S19" s="280"/>
      <c r="T19" s="281"/>
      <c r="U19" s="282"/>
      <c r="V19" s="283"/>
      <c r="W19" s="284"/>
      <c r="X19" s="285"/>
      <c r="Y19" s="286"/>
      <c r="Z19" s="287"/>
      <c r="AA19" s="288"/>
      <c r="AB19" s="279"/>
      <c r="AC19" s="289"/>
      <c r="AD19" s="17"/>
    </row>
    <row r="20" spans="1:30" s="5" customFormat="1" ht="16.5" customHeight="1">
      <c r="A20" s="90"/>
      <c r="B20" s="95"/>
      <c r="C20" s="276">
        <v>43</v>
      </c>
      <c r="D20" s="276">
        <v>216276</v>
      </c>
      <c r="E20" s="152">
        <v>2949</v>
      </c>
      <c r="F20" s="148" t="s">
        <v>213</v>
      </c>
      <c r="G20" s="290" t="s">
        <v>214</v>
      </c>
      <c r="H20" s="291">
        <v>300</v>
      </c>
      <c r="I20" s="1024" t="s">
        <v>260</v>
      </c>
      <c r="J20" s="293">
        <f aca="true" t="shared" si="0" ref="J20:J39">H20*$H$14</f>
        <v>95.7</v>
      </c>
      <c r="K20" s="153"/>
      <c r="L20" s="153"/>
      <c r="M20" s="294"/>
      <c r="N20" s="14"/>
      <c r="O20" s="154"/>
      <c r="P20" s="518"/>
      <c r="Q20" s="8"/>
      <c r="R20" s="223"/>
      <c r="S20" s="295"/>
      <c r="T20" s="901"/>
      <c r="U20" s="902"/>
      <c r="V20" s="298"/>
      <c r="W20" s="299"/>
      <c r="X20" s="300"/>
      <c r="Y20" s="301"/>
      <c r="Z20" s="302"/>
      <c r="AA20" s="941"/>
      <c r="AB20" s="903"/>
      <c r="AC20" s="305">
        <v>0</v>
      </c>
      <c r="AD20" s="17"/>
    </row>
    <row r="21" spans="1:30" s="5" customFormat="1" ht="16.5" customHeight="1">
      <c r="A21" s="90"/>
      <c r="B21" s="95"/>
      <c r="C21" s="276">
        <v>44</v>
      </c>
      <c r="D21" s="276">
        <v>217966</v>
      </c>
      <c r="E21" s="276">
        <v>2949</v>
      </c>
      <c r="F21" s="148" t="s">
        <v>213</v>
      </c>
      <c r="G21" s="290" t="s">
        <v>214</v>
      </c>
      <c r="H21" s="291">
        <v>300</v>
      </c>
      <c r="I21" s="1024" t="s">
        <v>296</v>
      </c>
      <c r="J21" s="293">
        <f t="shared" si="0"/>
        <v>95.7</v>
      </c>
      <c r="K21" s="153"/>
      <c r="L21" s="153"/>
      <c r="M21" s="294"/>
      <c r="N21" s="14"/>
      <c r="O21" s="154"/>
      <c r="P21" s="518"/>
      <c r="Q21" s="8"/>
      <c r="R21" s="223"/>
      <c r="S21" s="295">
        <f aca="true" t="shared" si="1" ref="S21:S39">$H$15*IF(OR(O21="P",O21="RP"),0.1,1)*IF(R21="SI",1,0.1)</f>
        <v>20</v>
      </c>
      <c r="T21" s="901" t="str">
        <f aca="true" t="shared" si="2" ref="T21:T39">IF(O21="P",J21*S21*ROUND(N21/60,2),"--")</f>
        <v>--</v>
      </c>
      <c r="U21" s="902" t="str">
        <f aca="true" t="shared" si="3" ref="U21:U39">IF(O21="RP",J21*S21*P21/100*ROUND(N21/60,2),"--")</f>
        <v>--</v>
      </c>
      <c r="V21" s="298" t="str">
        <f aca="true" t="shared" si="4" ref="V21:V39">IF(AND(O21="F",Q21="NO"),J21*S21,"--")</f>
        <v>--</v>
      </c>
      <c r="W21" s="299" t="str">
        <f aca="true" t="shared" si="5" ref="W21:W39">IF(O21="F",J21*S21*ROUND(N21/60,2),"--")</f>
        <v>--</v>
      </c>
      <c r="X21" s="300" t="str">
        <f aca="true" t="shared" si="6" ref="X21:X39">IF(AND(O21="R",Q21="NO"),J21*S21*P21/100,"--")</f>
        <v>--</v>
      </c>
      <c r="Y21" s="301" t="str">
        <f aca="true" t="shared" si="7" ref="Y21:Y39">IF(O21="R",J21*S21*P21/100*ROUND(N21/60,2),"--")</f>
        <v>--</v>
      </c>
      <c r="Z21" s="302" t="str">
        <f aca="true" t="shared" si="8" ref="Z21:Z39">IF(O21="RF",J21*S21*ROUND(N21/60,2),"--")</f>
        <v>--</v>
      </c>
      <c r="AA21" s="941" t="str">
        <f aca="true" t="shared" si="9" ref="AA21:AA39">IF(O21="RR",J21*S21*P21/100*ROUND(N21/60,2),"--")</f>
        <v>--</v>
      </c>
      <c r="AB21" s="903"/>
      <c r="AC21" s="305">
        <f aca="true" t="shared" si="10" ref="AC21:AC39">IF(F21="","",SUM(T21:AA21)*IF(AB21="SI",1,2)*IF(AND(P21&lt;&gt;"--",O21="RF"),P21/100,1))</f>
        <v>0</v>
      </c>
      <c r="AD21" s="17"/>
    </row>
    <row r="22" spans="1:30" s="5" customFormat="1" ht="16.5" customHeight="1">
      <c r="A22" s="90"/>
      <c r="B22" s="95"/>
      <c r="C22" s="276"/>
      <c r="D22" s="276"/>
      <c r="E22" s="152"/>
      <c r="F22" s="148"/>
      <c r="G22" s="290"/>
      <c r="H22" s="291"/>
      <c r="I22" s="292"/>
      <c r="J22" s="293">
        <f t="shared" si="0"/>
        <v>0</v>
      </c>
      <c r="K22" s="153"/>
      <c r="L22" s="153"/>
      <c r="M22" s="294">
        <f aca="true" t="shared" si="11" ref="M22:M39">IF(F22="","",(L22-K22)*24)</f>
      </c>
      <c r="N22" s="14">
        <f aca="true" t="shared" si="12" ref="N22:N39">IF(F22="","",ROUND((L22-K22)*24*60,0))</f>
      </c>
      <c r="O22" s="154"/>
      <c r="P22" s="518">
        <f aca="true" t="shared" si="13" ref="P22:P39">IF(F22="","","--")</f>
      </c>
      <c r="Q22" s="8">
        <f aca="true" t="shared" si="14" ref="Q22:Q39">IF(F22="","",IF(O22="P","--","NO"))</f>
      </c>
      <c r="R22" s="223">
        <f aca="true" t="shared" si="15" ref="R22:R39">IF(F22="","","NO")</f>
      </c>
      <c r="S22" s="295">
        <f t="shared" si="1"/>
        <v>20</v>
      </c>
      <c r="T22" s="901" t="str">
        <f t="shared" si="2"/>
        <v>--</v>
      </c>
      <c r="U22" s="902" t="str">
        <f t="shared" si="3"/>
        <v>--</v>
      </c>
      <c r="V22" s="298" t="str">
        <f t="shared" si="4"/>
        <v>--</v>
      </c>
      <c r="W22" s="299" t="str">
        <f t="shared" si="5"/>
        <v>--</v>
      </c>
      <c r="X22" s="300" t="str">
        <f t="shared" si="6"/>
        <v>--</v>
      </c>
      <c r="Y22" s="301" t="str">
        <f t="shared" si="7"/>
        <v>--</v>
      </c>
      <c r="Z22" s="302" t="str">
        <f t="shared" si="8"/>
        <v>--</v>
      </c>
      <c r="AA22" s="941" t="str">
        <f t="shared" si="9"/>
        <v>--</v>
      </c>
      <c r="AB22" s="903">
        <f aca="true" t="shared" si="16" ref="AB22:AB39">IF(F22="","","SI")</f>
      </c>
      <c r="AC22" s="305">
        <f t="shared" si="10"/>
      </c>
      <c r="AD22" s="17"/>
    </row>
    <row r="23" spans="1:30" s="5" customFormat="1" ht="16.5" customHeight="1">
      <c r="A23" s="90"/>
      <c r="B23" s="95"/>
      <c r="C23" s="276"/>
      <c r="D23" s="276"/>
      <c r="E23" s="276"/>
      <c r="F23" s="148"/>
      <c r="G23" s="290"/>
      <c r="H23" s="291"/>
      <c r="I23" s="292"/>
      <c r="J23" s="293">
        <f t="shared" si="0"/>
        <v>0</v>
      </c>
      <c r="K23" s="153"/>
      <c r="L23" s="153"/>
      <c r="M23" s="294">
        <f t="shared" si="11"/>
      </c>
      <c r="N23" s="14">
        <f t="shared" si="12"/>
      </c>
      <c r="O23" s="154"/>
      <c r="P23" s="518">
        <f t="shared" si="13"/>
      </c>
      <c r="Q23" s="8">
        <f t="shared" si="14"/>
      </c>
      <c r="R23" s="223">
        <f t="shared" si="15"/>
      </c>
      <c r="S23" s="295">
        <f t="shared" si="1"/>
        <v>20</v>
      </c>
      <c r="T23" s="901" t="str">
        <f t="shared" si="2"/>
        <v>--</v>
      </c>
      <c r="U23" s="902" t="str">
        <f t="shared" si="3"/>
        <v>--</v>
      </c>
      <c r="V23" s="298" t="str">
        <f t="shared" si="4"/>
        <v>--</v>
      </c>
      <c r="W23" s="299" t="str">
        <f t="shared" si="5"/>
        <v>--</v>
      </c>
      <c r="X23" s="300" t="str">
        <f t="shared" si="6"/>
        <v>--</v>
      </c>
      <c r="Y23" s="301" t="str">
        <f t="shared" si="7"/>
        <v>--</v>
      </c>
      <c r="Z23" s="302" t="str">
        <f t="shared" si="8"/>
        <v>--</v>
      </c>
      <c r="AA23" s="941" t="str">
        <f t="shared" si="9"/>
        <v>--</v>
      </c>
      <c r="AB23" s="903">
        <f t="shared" si="16"/>
      </c>
      <c r="AC23" s="305">
        <f t="shared" si="10"/>
      </c>
      <c r="AD23" s="17"/>
    </row>
    <row r="24" spans="1:30" s="5" customFormat="1" ht="16.5" customHeight="1">
      <c r="A24" s="90"/>
      <c r="B24" s="95"/>
      <c r="C24" s="276"/>
      <c r="D24" s="276"/>
      <c r="E24" s="152"/>
      <c r="F24" s="148"/>
      <c r="G24" s="290"/>
      <c r="H24" s="291"/>
      <c r="I24" s="292"/>
      <c r="J24" s="293">
        <f t="shared" si="0"/>
        <v>0</v>
      </c>
      <c r="K24" s="153"/>
      <c r="L24" s="153"/>
      <c r="M24" s="294">
        <f t="shared" si="11"/>
      </c>
      <c r="N24" s="14">
        <f t="shared" si="12"/>
      </c>
      <c r="O24" s="154"/>
      <c r="P24" s="518">
        <f t="shared" si="13"/>
      </c>
      <c r="Q24" s="8">
        <f t="shared" si="14"/>
      </c>
      <c r="R24" s="223">
        <f t="shared" si="15"/>
      </c>
      <c r="S24" s="295">
        <f t="shared" si="1"/>
        <v>20</v>
      </c>
      <c r="T24" s="901" t="str">
        <f t="shared" si="2"/>
        <v>--</v>
      </c>
      <c r="U24" s="902" t="str">
        <f t="shared" si="3"/>
        <v>--</v>
      </c>
      <c r="V24" s="298" t="str">
        <f t="shared" si="4"/>
        <v>--</v>
      </c>
      <c r="W24" s="299" t="str">
        <f t="shared" si="5"/>
        <v>--</v>
      </c>
      <c r="X24" s="300" t="str">
        <f t="shared" si="6"/>
        <v>--</v>
      </c>
      <c r="Y24" s="301" t="str">
        <f t="shared" si="7"/>
        <v>--</v>
      </c>
      <c r="Z24" s="302" t="str">
        <f t="shared" si="8"/>
        <v>--</v>
      </c>
      <c r="AA24" s="941" t="str">
        <f t="shared" si="9"/>
        <v>--</v>
      </c>
      <c r="AB24" s="903">
        <f t="shared" si="16"/>
      </c>
      <c r="AC24" s="305">
        <f t="shared" si="10"/>
      </c>
      <c r="AD24" s="17"/>
    </row>
    <row r="25" spans="1:30" s="5" customFormat="1" ht="16.5" customHeight="1">
      <c r="A25" s="90"/>
      <c r="B25" s="95"/>
      <c r="C25" s="276"/>
      <c r="D25" s="276"/>
      <c r="E25" s="276"/>
      <c r="F25" s="148"/>
      <c r="G25" s="290"/>
      <c r="H25" s="291"/>
      <c r="I25" s="292"/>
      <c r="J25" s="293">
        <f t="shared" si="0"/>
        <v>0</v>
      </c>
      <c r="K25" s="153"/>
      <c r="L25" s="153"/>
      <c r="M25" s="294">
        <f t="shared" si="11"/>
      </c>
      <c r="N25" s="14">
        <f t="shared" si="12"/>
      </c>
      <c r="O25" s="154"/>
      <c r="P25" s="518">
        <f t="shared" si="13"/>
      </c>
      <c r="Q25" s="8">
        <f t="shared" si="14"/>
      </c>
      <c r="R25" s="223">
        <f t="shared" si="15"/>
      </c>
      <c r="S25" s="295">
        <f t="shared" si="1"/>
        <v>20</v>
      </c>
      <c r="T25" s="901" t="str">
        <f t="shared" si="2"/>
        <v>--</v>
      </c>
      <c r="U25" s="902" t="str">
        <f t="shared" si="3"/>
        <v>--</v>
      </c>
      <c r="V25" s="298" t="str">
        <f t="shared" si="4"/>
        <v>--</v>
      </c>
      <c r="W25" s="299" t="str">
        <f t="shared" si="5"/>
        <v>--</v>
      </c>
      <c r="X25" s="300" t="str">
        <f t="shared" si="6"/>
        <v>--</v>
      </c>
      <c r="Y25" s="301" t="str">
        <f t="shared" si="7"/>
        <v>--</v>
      </c>
      <c r="Z25" s="302" t="str">
        <f t="shared" si="8"/>
        <v>--</v>
      </c>
      <c r="AA25" s="941" t="str">
        <f t="shared" si="9"/>
        <v>--</v>
      </c>
      <c r="AB25" s="903">
        <f t="shared" si="16"/>
      </c>
      <c r="AC25" s="305">
        <f t="shared" si="10"/>
      </c>
      <c r="AD25" s="17"/>
    </row>
    <row r="26" spans="1:31" s="5" customFormat="1" ht="16.5" customHeight="1">
      <c r="A26" s="90"/>
      <c r="B26" s="95"/>
      <c r="C26" s="276"/>
      <c r="D26" s="276"/>
      <c r="E26" s="152"/>
      <c r="F26" s="148"/>
      <c r="G26" s="290"/>
      <c r="H26" s="291"/>
      <c r="I26" s="292"/>
      <c r="J26" s="293">
        <f t="shared" si="0"/>
        <v>0</v>
      </c>
      <c r="K26" s="153"/>
      <c r="L26" s="153"/>
      <c r="M26" s="294">
        <f t="shared" si="11"/>
      </c>
      <c r="N26" s="14">
        <f t="shared" si="12"/>
      </c>
      <c r="O26" s="154"/>
      <c r="P26" s="518">
        <f t="shared" si="13"/>
      </c>
      <c r="Q26" s="8">
        <f t="shared" si="14"/>
      </c>
      <c r="R26" s="223">
        <f t="shared" si="15"/>
      </c>
      <c r="S26" s="295">
        <f t="shared" si="1"/>
        <v>20</v>
      </c>
      <c r="T26" s="901" t="str">
        <f t="shared" si="2"/>
        <v>--</v>
      </c>
      <c r="U26" s="902" t="str">
        <f t="shared" si="3"/>
        <v>--</v>
      </c>
      <c r="V26" s="298" t="str">
        <f t="shared" si="4"/>
        <v>--</v>
      </c>
      <c r="W26" s="299" t="str">
        <f t="shared" si="5"/>
        <v>--</v>
      </c>
      <c r="X26" s="300" t="str">
        <f t="shared" si="6"/>
        <v>--</v>
      </c>
      <c r="Y26" s="301" t="str">
        <f t="shared" si="7"/>
        <v>--</v>
      </c>
      <c r="Z26" s="302" t="str">
        <f t="shared" si="8"/>
        <v>--</v>
      </c>
      <c r="AA26" s="941" t="str">
        <f t="shared" si="9"/>
        <v>--</v>
      </c>
      <c r="AB26" s="903">
        <f t="shared" si="16"/>
      </c>
      <c r="AC26" s="305">
        <f t="shared" si="10"/>
      </c>
      <c r="AD26" s="17"/>
      <c r="AE26" s="15"/>
    </row>
    <row r="27" spans="1:30" s="5" customFormat="1" ht="16.5" customHeight="1">
      <c r="A27" s="90"/>
      <c r="B27" s="95"/>
      <c r="C27" s="276"/>
      <c r="D27" s="276"/>
      <c r="E27" s="276"/>
      <c r="F27" s="148"/>
      <c r="G27" s="290"/>
      <c r="H27" s="291"/>
      <c r="I27" s="292"/>
      <c r="J27" s="293">
        <f t="shared" si="0"/>
        <v>0</v>
      </c>
      <c r="K27" s="153"/>
      <c r="L27" s="153"/>
      <c r="M27" s="294">
        <f t="shared" si="11"/>
      </c>
      <c r="N27" s="14">
        <f t="shared" si="12"/>
      </c>
      <c r="O27" s="154"/>
      <c r="P27" s="518">
        <f t="shared" si="13"/>
      </c>
      <c r="Q27" s="8">
        <f t="shared" si="14"/>
      </c>
      <c r="R27" s="223">
        <f t="shared" si="15"/>
      </c>
      <c r="S27" s="295">
        <f t="shared" si="1"/>
        <v>20</v>
      </c>
      <c r="T27" s="901" t="str">
        <f t="shared" si="2"/>
        <v>--</v>
      </c>
      <c r="U27" s="902" t="str">
        <f t="shared" si="3"/>
        <v>--</v>
      </c>
      <c r="V27" s="298" t="str">
        <f t="shared" si="4"/>
        <v>--</v>
      </c>
      <c r="W27" s="299" t="str">
        <f t="shared" si="5"/>
        <v>--</v>
      </c>
      <c r="X27" s="300" t="str">
        <f t="shared" si="6"/>
        <v>--</v>
      </c>
      <c r="Y27" s="301" t="str">
        <f t="shared" si="7"/>
        <v>--</v>
      </c>
      <c r="Z27" s="302" t="str">
        <f t="shared" si="8"/>
        <v>--</v>
      </c>
      <c r="AA27" s="941" t="str">
        <f t="shared" si="9"/>
        <v>--</v>
      </c>
      <c r="AB27" s="903">
        <f t="shared" si="16"/>
      </c>
      <c r="AC27" s="305">
        <f t="shared" si="10"/>
      </c>
      <c r="AD27" s="17"/>
    </row>
    <row r="28" spans="1:30" s="5" customFormat="1" ht="16.5" customHeight="1">
      <c r="A28" s="90"/>
      <c r="B28" s="95"/>
      <c r="C28" s="276"/>
      <c r="D28" s="276"/>
      <c r="E28" s="152"/>
      <c r="F28" s="148"/>
      <c r="G28" s="290"/>
      <c r="H28" s="291"/>
      <c r="I28" s="292"/>
      <c r="J28" s="293">
        <f t="shared" si="0"/>
        <v>0</v>
      </c>
      <c r="K28" s="153"/>
      <c r="L28" s="153"/>
      <c r="M28" s="294">
        <f t="shared" si="11"/>
      </c>
      <c r="N28" s="14">
        <f t="shared" si="12"/>
      </c>
      <c r="O28" s="154"/>
      <c r="P28" s="518">
        <f t="shared" si="13"/>
      </c>
      <c r="Q28" s="8">
        <f t="shared" si="14"/>
      </c>
      <c r="R28" s="223">
        <f t="shared" si="15"/>
      </c>
      <c r="S28" s="295">
        <f t="shared" si="1"/>
        <v>20</v>
      </c>
      <c r="T28" s="901" t="str">
        <f t="shared" si="2"/>
        <v>--</v>
      </c>
      <c r="U28" s="902" t="str">
        <f t="shared" si="3"/>
        <v>--</v>
      </c>
      <c r="V28" s="298" t="str">
        <f t="shared" si="4"/>
        <v>--</v>
      </c>
      <c r="W28" s="299" t="str">
        <f t="shared" si="5"/>
        <v>--</v>
      </c>
      <c r="X28" s="300" t="str">
        <f t="shared" si="6"/>
        <v>--</v>
      </c>
      <c r="Y28" s="301" t="str">
        <f t="shared" si="7"/>
        <v>--</v>
      </c>
      <c r="Z28" s="302" t="str">
        <f t="shared" si="8"/>
        <v>--</v>
      </c>
      <c r="AA28" s="941" t="str">
        <f t="shared" si="9"/>
        <v>--</v>
      </c>
      <c r="AB28" s="903">
        <f t="shared" si="16"/>
      </c>
      <c r="AC28" s="305">
        <f t="shared" si="10"/>
      </c>
      <c r="AD28" s="17"/>
    </row>
    <row r="29" spans="1:30" s="5" customFormat="1" ht="16.5" customHeight="1">
      <c r="A29" s="90"/>
      <c r="B29" s="95"/>
      <c r="C29" s="276"/>
      <c r="D29" s="276"/>
      <c r="E29" s="276"/>
      <c r="F29" s="148"/>
      <c r="G29" s="290"/>
      <c r="H29" s="291"/>
      <c r="I29" s="292"/>
      <c r="J29" s="293">
        <f t="shared" si="0"/>
        <v>0</v>
      </c>
      <c r="K29" s="153"/>
      <c r="L29" s="153"/>
      <c r="M29" s="294">
        <f t="shared" si="11"/>
      </c>
      <c r="N29" s="14">
        <f t="shared" si="12"/>
      </c>
      <c r="O29" s="154"/>
      <c r="P29" s="518">
        <f t="shared" si="13"/>
      </c>
      <c r="Q29" s="8">
        <f t="shared" si="14"/>
      </c>
      <c r="R29" s="223">
        <f t="shared" si="15"/>
      </c>
      <c r="S29" s="295">
        <f t="shared" si="1"/>
        <v>20</v>
      </c>
      <c r="T29" s="901" t="str">
        <f t="shared" si="2"/>
        <v>--</v>
      </c>
      <c r="U29" s="902" t="str">
        <f t="shared" si="3"/>
        <v>--</v>
      </c>
      <c r="V29" s="298" t="str">
        <f t="shared" si="4"/>
        <v>--</v>
      </c>
      <c r="W29" s="299" t="str">
        <f t="shared" si="5"/>
        <v>--</v>
      </c>
      <c r="X29" s="300" t="str">
        <f t="shared" si="6"/>
        <v>--</v>
      </c>
      <c r="Y29" s="301" t="str">
        <f t="shared" si="7"/>
        <v>--</v>
      </c>
      <c r="Z29" s="302" t="str">
        <f t="shared" si="8"/>
        <v>--</v>
      </c>
      <c r="AA29" s="941" t="str">
        <f t="shared" si="9"/>
        <v>--</v>
      </c>
      <c r="AB29" s="903">
        <f t="shared" si="16"/>
      </c>
      <c r="AC29" s="305">
        <f t="shared" si="10"/>
      </c>
      <c r="AD29" s="17"/>
    </row>
    <row r="30" spans="1:30" s="5" customFormat="1" ht="16.5" customHeight="1">
      <c r="A30" s="90"/>
      <c r="B30" s="95"/>
      <c r="C30" s="276"/>
      <c r="D30" s="276"/>
      <c r="E30" s="152"/>
      <c r="F30" s="148"/>
      <c r="G30" s="306"/>
      <c r="H30" s="291"/>
      <c r="I30" s="292"/>
      <c r="J30" s="293">
        <f t="shared" si="0"/>
        <v>0</v>
      </c>
      <c r="K30" s="153"/>
      <c r="L30" s="153"/>
      <c r="M30" s="294">
        <f t="shared" si="11"/>
      </c>
      <c r="N30" s="14">
        <f t="shared" si="12"/>
      </c>
      <c r="O30" s="154"/>
      <c r="P30" s="518">
        <f t="shared" si="13"/>
      </c>
      <c r="Q30" s="8">
        <f t="shared" si="14"/>
      </c>
      <c r="R30" s="223">
        <f t="shared" si="15"/>
      </c>
      <c r="S30" s="295">
        <f t="shared" si="1"/>
        <v>20</v>
      </c>
      <c r="T30" s="901" t="str">
        <f t="shared" si="2"/>
        <v>--</v>
      </c>
      <c r="U30" s="902" t="str">
        <f t="shared" si="3"/>
        <v>--</v>
      </c>
      <c r="V30" s="298" t="str">
        <f t="shared" si="4"/>
        <v>--</v>
      </c>
      <c r="W30" s="299" t="str">
        <f t="shared" si="5"/>
        <v>--</v>
      </c>
      <c r="X30" s="300" t="str">
        <f t="shared" si="6"/>
        <v>--</v>
      </c>
      <c r="Y30" s="301" t="str">
        <f t="shared" si="7"/>
        <v>--</v>
      </c>
      <c r="Z30" s="302" t="str">
        <f t="shared" si="8"/>
        <v>--</v>
      </c>
      <c r="AA30" s="941" t="str">
        <f t="shared" si="9"/>
        <v>--</v>
      </c>
      <c r="AB30" s="903">
        <f t="shared" si="16"/>
      </c>
      <c r="AC30" s="305">
        <f t="shared" si="10"/>
      </c>
      <c r="AD30" s="17"/>
    </row>
    <row r="31" spans="1:30" s="5" customFormat="1" ht="16.5" customHeight="1">
      <c r="A31" s="90"/>
      <c r="B31" s="95"/>
      <c r="C31" s="276"/>
      <c r="D31" s="276"/>
      <c r="E31" s="276"/>
      <c r="F31" s="148"/>
      <c r="G31" s="306"/>
      <c r="H31" s="291"/>
      <c r="I31" s="292"/>
      <c r="J31" s="293">
        <f t="shared" si="0"/>
        <v>0</v>
      </c>
      <c r="K31" s="153"/>
      <c r="L31" s="153"/>
      <c r="M31" s="294">
        <f t="shared" si="11"/>
      </c>
      <c r="N31" s="14">
        <f t="shared" si="12"/>
      </c>
      <c r="O31" s="154"/>
      <c r="P31" s="518">
        <f t="shared" si="13"/>
      </c>
      <c r="Q31" s="8">
        <f t="shared" si="14"/>
      </c>
      <c r="R31" s="223">
        <f t="shared" si="15"/>
      </c>
      <c r="S31" s="295">
        <f t="shared" si="1"/>
        <v>20</v>
      </c>
      <c r="T31" s="901" t="str">
        <f t="shared" si="2"/>
        <v>--</v>
      </c>
      <c r="U31" s="902" t="str">
        <f t="shared" si="3"/>
        <v>--</v>
      </c>
      <c r="V31" s="298" t="str">
        <f t="shared" si="4"/>
        <v>--</v>
      </c>
      <c r="W31" s="299" t="str">
        <f t="shared" si="5"/>
        <v>--</v>
      </c>
      <c r="X31" s="300" t="str">
        <f t="shared" si="6"/>
        <v>--</v>
      </c>
      <c r="Y31" s="301" t="str">
        <f t="shared" si="7"/>
        <v>--</v>
      </c>
      <c r="Z31" s="302" t="str">
        <f t="shared" si="8"/>
        <v>--</v>
      </c>
      <c r="AA31" s="941" t="str">
        <f t="shared" si="9"/>
        <v>--</v>
      </c>
      <c r="AB31" s="903">
        <f t="shared" si="16"/>
      </c>
      <c r="AC31" s="305">
        <f t="shared" si="10"/>
      </c>
      <c r="AD31" s="17"/>
    </row>
    <row r="32" spans="1:30" s="5" customFormat="1" ht="16.5" customHeight="1">
      <c r="A32" s="90"/>
      <c r="B32" s="95"/>
      <c r="C32" s="276"/>
      <c r="D32" s="276"/>
      <c r="E32" s="152"/>
      <c r="F32" s="148"/>
      <c r="G32" s="306"/>
      <c r="H32" s="291"/>
      <c r="I32" s="292"/>
      <c r="J32" s="293">
        <f t="shared" si="0"/>
        <v>0</v>
      </c>
      <c r="K32" s="153"/>
      <c r="L32" s="153"/>
      <c r="M32" s="294">
        <f t="shared" si="11"/>
      </c>
      <c r="N32" s="14">
        <f t="shared" si="12"/>
      </c>
      <c r="O32" s="154"/>
      <c r="P32" s="518">
        <f t="shared" si="13"/>
      </c>
      <c r="Q32" s="8">
        <f t="shared" si="14"/>
      </c>
      <c r="R32" s="223">
        <f t="shared" si="15"/>
      </c>
      <c r="S32" s="295">
        <f t="shared" si="1"/>
        <v>20</v>
      </c>
      <c r="T32" s="901" t="str">
        <f t="shared" si="2"/>
        <v>--</v>
      </c>
      <c r="U32" s="902" t="str">
        <f t="shared" si="3"/>
        <v>--</v>
      </c>
      <c r="V32" s="298" t="str">
        <f t="shared" si="4"/>
        <v>--</v>
      </c>
      <c r="W32" s="299" t="str">
        <f t="shared" si="5"/>
        <v>--</v>
      </c>
      <c r="X32" s="300" t="str">
        <f t="shared" si="6"/>
        <v>--</v>
      </c>
      <c r="Y32" s="301" t="str">
        <f t="shared" si="7"/>
        <v>--</v>
      </c>
      <c r="Z32" s="302" t="str">
        <f t="shared" si="8"/>
        <v>--</v>
      </c>
      <c r="AA32" s="941" t="str">
        <f t="shared" si="9"/>
        <v>--</v>
      </c>
      <c r="AB32" s="903">
        <f t="shared" si="16"/>
      </c>
      <c r="AC32" s="305">
        <f t="shared" si="10"/>
      </c>
      <c r="AD32" s="17"/>
    </row>
    <row r="33" spans="1:30" s="5" customFormat="1" ht="16.5" customHeight="1">
      <c r="A33" s="90"/>
      <c r="B33" s="95"/>
      <c r="C33" s="276"/>
      <c r="D33" s="276"/>
      <c r="E33" s="276"/>
      <c r="F33" s="148"/>
      <c r="G33" s="306"/>
      <c r="H33" s="291"/>
      <c r="I33" s="292"/>
      <c r="J33" s="293">
        <f t="shared" si="0"/>
        <v>0</v>
      </c>
      <c r="K33" s="153"/>
      <c r="L33" s="153"/>
      <c r="M33" s="294">
        <f t="shared" si="11"/>
      </c>
      <c r="N33" s="14">
        <f t="shared" si="12"/>
      </c>
      <c r="O33" s="154"/>
      <c r="P33" s="518">
        <f t="shared" si="13"/>
      </c>
      <c r="Q33" s="8">
        <f t="shared" si="14"/>
      </c>
      <c r="R33" s="223">
        <f t="shared" si="15"/>
      </c>
      <c r="S33" s="295">
        <f t="shared" si="1"/>
        <v>20</v>
      </c>
      <c r="T33" s="901" t="str">
        <f t="shared" si="2"/>
        <v>--</v>
      </c>
      <c r="U33" s="902" t="str">
        <f t="shared" si="3"/>
        <v>--</v>
      </c>
      <c r="V33" s="298" t="str">
        <f t="shared" si="4"/>
        <v>--</v>
      </c>
      <c r="W33" s="299" t="str">
        <f t="shared" si="5"/>
        <v>--</v>
      </c>
      <c r="X33" s="300" t="str">
        <f t="shared" si="6"/>
        <v>--</v>
      </c>
      <c r="Y33" s="301" t="str">
        <f t="shared" si="7"/>
        <v>--</v>
      </c>
      <c r="Z33" s="302" t="str">
        <f t="shared" si="8"/>
        <v>--</v>
      </c>
      <c r="AA33" s="941" t="str">
        <f t="shared" si="9"/>
        <v>--</v>
      </c>
      <c r="AB33" s="903">
        <f t="shared" si="16"/>
      </c>
      <c r="AC33" s="305">
        <f t="shared" si="10"/>
      </c>
      <c r="AD33" s="17"/>
    </row>
    <row r="34" spans="1:30" s="5" customFormat="1" ht="16.5" customHeight="1">
      <c r="A34" s="90"/>
      <c r="B34" s="95"/>
      <c r="C34" s="276"/>
      <c r="D34" s="276"/>
      <c r="E34" s="152"/>
      <c r="F34" s="148"/>
      <c r="G34" s="306"/>
      <c r="H34" s="291"/>
      <c r="I34" s="292"/>
      <c r="J34" s="293">
        <f t="shared" si="0"/>
        <v>0</v>
      </c>
      <c r="K34" s="153"/>
      <c r="L34" s="153"/>
      <c r="M34" s="294">
        <f t="shared" si="11"/>
      </c>
      <c r="N34" s="14">
        <f t="shared" si="12"/>
      </c>
      <c r="O34" s="154"/>
      <c r="P34" s="518">
        <f t="shared" si="13"/>
      </c>
      <c r="Q34" s="8">
        <f t="shared" si="14"/>
      </c>
      <c r="R34" s="223">
        <f t="shared" si="15"/>
      </c>
      <c r="S34" s="295">
        <f t="shared" si="1"/>
        <v>20</v>
      </c>
      <c r="T34" s="901" t="str">
        <f t="shared" si="2"/>
        <v>--</v>
      </c>
      <c r="U34" s="902" t="str">
        <f t="shared" si="3"/>
        <v>--</v>
      </c>
      <c r="V34" s="298" t="str">
        <f t="shared" si="4"/>
        <v>--</v>
      </c>
      <c r="W34" s="299" t="str">
        <f t="shared" si="5"/>
        <v>--</v>
      </c>
      <c r="X34" s="300" t="str">
        <f t="shared" si="6"/>
        <v>--</v>
      </c>
      <c r="Y34" s="301" t="str">
        <f t="shared" si="7"/>
        <v>--</v>
      </c>
      <c r="Z34" s="302" t="str">
        <f t="shared" si="8"/>
        <v>--</v>
      </c>
      <c r="AA34" s="941" t="str">
        <f t="shared" si="9"/>
        <v>--</v>
      </c>
      <c r="AB34" s="903">
        <f t="shared" si="16"/>
      </c>
      <c r="AC34" s="305">
        <f t="shared" si="10"/>
      </c>
      <c r="AD34" s="17"/>
    </row>
    <row r="35" spans="1:30" s="5" customFormat="1" ht="16.5" customHeight="1">
      <c r="A35" s="90"/>
      <c r="B35" s="95"/>
      <c r="C35" s="276"/>
      <c r="D35" s="276"/>
      <c r="E35" s="276"/>
      <c r="F35" s="148"/>
      <c r="G35" s="306"/>
      <c r="H35" s="291"/>
      <c r="I35" s="292"/>
      <c r="J35" s="293">
        <f t="shared" si="0"/>
        <v>0</v>
      </c>
      <c r="K35" s="153"/>
      <c r="L35" s="153"/>
      <c r="M35" s="294">
        <f t="shared" si="11"/>
      </c>
      <c r="N35" s="14">
        <f t="shared" si="12"/>
      </c>
      <c r="O35" s="154"/>
      <c r="P35" s="518">
        <f t="shared" si="13"/>
      </c>
      <c r="Q35" s="8">
        <f t="shared" si="14"/>
      </c>
      <c r="R35" s="223">
        <f t="shared" si="15"/>
      </c>
      <c r="S35" s="295">
        <f t="shared" si="1"/>
        <v>20</v>
      </c>
      <c r="T35" s="901" t="str">
        <f t="shared" si="2"/>
        <v>--</v>
      </c>
      <c r="U35" s="902" t="str">
        <f t="shared" si="3"/>
        <v>--</v>
      </c>
      <c r="V35" s="298" t="str">
        <f t="shared" si="4"/>
        <v>--</v>
      </c>
      <c r="W35" s="299" t="str">
        <f t="shared" si="5"/>
        <v>--</v>
      </c>
      <c r="X35" s="300" t="str">
        <f t="shared" si="6"/>
        <v>--</v>
      </c>
      <c r="Y35" s="301" t="str">
        <f t="shared" si="7"/>
        <v>--</v>
      </c>
      <c r="Z35" s="302" t="str">
        <f t="shared" si="8"/>
        <v>--</v>
      </c>
      <c r="AA35" s="941" t="str">
        <f t="shared" si="9"/>
        <v>--</v>
      </c>
      <c r="AB35" s="903">
        <f t="shared" si="16"/>
      </c>
      <c r="AC35" s="305">
        <f t="shared" si="10"/>
      </c>
      <c r="AD35" s="17"/>
    </row>
    <row r="36" spans="1:30" s="5" customFormat="1" ht="16.5" customHeight="1">
      <c r="A36" s="90"/>
      <c r="B36" s="95"/>
      <c r="C36" s="276"/>
      <c r="D36" s="276"/>
      <c r="E36" s="152"/>
      <c r="F36" s="148"/>
      <c r="G36" s="306"/>
      <c r="H36" s="291"/>
      <c r="I36" s="292"/>
      <c r="J36" s="293">
        <f t="shared" si="0"/>
        <v>0</v>
      </c>
      <c r="K36" s="153"/>
      <c r="L36" s="153"/>
      <c r="M36" s="294">
        <f t="shared" si="11"/>
      </c>
      <c r="N36" s="14">
        <f t="shared" si="12"/>
      </c>
      <c r="O36" s="154"/>
      <c r="P36" s="518">
        <f t="shared" si="13"/>
      </c>
      <c r="Q36" s="8">
        <f t="shared" si="14"/>
      </c>
      <c r="R36" s="223">
        <f t="shared" si="15"/>
      </c>
      <c r="S36" s="295">
        <f t="shared" si="1"/>
        <v>20</v>
      </c>
      <c r="T36" s="901" t="str">
        <f t="shared" si="2"/>
        <v>--</v>
      </c>
      <c r="U36" s="902" t="str">
        <f t="shared" si="3"/>
        <v>--</v>
      </c>
      <c r="V36" s="298" t="str">
        <f t="shared" si="4"/>
        <v>--</v>
      </c>
      <c r="W36" s="299" t="str">
        <f t="shared" si="5"/>
        <v>--</v>
      </c>
      <c r="X36" s="300" t="str">
        <f t="shared" si="6"/>
        <v>--</v>
      </c>
      <c r="Y36" s="301" t="str">
        <f t="shared" si="7"/>
        <v>--</v>
      </c>
      <c r="Z36" s="302" t="str">
        <f t="shared" si="8"/>
        <v>--</v>
      </c>
      <c r="AA36" s="941" t="str">
        <f t="shared" si="9"/>
        <v>--</v>
      </c>
      <c r="AB36" s="903">
        <f t="shared" si="16"/>
      </c>
      <c r="AC36" s="305">
        <f t="shared" si="10"/>
      </c>
      <c r="AD36" s="17"/>
    </row>
    <row r="37" spans="1:30" s="5" customFormat="1" ht="16.5" customHeight="1">
      <c r="A37" s="90"/>
      <c r="B37" s="95"/>
      <c r="C37" s="276"/>
      <c r="D37" s="276"/>
      <c r="E37" s="276"/>
      <c r="F37" s="148"/>
      <c r="G37" s="306"/>
      <c r="H37" s="291"/>
      <c r="I37" s="292"/>
      <c r="J37" s="293">
        <f t="shared" si="0"/>
        <v>0</v>
      </c>
      <c r="K37" s="153"/>
      <c r="L37" s="153"/>
      <c r="M37" s="294">
        <f t="shared" si="11"/>
      </c>
      <c r="N37" s="14">
        <f t="shared" si="12"/>
      </c>
      <c r="O37" s="154"/>
      <c r="P37" s="518">
        <f t="shared" si="13"/>
      </c>
      <c r="Q37" s="8">
        <f t="shared" si="14"/>
      </c>
      <c r="R37" s="223">
        <f t="shared" si="15"/>
      </c>
      <c r="S37" s="295">
        <f t="shared" si="1"/>
        <v>20</v>
      </c>
      <c r="T37" s="901" t="str">
        <f t="shared" si="2"/>
        <v>--</v>
      </c>
      <c r="U37" s="902" t="str">
        <f t="shared" si="3"/>
        <v>--</v>
      </c>
      <c r="V37" s="298" t="str">
        <f t="shared" si="4"/>
        <v>--</v>
      </c>
      <c r="W37" s="299" t="str">
        <f t="shared" si="5"/>
        <v>--</v>
      </c>
      <c r="X37" s="300" t="str">
        <f t="shared" si="6"/>
        <v>--</v>
      </c>
      <c r="Y37" s="301" t="str">
        <f t="shared" si="7"/>
        <v>--</v>
      </c>
      <c r="Z37" s="302" t="str">
        <f t="shared" si="8"/>
        <v>--</v>
      </c>
      <c r="AA37" s="941" t="str">
        <f t="shared" si="9"/>
        <v>--</v>
      </c>
      <c r="AB37" s="903">
        <f t="shared" si="16"/>
      </c>
      <c r="AC37" s="305">
        <f t="shared" si="10"/>
      </c>
      <c r="AD37" s="17"/>
    </row>
    <row r="38" spans="1:30" s="5" customFormat="1" ht="16.5" customHeight="1">
      <c r="A38" s="90"/>
      <c r="B38" s="95"/>
      <c r="C38" s="276"/>
      <c r="D38" s="276"/>
      <c r="E38" s="152"/>
      <c r="F38" s="148"/>
      <c r="G38" s="306"/>
      <c r="H38" s="291"/>
      <c r="I38" s="292"/>
      <c r="J38" s="293">
        <f t="shared" si="0"/>
        <v>0</v>
      </c>
      <c r="K38" s="153"/>
      <c r="L38" s="153"/>
      <c r="M38" s="294">
        <f t="shared" si="11"/>
      </c>
      <c r="N38" s="14">
        <f t="shared" si="12"/>
      </c>
      <c r="O38" s="154"/>
      <c r="P38" s="518">
        <f t="shared" si="13"/>
      </c>
      <c r="Q38" s="8">
        <f t="shared" si="14"/>
      </c>
      <c r="R38" s="223">
        <f t="shared" si="15"/>
      </c>
      <c r="S38" s="295">
        <f t="shared" si="1"/>
        <v>20</v>
      </c>
      <c r="T38" s="901" t="str">
        <f t="shared" si="2"/>
        <v>--</v>
      </c>
      <c r="U38" s="902" t="str">
        <f t="shared" si="3"/>
        <v>--</v>
      </c>
      <c r="V38" s="298" t="str">
        <f t="shared" si="4"/>
        <v>--</v>
      </c>
      <c r="W38" s="299" t="str">
        <f t="shared" si="5"/>
        <v>--</v>
      </c>
      <c r="X38" s="300" t="str">
        <f t="shared" si="6"/>
        <v>--</v>
      </c>
      <c r="Y38" s="301" t="str">
        <f t="shared" si="7"/>
        <v>--</v>
      </c>
      <c r="Z38" s="302" t="str">
        <f t="shared" si="8"/>
        <v>--</v>
      </c>
      <c r="AA38" s="941" t="str">
        <f t="shared" si="9"/>
        <v>--</v>
      </c>
      <c r="AB38" s="903">
        <f t="shared" si="16"/>
      </c>
      <c r="AC38" s="305">
        <f t="shared" si="10"/>
      </c>
      <c r="AD38" s="17"/>
    </row>
    <row r="39" spans="1:30" s="5" customFormat="1" ht="16.5" customHeight="1">
      <c r="A39" s="90"/>
      <c r="B39" s="95"/>
      <c r="C39" s="276"/>
      <c r="D39" s="276"/>
      <c r="E39" s="276"/>
      <c r="F39" s="148"/>
      <c r="G39" s="306"/>
      <c r="H39" s="291"/>
      <c r="I39" s="292"/>
      <c r="J39" s="293">
        <f t="shared" si="0"/>
        <v>0</v>
      </c>
      <c r="K39" s="153"/>
      <c r="L39" s="153"/>
      <c r="M39" s="294">
        <f t="shared" si="11"/>
      </c>
      <c r="N39" s="14">
        <f t="shared" si="12"/>
      </c>
      <c r="O39" s="154"/>
      <c r="P39" s="518">
        <f t="shared" si="13"/>
      </c>
      <c r="Q39" s="8">
        <f t="shared" si="14"/>
      </c>
      <c r="R39" s="223">
        <f t="shared" si="15"/>
      </c>
      <c r="S39" s="295">
        <f t="shared" si="1"/>
        <v>20</v>
      </c>
      <c r="T39" s="901" t="str">
        <f t="shared" si="2"/>
        <v>--</v>
      </c>
      <c r="U39" s="902" t="str">
        <f t="shared" si="3"/>
        <v>--</v>
      </c>
      <c r="V39" s="298" t="str">
        <f t="shared" si="4"/>
        <v>--</v>
      </c>
      <c r="W39" s="299" t="str">
        <f t="shared" si="5"/>
        <v>--</v>
      </c>
      <c r="X39" s="300" t="str">
        <f t="shared" si="6"/>
        <v>--</v>
      </c>
      <c r="Y39" s="301" t="str">
        <f t="shared" si="7"/>
        <v>--</v>
      </c>
      <c r="Z39" s="302" t="str">
        <f t="shared" si="8"/>
        <v>--</v>
      </c>
      <c r="AA39" s="941" t="str">
        <f t="shared" si="9"/>
        <v>--</v>
      </c>
      <c r="AB39" s="903">
        <f t="shared" si="16"/>
      </c>
      <c r="AC39" s="305">
        <f t="shared" si="10"/>
      </c>
      <c r="AD39" s="17"/>
    </row>
    <row r="40" spans="1:30" s="5" customFormat="1" ht="16.5" customHeight="1" thickBot="1">
      <c r="A40" s="90"/>
      <c r="B40" s="95"/>
      <c r="C40" s="307"/>
      <c r="D40" s="307"/>
      <c r="E40" s="307"/>
      <c r="F40" s="307"/>
      <c r="G40" s="307"/>
      <c r="H40" s="307"/>
      <c r="I40" s="309"/>
      <c r="J40" s="131"/>
      <c r="K40" s="155"/>
      <c r="L40" s="310"/>
      <c r="M40" s="311"/>
      <c r="N40" s="312"/>
      <c r="O40" s="158"/>
      <c r="P40" s="190"/>
      <c r="Q40" s="156"/>
      <c r="R40" s="158"/>
      <c r="S40" s="343"/>
      <c r="T40" s="334"/>
      <c r="U40" s="335"/>
      <c r="V40" s="336"/>
      <c r="W40" s="337"/>
      <c r="X40" s="338"/>
      <c r="Y40" s="339"/>
      <c r="Z40" s="340"/>
      <c r="AA40" s="341"/>
      <c r="AB40" s="342"/>
      <c r="AC40" s="323"/>
      <c r="AD40" s="17"/>
    </row>
    <row r="41" spans="1:30" s="5" customFormat="1" ht="16.5" customHeight="1" thickBot="1" thickTop="1">
      <c r="A41" s="90"/>
      <c r="B41" s="95"/>
      <c r="C41" s="1025" t="s">
        <v>293</v>
      </c>
      <c r="D41" s="1036" t="s">
        <v>169</v>
      </c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24">
        <f aca="true" t="shared" si="17" ref="T41:AA41">SUM(T18:T40)</f>
        <v>0</v>
      </c>
      <c r="U41" s="325">
        <f t="shared" si="17"/>
        <v>0</v>
      </c>
      <c r="V41" s="326">
        <f t="shared" si="17"/>
        <v>0</v>
      </c>
      <c r="W41" s="327">
        <f t="shared" si="17"/>
        <v>0</v>
      </c>
      <c r="X41" s="328">
        <f t="shared" si="17"/>
        <v>0</v>
      </c>
      <c r="Y41" s="329">
        <f t="shared" si="17"/>
        <v>0</v>
      </c>
      <c r="Z41" s="330">
        <f t="shared" si="17"/>
        <v>0</v>
      </c>
      <c r="AA41" s="331">
        <f t="shared" si="17"/>
        <v>0</v>
      </c>
      <c r="AB41" s="90"/>
      <c r="AC41" s="332">
        <f>ROUND(SUM(AC18:AC40),2)</f>
        <v>0</v>
      </c>
      <c r="AD41" s="17"/>
    </row>
    <row r="42" spans="1:30" s="5" customFormat="1" ht="16.5" customHeight="1" thickTop="1">
      <c r="A42" s="90"/>
      <c r="B42" s="95"/>
      <c r="C42" s="1035" t="s">
        <v>260</v>
      </c>
      <c r="D42" s="1036" t="s">
        <v>295</v>
      </c>
      <c r="E42" s="1027"/>
      <c r="F42" s="128"/>
      <c r="G42" s="15"/>
      <c r="H42" s="15"/>
      <c r="I42" s="15"/>
      <c r="J42" s="15"/>
      <c r="K42" s="15"/>
      <c r="L42" s="99"/>
      <c r="M42" s="15"/>
      <c r="N42" s="15"/>
      <c r="O42" s="15"/>
      <c r="P42" s="15"/>
      <c r="Q42" s="15"/>
      <c r="R42" s="15"/>
      <c r="S42" s="15"/>
      <c r="T42" s="1028"/>
      <c r="U42" s="1029"/>
      <c r="V42" s="1030"/>
      <c r="W42" s="1030"/>
      <c r="X42" s="1031"/>
      <c r="Y42" s="1031"/>
      <c r="Z42" s="1032"/>
      <c r="AA42" s="1033"/>
      <c r="AB42" s="90"/>
      <c r="AC42" s="1034"/>
      <c r="AD42" s="17"/>
    </row>
    <row r="43" spans="1:30" s="5" customFormat="1" ht="16.5" customHeight="1">
      <c r="A43" s="90"/>
      <c r="B43" s="95"/>
      <c r="C43" s="1035" t="s">
        <v>296</v>
      </c>
      <c r="D43" s="1036" t="s">
        <v>297</v>
      </c>
      <c r="E43" s="10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1028"/>
      <c r="U43" s="1029"/>
      <c r="V43" s="1030"/>
      <c r="W43" s="1030"/>
      <c r="X43" s="1031"/>
      <c r="Y43" s="1031"/>
      <c r="Z43" s="1032"/>
      <c r="AA43" s="1033"/>
      <c r="AB43" s="90"/>
      <c r="AC43" s="1034"/>
      <c r="AD43" s="17"/>
    </row>
    <row r="44" spans="1:30" s="5" customFormat="1" ht="8.25" customHeight="1" thickBot="1">
      <c r="A44" s="90"/>
      <c r="B44" s="101"/>
      <c r="C44" s="75"/>
      <c r="D44" s="1026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ht="16.5" customHeight="1">
      <c r="A47" s="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ht="16.5" customHeight="1">
      <c r="A48" s="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spans="6:31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</row>
    <row r="152" spans="6:31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</row>
    <row r="153" ht="16.5" customHeight="1">
      <c r="AE153" s="172"/>
    </row>
    <row r="154" ht="16.5" customHeight="1">
      <c r="AE154" s="172"/>
    </row>
    <row r="155" ht="16.5" customHeight="1">
      <c r="AE155" s="172"/>
    </row>
    <row r="156" ht="16.5" customHeight="1">
      <c r="AE156" s="172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6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E156"/>
  <sheetViews>
    <sheetView zoomScale="70" zoomScaleNormal="70" workbookViewId="0" topLeftCell="A1">
      <selection activeCell="H17" sqref="H17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5"/>
    </row>
    <row r="2" spans="1:30" s="18" customFormat="1" ht="26.25">
      <c r="A2" s="91"/>
      <c r="B2" s="245" t="str">
        <f>'TOT-0110'!B2</f>
        <v>ANEXO II al Memorandum D.T.E.E. N°    679       / 2011           </v>
      </c>
      <c r="C2" s="245"/>
      <c r="D2" s="245"/>
      <c r="E2" s="245"/>
      <c r="F2" s="245"/>
      <c r="G2" s="19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246" t="s">
        <v>64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246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247" t="s">
        <v>58</v>
      </c>
      <c r="G8" s="105"/>
      <c r="H8" s="105"/>
      <c r="I8" s="248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249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45" customFormat="1" ht="30" customHeight="1">
      <c r="A10" s="839"/>
      <c r="B10" s="840"/>
      <c r="C10" s="843"/>
      <c r="D10" s="843"/>
      <c r="E10" s="839"/>
      <c r="F10" s="841" t="s">
        <v>151</v>
      </c>
      <c r="G10" s="839"/>
      <c r="H10" s="842"/>
      <c r="I10" s="843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43"/>
      <c r="U10" s="843"/>
      <c r="V10" s="843"/>
      <c r="W10" s="843"/>
      <c r="X10" s="843"/>
      <c r="Y10" s="843"/>
      <c r="Z10" s="843"/>
      <c r="AA10" s="843"/>
      <c r="AB10" s="843"/>
      <c r="AC10" s="843"/>
      <c r="AD10" s="844"/>
    </row>
    <row r="11" spans="1:30" s="850" customFormat="1" ht="9.75" customHeight="1">
      <c r="A11" s="846"/>
      <c r="B11" s="847"/>
      <c r="C11" s="848"/>
      <c r="D11" s="848"/>
      <c r="E11" s="846"/>
      <c r="G11" s="848"/>
      <c r="H11" s="848"/>
      <c r="I11" s="848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8"/>
      <c r="U11" s="848"/>
      <c r="V11" s="848"/>
      <c r="W11" s="848"/>
      <c r="X11" s="848"/>
      <c r="Y11" s="848"/>
      <c r="Z11" s="848"/>
      <c r="AA11" s="848"/>
      <c r="AB11" s="848"/>
      <c r="AC11" s="848"/>
      <c r="AD11" s="849"/>
    </row>
    <row r="12" spans="1:30" s="850" customFormat="1" ht="21" customHeight="1">
      <c r="A12" s="839"/>
      <c r="B12" s="840"/>
      <c r="C12" s="843"/>
      <c r="D12" s="843"/>
      <c r="E12" s="839"/>
      <c r="F12" s="841" t="s">
        <v>309</v>
      </c>
      <c r="G12" s="839"/>
      <c r="H12" s="839"/>
      <c r="I12" s="839"/>
      <c r="J12" s="852"/>
      <c r="K12" s="852"/>
      <c r="L12" s="852"/>
      <c r="M12" s="852"/>
      <c r="N12" s="852"/>
      <c r="O12" s="846"/>
      <c r="P12" s="846"/>
      <c r="Q12" s="846"/>
      <c r="R12" s="846"/>
      <c r="S12" s="846"/>
      <c r="T12" s="848"/>
      <c r="U12" s="848"/>
      <c r="V12" s="848"/>
      <c r="W12" s="848"/>
      <c r="X12" s="848"/>
      <c r="Y12" s="848"/>
      <c r="Z12" s="848"/>
      <c r="AA12" s="848"/>
      <c r="AB12" s="848"/>
      <c r="AC12" s="848"/>
      <c r="AD12" s="849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'TOT-0110'!B14</f>
        <v>Desde el 01 al 31 de enero de 2010</v>
      </c>
      <c r="C14" s="40"/>
      <c r="D14" s="40"/>
      <c r="E14" s="250"/>
      <c r="F14" s="112"/>
      <c r="G14" s="112"/>
      <c r="H14" s="112"/>
      <c r="I14" s="112"/>
      <c r="J14" s="112"/>
      <c r="K14" s="112"/>
      <c r="L14" s="112"/>
      <c r="M14" s="112"/>
      <c r="N14" s="112"/>
      <c r="O14" s="250"/>
      <c r="P14" s="250"/>
      <c r="Q14" s="250"/>
      <c r="R14" s="250"/>
      <c r="S14" s="250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251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252" t="s">
        <v>65</v>
      </c>
      <c r="G16" s="253"/>
      <c r="H16" s="254">
        <v>0.418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824">
        <v>200</v>
      </c>
      <c r="I17"/>
      <c r="J17" s="15"/>
      <c r="K17" s="201"/>
      <c r="L17" s="202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20">
        <v>3</v>
      </c>
      <c r="D18" s="920">
        <v>4</v>
      </c>
      <c r="E18" s="920">
        <v>5</v>
      </c>
      <c r="F18" s="920">
        <v>6</v>
      </c>
      <c r="G18" s="920">
        <v>7</v>
      </c>
      <c r="H18" s="920">
        <v>8</v>
      </c>
      <c r="I18" s="920">
        <v>9</v>
      </c>
      <c r="J18" s="920">
        <v>10</v>
      </c>
      <c r="K18" s="920">
        <v>11</v>
      </c>
      <c r="L18" s="920">
        <v>12</v>
      </c>
      <c r="M18" s="920">
        <v>13</v>
      </c>
      <c r="N18" s="920">
        <v>14</v>
      </c>
      <c r="O18" s="920">
        <v>15</v>
      </c>
      <c r="P18" s="920">
        <v>16</v>
      </c>
      <c r="Q18" s="920">
        <v>17</v>
      </c>
      <c r="R18" s="920">
        <v>18</v>
      </c>
      <c r="S18" s="920">
        <v>19</v>
      </c>
      <c r="T18" s="920">
        <v>20</v>
      </c>
      <c r="U18" s="920">
        <v>21</v>
      </c>
      <c r="V18" s="920">
        <v>22</v>
      </c>
      <c r="W18" s="920">
        <v>23</v>
      </c>
      <c r="X18" s="920">
        <v>24</v>
      </c>
      <c r="Y18" s="920">
        <v>25</v>
      </c>
      <c r="Z18" s="920">
        <v>26</v>
      </c>
      <c r="AA18" s="920">
        <v>27</v>
      </c>
      <c r="AB18" s="920">
        <v>28</v>
      </c>
      <c r="AC18" s="920">
        <v>29</v>
      </c>
      <c r="AD18" s="17"/>
    </row>
    <row r="19" spans="1:30" s="5" customFormat="1" ht="33.75" customHeight="1" thickBot="1" thickTop="1">
      <c r="A19" s="90"/>
      <c r="B19" s="95"/>
      <c r="C19" s="123" t="s">
        <v>13</v>
      </c>
      <c r="D19" s="84" t="s">
        <v>171</v>
      </c>
      <c r="E19" s="84" t="s">
        <v>172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9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46</v>
      </c>
      <c r="Q19" s="122" t="s">
        <v>32</v>
      </c>
      <c r="R19" s="118" t="s">
        <v>33</v>
      </c>
      <c r="S19" s="255" t="s">
        <v>37</v>
      </c>
      <c r="T19" s="256" t="s">
        <v>20</v>
      </c>
      <c r="U19" s="257" t="s">
        <v>21</v>
      </c>
      <c r="V19" s="207" t="s">
        <v>66</v>
      </c>
      <c r="W19" s="209"/>
      <c r="X19" s="258" t="s">
        <v>67</v>
      </c>
      <c r="Y19" s="259"/>
      <c r="Z19" s="260" t="s">
        <v>22</v>
      </c>
      <c r="AA19" s="261" t="s">
        <v>62</v>
      </c>
      <c r="AB19" s="132" t="s">
        <v>63</v>
      </c>
      <c r="AC19" s="121" t="s">
        <v>24</v>
      </c>
      <c r="AD19" s="17"/>
    </row>
    <row r="20" spans="1:30" s="5" customFormat="1" ht="16.5" customHeight="1" thickTop="1">
      <c r="A20" s="90"/>
      <c r="B20" s="95"/>
      <c r="C20" s="262"/>
      <c r="D20" s="262"/>
      <c r="E20" s="262"/>
      <c r="F20" s="262"/>
      <c r="G20" s="262"/>
      <c r="H20" s="262"/>
      <c r="I20" s="263"/>
      <c r="J20" s="264"/>
      <c r="K20" s="262"/>
      <c r="L20" s="262"/>
      <c r="M20" s="262"/>
      <c r="N20" s="262"/>
      <c r="O20" s="262"/>
      <c r="P20" s="178"/>
      <c r="Q20" s="265"/>
      <c r="R20" s="262"/>
      <c r="S20" s="266"/>
      <c r="T20" s="267"/>
      <c r="U20" s="268"/>
      <c r="V20" s="269"/>
      <c r="W20" s="270"/>
      <c r="X20" s="271"/>
      <c r="Y20" s="272"/>
      <c r="Z20" s="273"/>
      <c r="AA20" s="274"/>
      <c r="AB20" s="265"/>
      <c r="AC20" s="275"/>
      <c r="AD20" s="17"/>
    </row>
    <row r="21" spans="1:30" s="5" customFormat="1" ht="16.5" customHeight="1">
      <c r="A21" s="90"/>
      <c r="B21" s="95"/>
      <c r="C21" s="276"/>
      <c r="D21" s="276"/>
      <c r="E21" s="276"/>
      <c r="F21" s="276"/>
      <c r="G21" s="276"/>
      <c r="H21" s="276"/>
      <c r="I21" s="277"/>
      <c r="J21" s="278"/>
      <c r="K21" s="276"/>
      <c r="L21" s="276"/>
      <c r="M21" s="276"/>
      <c r="N21" s="276"/>
      <c r="O21" s="276"/>
      <c r="P21" s="181"/>
      <c r="Q21" s="279"/>
      <c r="R21" s="276"/>
      <c r="S21" s="280"/>
      <c r="T21" s="281"/>
      <c r="U21" s="282"/>
      <c r="V21" s="283"/>
      <c r="W21" s="284"/>
      <c r="X21" s="285"/>
      <c r="Y21" s="286"/>
      <c r="Z21" s="287"/>
      <c r="AA21" s="288"/>
      <c r="AB21" s="279"/>
      <c r="AC21" s="289"/>
      <c r="AD21" s="17"/>
    </row>
    <row r="22" spans="1:30" s="5" customFormat="1" ht="16.5" customHeight="1">
      <c r="A22" s="90"/>
      <c r="B22" s="95"/>
      <c r="C22" s="152">
        <v>31</v>
      </c>
      <c r="D22" s="152">
        <v>202170</v>
      </c>
      <c r="E22" s="152">
        <v>1689</v>
      </c>
      <c r="F22" s="148" t="s">
        <v>200</v>
      </c>
      <c r="G22" s="290" t="s">
        <v>201</v>
      </c>
      <c r="H22" s="291">
        <v>150</v>
      </c>
      <c r="I22" s="292" t="s">
        <v>202</v>
      </c>
      <c r="J22" s="293">
        <f>H22*$H$16</f>
        <v>62.699999999999996</v>
      </c>
      <c r="K22" s="153">
        <v>40179</v>
      </c>
      <c r="L22" s="153">
        <v>40209.99998842592</v>
      </c>
      <c r="M22" s="294">
        <f>IF(F22="","",(L22-K22)*24)</f>
        <v>743.9997222221573</v>
      </c>
      <c r="N22" s="14">
        <f>IF(F22="","",ROUND((L22-K22)*24*60,0))</f>
        <v>44640</v>
      </c>
      <c r="O22" s="154" t="s">
        <v>191</v>
      </c>
      <c r="P22" s="1080" t="str">
        <f>IF(F22="","","--")</f>
        <v>--</v>
      </c>
      <c r="Q22" s="1081" t="str">
        <f>IF(F22="","",IF(OR(O22="P",O22="RP"),"--","NO"))</f>
        <v>--</v>
      </c>
      <c r="R22" s="13" t="str">
        <f>IF(F22="","","NO")</f>
        <v>NO</v>
      </c>
      <c r="S22" s="1082">
        <f>$H$17*IF(OR(O22="P",O22="RP"),0.1,1)*IF(R22="SI",1,0.1)</f>
        <v>2</v>
      </c>
      <c r="T22" s="1083">
        <f>IF(O22="P",J22*S22*ROUND(N22/60,2),"--")</f>
        <v>93297.59999999999</v>
      </c>
      <c r="U22" s="1084" t="str">
        <f>IF(O22="RP",J22*S22*P22/100*ROUND(N22/60,2),"--")</f>
        <v>--</v>
      </c>
      <c r="V22" s="1085" t="str">
        <f>IF(AND(O22="F",Q22="NO"),J22*S22,"--")</f>
        <v>--</v>
      </c>
      <c r="W22" s="1086" t="str">
        <f>IF(O22="F",J22*S22*ROUND(N22/60,2),"--")</f>
        <v>--</v>
      </c>
      <c r="X22" s="1087" t="str">
        <f>IF(AND(O22="R",Q22="NO"),J22*S22*P22/100,"--")</f>
        <v>--</v>
      </c>
      <c r="Y22" s="1088" t="str">
        <f>IF(O22="R",J22*S22*P22/100*ROUND(N22/60,2),"--")</f>
        <v>--</v>
      </c>
      <c r="Z22" s="1089" t="str">
        <f>IF(O22="RF",J22*S22*ROUND(N22/60,2),"--")</f>
        <v>--</v>
      </c>
      <c r="AA22" s="1090" t="str">
        <f>IF(O22="RR",J22*S22*P22/100*ROUND(N22/60,2),"--")</f>
        <v>--</v>
      </c>
      <c r="AB22" s="304" t="s">
        <v>148</v>
      </c>
      <c r="AC22" s="16">
        <f>IF(F22="","",(SUM(T22:AA22)*IF(AB22="SI",1,2)*IF(AND(P22&lt;&gt;"--",O22="RF"),P22/100,1)))</f>
        <v>93297.59999999999</v>
      </c>
      <c r="AD22" s="17"/>
    </row>
    <row r="23" spans="1:30" s="5" customFormat="1" ht="16.5" customHeight="1">
      <c r="A23" s="90"/>
      <c r="B23" s="95"/>
      <c r="C23" s="276"/>
      <c r="D23" s="276"/>
      <c r="E23" s="276"/>
      <c r="F23" s="148"/>
      <c r="G23" s="290"/>
      <c r="H23" s="291"/>
      <c r="I23" s="292"/>
      <c r="J23" s="293"/>
      <c r="K23" s="153"/>
      <c r="L23" s="153"/>
      <c r="M23" s="294"/>
      <c r="N23" s="14"/>
      <c r="O23" s="154"/>
      <c r="P23" s="518"/>
      <c r="Q23" s="8"/>
      <c r="R23" s="223"/>
      <c r="S23" s="295"/>
      <c r="T23" s="296"/>
      <c r="U23" s="297"/>
      <c r="V23" s="298"/>
      <c r="W23" s="299"/>
      <c r="X23" s="300"/>
      <c r="Y23" s="301"/>
      <c r="Z23" s="302"/>
      <c r="AA23" s="303"/>
      <c r="AB23" s="304"/>
      <c r="AC23" s="16"/>
      <c r="AD23" s="17"/>
    </row>
    <row r="24" spans="1:30" s="5" customFormat="1" ht="16.5" customHeight="1">
      <c r="A24" s="90"/>
      <c r="B24" s="95"/>
      <c r="C24" s="152"/>
      <c r="D24" s="152"/>
      <c r="E24" s="152"/>
      <c r="F24" s="148"/>
      <c r="G24" s="290"/>
      <c r="H24" s="291"/>
      <c r="I24" s="292"/>
      <c r="J24" s="293"/>
      <c r="K24" s="153"/>
      <c r="L24" s="153"/>
      <c r="M24" s="294"/>
      <c r="N24" s="14"/>
      <c r="O24" s="154"/>
      <c r="P24" s="518"/>
      <c r="Q24" s="8"/>
      <c r="R24" s="223"/>
      <c r="S24" s="295"/>
      <c r="T24" s="296"/>
      <c r="U24" s="297"/>
      <c r="V24" s="298"/>
      <c r="W24" s="299"/>
      <c r="X24" s="300"/>
      <c r="Y24" s="301"/>
      <c r="Z24" s="302"/>
      <c r="AA24" s="303"/>
      <c r="AB24" s="304"/>
      <c r="AC24" s="16"/>
      <c r="AD24" s="17"/>
    </row>
    <row r="25" spans="1:30" s="5" customFormat="1" ht="16.5" customHeight="1">
      <c r="A25" s="90"/>
      <c r="B25" s="95"/>
      <c r="C25" s="276"/>
      <c r="D25" s="276"/>
      <c r="E25" s="276"/>
      <c r="F25" s="148"/>
      <c r="G25" s="290"/>
      <c r="H25" s="291"/>
      <c r="I25" s="292"/>
      <c r="J25" s="293"/>
      <c r="K25" s="153"/>
      <c r="L25" s="153"/>
      <c r="M25" s="294"/>
      <c r="N25" s="14"/>
      <c r="O25" s="154"/>
      <c r="P25" s="518"/>
      <c r="Q25" s="8"/>
      <c r="R25" s="223"/>
      <c r="S25" s="295"/>
      <c r="T25" s="296"/>
      <c r="U25" s="297"/>
      <c r="V25" s="298"/>
      <c r="W25" s="299"/>
      <c r="X25" s="300"/>
      <c r="Y25" s="301"/>
      <c r="Z25" s="302"/>
      <c r="AA25" s="303"/>
      <c r="AB25" s="304"/>
      <c r="AC25" s="16"/>
      <c r="AD25" s="17"/>
    </row>
    <row r="26" spans="1:30" s="5" customFormat="1" ht="16.5" customHeight="1">
      <c r="A26" s="90"/>
      <c r="B26" s="95"/>
      <c r="C26" s="152"/>
      <c r="D26" s="152"/>
      <c r="E26" s="152"/>
      <c r="F26" s="148"/>
      <c r="G26" s="290"/>
      <c r="H26" s="291"/>
      <c r="I26" s="292"/>
      <c r="J26" s="293"/>
      <c r="K26" s="153"/>
      <c r="L26" s="153"/>
      <c r="M26" s="294"/>
      <c r="N26" s="14"/>
      <c r="O26" s="154"/>
      <c r="P26" s="518"/>
      <c r="Q26" s="8"/>
      <c r="R26" s="223"/>
      <c r="S26" s="295"/>
      <c r="T26" s="296"/>
      <c r="U26" s="297"/>
      <c r="V26" s="298"/>
      <c r="W26" s="299"/>
      <c r="X26" s="300"/>
      <c r="Y26" s="301"/>
      <c r="Z26" s="302"/>
      <c r="AA26" s="303"/>
      <c r="AB26" s="304"/>
      <c r="AC26" s="16"/>
      <c r="AD26" s="17"/>
    </row>
    <row r="27" spans="1:30" s="5" customFormat="1" ht="16.5" customHeight="1">
      <c r="A27" s="90"/>
      <c r="B27" s="95"/>
      <c r="C27" s="276"/>
      <c r="D27" s="276"/>
      <c r="E27" s="276"/>
      <c r="F27" s="148"/>
      <c r="G27" s="290"/>
      <c r="H27" s="291"/>
      <c r="I27" s="292"/>
      <c r="J27" s="293"/>
      <c r="K27" s="153"/>
      <c r="L27" s="153"/>
      <c r="M27" s="294"/>
      <c r="N27" s="14"/>
      <c r="O27" s="154"/>
      <c r="P27" s="518"/>
      <c r="Q27" s="8"/>
      <c r="R27" s="223"/>
      <c r="S27" s="295"/>
      <c r="T27" s="296"/>
      <c r="U27" s="297"/>
      <c r="V27" s="298"/>
      <c r="W27" s="299"/>
      <c r="X27" s="300"/>
      <c r="Y27" s="301"/>
      <c r="Z27" s="302"/>
      <c r="AA27" s="303"/>
      <c r="AB27" s="304"/>
      <c r="AC27" s="16"/>
      <c r="AD27" s="17"/>
    </row>
    <row r="28" spans="1:31" s="5" customFormat="1" ht="16.5" customHeight="1">
      <c r="A28" s="90"/>
      <c r="B28" s="95"/>
      <c r="C28" s="152"/>
      <c r="D28" s="152"/>
      <c r="E28" s="152"/>
      <c r="F28" s="148"/>
      <c r="G28" s="290"/>
      <c r="H28" s="291"/>
      <c r="I28" s="292"/>
      <c r="J28" s="293"/>
      <c r="K28" s="153"/>
      <c r="L28" s="153"/>
      <c r="M28" s="294"/>
      <c r="N28" s="14"/>
      <c r="O28" s="154"/>
      <c r="P28" s="518"/>
      <c r="Q28" s="8"/>
      <c r="R28" s="223"/>
      <c r="S28" s="295"/>
      <c r="T28" s="296"/>
      <c r="U28" s="297"/>
      <c r="V28" s="298"/>
      <c r="W28" s="299"/>
      <c r="X28" s="300"/>
      <c r="Y28" s="301"/>
      <c r="Z28" s="302"/>
      <c r="AA28" s="303"/>
      <c r="AB28" s="304"/>
      <c r="AC28" s="16"/>
      <c r="AD28" s="17"/>
      <c r="AE28" s="15"/>
    </row>
    <row r="29" spans="1:30" s="5" customFormat="1" ht="16.5" customHeight="1">
      <c r="A29" s="90"/>
      <c r="B29" s="95"/>
      <c r="C29" s="276"/>
      <c r="D29" s="276"/>
      <c r="E29" s="276"/>
      <c r="F29" s="148"/>
      <c r="G29" s="290"/>
      <c r="H29" s="291"/>
      <c r="I29" s="292"/>
      <c r="J29" s="293"/>
      <c r="K29" s="153"/>
      <c r="L29" s="153"/>
      <c r="M29" s="294"/>
      <c r="N29" s="14"/>
      <c r="O29" s="154"/>
      <c r="P29" s="518"/>
      <c r="Q29" s="8"/>
      <c r="R29" s="223"/>
      <c r="S29" s="295"/>
      <c r="T29" s="296"/>
      <c r="U29" s="297"/>
      <c r="V29" s="298"/>
      <c r="W29" s="299"/>
      <c r="X29" s="300"/>
      <c r="Y29" s="301"/>
      <c r="Z29" s="302"/>
      <c r="AA29" s="303"/>
      <c r="AB29" s="304"/>
      <c r="AC29" s="16"/>
      <c r="AD29" s="17"/>
    </row>
    <row r="30" spans="1:30" s="5" customFormat="1" ht="16.5" customHeight="1">
      <c r="A30" s="90"/>
      <c r="B30" s="95"/>
      <c r="C30" s="152"/>
      <c r="D30" s="152"/>
      <c r="E30" s="152"/>
      <c r="F30" s="148"/>
      <c r="G30" s="290"/>
      <c r="H30" s="291"/>
      <c r="I30" s="292"/>
      <c r="J30" s="293"/>
      <c r="K30" s="153"/>
      <c r="L30" s="153"/>
      <c r="M30" s="294"/>
      <c r="N30" s="14"/>
      <c r="O30" s="154"/>
      <c r="P30" s="518"/>
      <c r="Q30" s="8"/>
      <c r="R30" s="223"/>
      <c r="S30" s="295"/>
      <c r="T30" s="296"/>
      <c r="U30" s="297"/>
      <c r="V30" s="298"/>
      <c r="W30" s="299"/>
      <c r="X30" s="300"/>
      <c r="Y30" s="301"/>
      <c r="Z30" s="302"/>
      <c r="AA30" s="303"/>
      <c r="AB30" s="304"/>
      <c r="AC30" s="16"/>
      <c r="AD30" s="17"/>
    </row>
    <row r="31" spans="1:30" s="5" customFormat="1" ht="16.5" customHeight="1">
      <c r="A31" s="90"/>
      <c r="B31" s="95"/>
      <c r="C31" s="276"/>
      <c r="D31" s="276"/>
      <c r="E31" s="276"/>
      <c r="F31" s="148"/>
      <c r="G31" s="290"/>
      <c r="H31" s="291"/>
      <c r="I31" s="292"/>
      <c r="J31" s="293"/>
      <c r="K31" s="153"/>
      <c r="L31" s="153"/>
      <c r="M31" s="294"/>
      <c r="N31" s="14"/>
      <c r="O31" s="154"/>
      <c r="P31" s="518"/>
      <c r="Q31" s="8"/>
      <c r="R31" s="223"/>
      <c r="S31" s="295"/>
      <c r="T31" s="296"/>
      <c r="U31" s="297"/>
      <c r="V31" s="298"/>
      <c r="W31" s="299"/>
      <c r="X31" s="300"/>
      <c r="Y31" s="301"/>
      <c r="Z31" s="302"/>
      <c r="AA31" s="303"/>
      <c r="AB31" s="304"/>
      <c r="AC31" s="16"/>
      <c r="AD31" s="17"/>
    </row>
    <row r="32" spans="1:30" s="5" customFormat="1" ht="16.5" customHeight="1">
      <c r="A32" s="90"/>
      <c r="B32" s="95"/>
      <c r="C32" s="152"/>
      <c r="D32" s="152"/>
      <c r="E32" s="152"/>
      <c r="F32" s="148"/>
      <c r="G32" s="306"/>
      <c r="H32" s="291"/>
      <c r="I32" s="292"/>
      <c r="J32" s="293">
        <f aca="true" t="shared" si="0" ref="J32:J41">H32*$H$16</f>
        <v>0</v>
      </c>
      <c r="K32" s="153"/>
      <c r="L32" s="153"/>
      <c r="M32" s="294">
        <f aca="true" t="shared" si="1" ref="M32:M41">IF(F32="","",(L32-K32)*24)</f>
      </c>
      <c r="N32" s="14">
        <f aca="true" t="shared" si="2" ref="N32:N41">IF(F32="","",ROUND((L32-K32)*24*60,0))</f>
      </c>
      <c r="O32" s="154"/>
      <c r="P32" s="518">
        <f aca="true" t="shared" si="3" ref="P32:P41">IF(F32="","","--")</f>
      </c>
      <c r="Q32" s="8">
        <f aca="true" t="shared" si="4" ref="Q32:Q41">IF(F32="","",IF(OR(O32="P",O32="RP"),"--","NO"))</f>
      </c>
      <c r="R32" s="223">
        <f aca="true" t="shared" si="5" ref="R32:R41">IF(F32="","","NO")</f>
      </c>
      <c r="S32" s="295">
        <f aca="true" t="shared" si="6" ref="S32:S41">$H$17*IF(OR(O32="P",O32="RP"),0.1,1)*IF(R32="SI",1,0.1)</f>
        <v>20</v>
      </c>
      <c r="T32" s="296" t="str">
        <f aca="true" t="shared" si="7" ref="T32:T41">IF(O32="P",J32*S32*ROUND(N32/60,2),"--")</f>
        <v>--</v>
      </c>
      <c r="U32" s="297" t="str">
        <f aca="true" t="shared" si="8" ref="U32:U41">IF(O32="RP",J32*S32*P32/100*ROUND(N32/60,2),"--")</f>
        <v>--</v>
      </c>
      <c r="V32" s="298" t="str">
        <f aca="true" t="shared" si="9" ref="V32:V41">IF(AND(O32="F",Q32="NO"),J32*S32,"--")</f>
        <v>--</v>
      </c>
      <c r="W32" s="299" t="str">
        <f aca="true" t="shared" si="10" ref="W32:W41">IF(O32="F",J32*S32*ROUND(N32/60,2),"--")</f>
        <v>--</v>
      </c>
      <c r="X32" s="300" t="str">
        <f aca="true" t="shared" si="11" ref="X32:X41">IF(AND(O32="R",Q32="NO"),J32*S32*P32/100,"--")</f>
        <v>--</v>
      </c>
      <c r="Y32" s="301" t="str">
        <f aca="true" t="shared" si="12" ref="Y32:Y41">IF(O32="R",J32*S32*P32/100*ROUND(N32/60,2),"--")</f>
        <v>--</v>
      </c>
      <c r="Z32" s="302" t="str">
        <f aca="true" t="shared" si="13" ref="Z32:Z41">IF(O32="RF",J32*S32*ROUND(N32/60,2),"--")</f>
        <v>--</v>
      </c>
      <c r="AA32" s="303" t="str">
        <f aca="true" t="shared" si="14" ref="AA32:AA41">IF(O32="RR",J32*S32*P32/100*ROUND(N32/60,2),"--")</f>
        <v>--</v>
      </c>
      <c r="AB32" s="304">
        <f aca="true" t="shared" si="15" ref="AB32:AB41">IF(F32="","","SI")</f>
      </c>
      <c r="AC32" s="16">
        <f aca="true" t="shared" si="16" ref="AC32:AC41">IF(F32="","",(SUM(T32:AA32)*IF(AB32="SI",1,2)*IF(AND(P32&lt;&gt;"--",O32="RF"),P32/100,1)))</f>
      </c>
      <c r="AD32" s="17"/>
    </row>
    <row r="33" spans="1:30" s="5" customFormat="1" ht="16.5" customHeight="1">
      <c r="A33" s="90"/>
      <c r="B33" s="95"/>
      <c r="C33" s="276"/>
      <c r="D33" s="276"/>
      <c r="E33" s="276"/>
      <c r="F33" s="148"/>
      <c r="G33" s="306"/>
      <c r="H33" s="291"/>
      <c r="I33" s="292"/>
      <c r="J33" s="293">
        <f t="shared" si="0"/>
        <v>0</v>
      </c>
      <c r="K33" s="153"/>
      <c r="L33" s="153"/>
      <c r="M33" s="294">
        <f t="shared" si="1"/>
      </c>
      <c r="N33" s="14">
        <f t="shared" si="2"/>
      </c>
      <c r="O33" s="154"/>
      <c r="P33" s="518">
        <f t="shared" si="3"/>
      </c>
      <c r="Q33" s="8">
        <f t="shared" si="4"/>
      </c>
      <c r="R33" s="223">
        <f t="shared" si="5"/>
      </c>
      <c r="S33" s="295">
        <f t="shared" si="6"/>
        <v>20</v>
      </c>
      <c r="T33" s="296" t="str">
        <f t="shared" si="7"/>
        <v>--</v>
      </c>
      <c r="U33" s="297" t="str">
        <f t="shared" si="8"/>
        <v>--</v>
      </c>
      <c r="V33" s="298" t="str">
        <f t="shared" si="9"/>
        <v>--</v>
      </c>
      <c r="W33" s="299" t="str">
        <f t="shared" si="10"/>
        <v>--</v>
      </c>
      <c r="X33" s="300" t="str">
        <f t="shared" si="11"/>
        <v>--</v>
      </c>
      <c r="Y33" s="301" t="str">
        <f t="shared" si="12"/>
        <v>--</v>
      </c>
      <c r="Z33" s="302" t="str">
        <f t="shared" si="13"/>
        <v>--</v>
      </c>
      <c r="AA33" s="303" t="str">
        <f t="shared" si="14"/>
        <v>--</v>
      </c>
      <c r="AB33" s="304">
        <f t="shared" si="15"/>
      </c>
      <c r="AC33" s="16">
        <f t="shared" si="16"/>
      </c>
      <c r="AD33" s="17"/>
    </row>
    <row r="34" spans="1:30" s="5" customFormat="1" ht="16.5" customHeight="1">
      <c r="A34" s="90"/>
      <c r="B34" s="95"/>
      <c r="C34" s="152"/>
      <c r="D34" s="152"/>
      <c r="E34" s="152"/>
      <c r="F34" s="148"/>
      <c r="G34" s="306"/>
      <c r="H34" s="291"/>
      <c r="I34" s="292"/>
      <c r="J34" s="293">
        <f t="shared" si="0"/>
        <v>0</v>
      </c>
      <c r="K34" s="153"/>
      <c r="L34" s="153"/>
      <c r="M34" s="294">
        <f t="shared" si="1"/>
      </c>
      <c r="N34" s="14">
        <f t="shared" si="2"/>
      </c>
      <c r="O34" s="154"/>
      <c r="P34" s="518">
        <f t="shared" si="3"/>
      </c>
      <c r="Q34" s="8">
        <f t="shared" si="4"/>
      </c>
      <c r="R34" s="223">
        <f t="shared" si="5"/>
      </c>
      <c r="S34" s="295">
        <f t="shared" si="6"/>
        <v>20</v>
      </c>
      <c r="T34" s="296" t="str">
        <f t="shared" si="7"/>
        <v>--</v>
      </c>
      <c r="U34" s="297" t="str">
        <f t="shared" si="8"/>
        <v>--</v>
      </c>
      <c r="V34" s="298" t="str">
        <f t="shared" si="9"/>
        <v>--</v>
      </c>
      <c r="W34" s="299" t="str">
        <f t="shared" si="10"/>
        <v>--</v>
      </c>
      <c r="X34" s="300" t="str">
        <f t="shared" si="11"/>
        <v>--</v>
      </c>
      <c r="Y34" s="301" t="str">
        <f t="shared" si="12"/>
        <v>--</v>
      </c>
      <c r="Z34" s="302" t="str">
        <f t="shared" si="13"/>
        <v>--</v>
      </c>
      <c r="AA34" s="303" t="str">
        <f t="shared" si="14"/>
        <v>--</v>
      </c>
      <c r="AB34" s="304">
        <f t="shared" si="15"/>
      </c>
      <c r="AC34" s="16">
        <f t="shared" si="16"/>
      </c>
      <c r="AD34" s="17"/>
    </row>
    <row r="35" spans="1:30" s="5" customFormat="1" ht="16.5" customHeight="1">
      <c r="A35" s="90"/>
      <c r="B35" s="95"/>
      <c r="C35" s="276"/>
      <c r="D35" s="276"/>
      <c r="E35" s="276"/>
      <c r="F35" s="148"/>
      <c r="G35" s="306"/>
      <c r="H35" s="291"/>
      <c r="I35" s="292"/>
      <c r="J35" s="293">
        <f t="shared" si="0"/>
        <v>0</v>
      </c>
      <c r="K35" s="153"/>
      <c r="L35" s="153"/>
      <c r="M35" s="294">
        <f t="shared" si="1"/>
      </c>
      <c r="N35" s="14">
        <f t="shared" si="2"/>
      </c>
      <c r="O35" s="154"/>
      <c r="P35" s="518">
        <f t="shared" si="3"/>
      </c>
      <c r="Q35" s="8">
        <f t="shared" si="4"/>
      </c>
      <c r="R35" s="223">
        <f t="shared" si="5"/>
      </c>
      <c r="S35" s="295">
        <f t="shared" si="6"/>
        <v>20</v>
      </c>
      <c r="T35" s="296" t="str">
        <f t="shared" si="7"/>
        <v>--</v>
      </c>
      <c r="U35" s="297" t="str">
        <f t="shared" si="8"/>
        <v>--</v>
      </c>
      <c r="V35" s="298" t="str">
        <f t="shared" si="9"/>
        <v>--</v>
      </c>
      <c r="W35" s="299" t="str">
        <f t="shared" si="10"/>
        <v>--</v>
      </c>
      <c r="X35" s="300" t="str">
        <f t="shared" si="11"/>
        <v>--</v>
      </c>
      <c r="Y35" s="301" t="str">
        <f t="shared" si="12"/>
        <v>--</v>
      </c>
      <c r="Z35" s="302" t="str">
        <f t="shared" si="13"/>
        <v>--</v>
      </c>
      <c r="AA35" s="303" t="str">
        <f t="shared" si="14"/>
        <v>--</v>
      </c>
      <c r="AB35" s="304">
        <f t="shared" si="15"/>
      </c>
      <c r="AC35" s="16">
        <f t="shared" si="16"/>
      </c>
      <c r="AD35" s="17"/>
    </row>
    <row r="36" spans="1:30" s="5" customFormat="1" ht="16.5" customHeight="1">
      <c r="A36" s="90"/>
      <c r="B36" s="95"/>
      <c r="C36" s="152"/>
      <c r="D36" s="152"/>
      <c r="E36" s="152"/>
      <c r="F36" s="148"/>
      <c r="G36" s="306"/>
      <c r="H36" s="291"/>
      <c r="I36" s="292"/>
      <c r="J36" s="293">
        <f t="shared" si="0"/>
        <v>0</v>
      </c>
      <c r="K36" s="153"/>
      <c r="L36" s="153"/>
      <c r="M36" s="294">
        <f t="shared" si="1"/>
      </c>
      <c r="N36" s="14">
        <f t="shared" si="2"/>
      </c>
      <c r="O36" s="154"/>
      <c r="P36" s="518">
        <f t="shared" si="3"/>
      </c>
      <c r="Q36" s="8">
        <f t="shared" si="4"/>
      </c>
      <c r="R36" s="223">
        <f t="shared" si="5"/>
      </c>
      <c r="S36" s="295">
        <f t="shared" si="6"/>
        <v>20</v>
      </c>
      <c r="T36" s="296" t="str">
        <f t="shared" si="7"/>
        <v>--</v>
      </c>
      <c r="U36" s="297" t="str">
        <f t="shared" si="8"/>
        <v>--</v>
      </c>
      <c r="V36" s="298" t="str">
        <f t="shared" si="9"/>
        <v>--</v>
      </c>
      <c r="W36" s="299" t="str">
        <f t="shared" si="10"/>
        <v>--</v>
      </c>
      <c r="X36" s="300" t="str">
        <f t="shared" si="11"/>
        <v>--</v>
      </c>
      <c r="Y36" s="301" t="str">
        <f t="shared" si="12"/>
        <v>--</v>
      </c>
      <c r="Z36" s="302" t="str">
        <f t="shared" si="13"/>
        <v>--</v>
      </c>
      <c r="AA36" s="303" t="str">
        <f t="shared" si="14"/>
        <v>--</v>
      </c>
      <c r="AB36" s="304">
        <f t="shared" si="15"/>
      </c>
      <c r="AC36" s="16">
        <f t="shared" si="16"/>
      </c>
      <c r="AD36" s="17"/>
    </row>
    <row r="37" spans="1:30" s="5" customFormat="1" ht="16.5" customHeight="1">
      <c r="A37" s="90"/>
      <c r="B37" s="95"/>
      <c r="C37" s="276"/>
      <c r="D37" s="276"/>
      <c r="E37" s="276"/>
      <c r="F37" s="148"/>
      <c r="G37" s="306"/>
      <c r="H37" s="291"/>
      <c r="I37" s="292"/>
      <c r="J37" s="293">
        <f t="shared" si="0"/>
        <v>0</v>
      </c>
      <c r="K37" s="153"/>
      <c r="L37" s="153"/>
      <c r="M37" s="294">
        <f t="shared" si="1"/>
      </c>
      <c r="N37" s="14">
        <f t="shared" si="2"/>
      </c>
      <c r="O37" s="154"/>
      <c r="P37" s="518">
        <f t="shared" si="3"/>
      </c>
      <c r="Q37" s="8">
        <f t="shared" si="4"/>
      </c>
      <c r="R37" s="223">
        <f t="shared" si="5"/>
      </c>
      <c r="S37" s="295">
        <f t="shared" si="6"/>
        <v>20</v>
      </c>
      <c r="T37" s="296" t="str">
        <f t="shared" si="7"/>
        <v>--</v>
      </c>
      <c r="U37" s="297" t="str">
        <f t="shared" si="8"/>
        <v>--</v>
      </c>
      <c r="V37" s="298" t="str">
        <f t="shared" si="9"/>
        <v>--</v>
      </c>
      <c r="W37" s="299" t="str">
        <f t="shared" si="10"/>
        <v>--</v>
      </c>
      <c r="X37" s="300" t="str">
        <f t="shared" si="11"/>
        <v>--</v>
      </c>
      <c r="Y37" s="301" t="str">
        <f t="shared" si="12"/>
        <v>--</v>
      </c>
      <c r="Z37" s="302" t="str">
        <f t="shared" si="13"/>
        <v>--</v>
      </c>
      <c r="AA37" s="303" t="str">
        <f t="shared" si="14"/>
        <v>--</v>
      </c>
      <c r="AB37" s="304">
        <f t="shared" si="15"/>
      </c>
      <c r="AC37" s="16">
        <f t="shared" si="16"/>
      </c>
      <c r="AD37" s="17"/>
    </row>
    <row r="38" spans="1:30" s="5" customFormat="1" ht="16.5" customHeight="1">
      <c r="A38" s="90"/>
      <c r="B38" s="95"/>
      <c r="C38" s="152"/>
      <c r="D38" s="152"/>
      <c r="E38" s="152"/>
      <c r="F38" s="148"/>
      <c r="G38" s="306"/>
      <c r="H38" s="291"/>
      <c r="I38" s="292"/>
      <c r="J38" s="293">
        <f t="shared" si="0"/>
        <v>0</v>
      </c>
      <c r="K38" s="153"/>
      <c r="L38" s="153"/>
      <c r="M38" s="294">
        <f t="shared" si="1"/>
      </c>
      <c r="N38" s="14">
        <f t="shared" si="2"/>
      </c>
      <c r="O38" s="154"/>
      <c r="P38" s="518">
        <f t="shared" si="3"/>
      </c>
      <c r="Q38" s="8">
        <f t="shared" si="4"/>
      </c>
      <c r="R38" s="223">
        <f t="shared" si="5"/>
      </c>
      <c r="S38" s="295">
        <f t="shared" si="6"/>
        <v>20</v>
      </c>
      <c r="T38" s="296" t="str">
        <f t="shared" si="7"/>
        <v>--</v>
      </c>
      <c r="U38" s="297" t="str">
        <f t="shared" si="8"/>
        <v>--</v>
      </c>
      <c r="V38" s="298" t="str">
        <f t="shared" si="9"/>
        <v>--</v>
      </c>
      <c r="W38" s="299" t="str">
        <f t="shared" si="10"/>
        <v>--</v>
      </c>
      <c r="X38" s="300" t="str">
        <f t="shared" si="11"/>
        <v>--</v>
      </c>
      <c r="Y38" s="301" t="str">
        <f t="shared" si="12"/>
        <v>--</v>
      </c>
      <c r="Z38" s="302" t="str">
        <f t="shared" si="13"/>
        <v>--</v>
      </c>
      <c r="AA38" s="303" t="str">
        <f t="shared" si="14"/>
        <v>--</v>
      </c>
      <c r="AB38" s="304">
        <f t="shared" si="15"/>
      </c>
      <c r="AC38" s="16">
        <f t="shared" si="16"/>
      </c>
      <c r="AD38" s="17"/>
    </row>
    <row r="39" spans="1:30" s="5" customFormat="1" ht="16.5" customHeight="1">
      <c r="A39" s="90"/>
      <c r="B39" s="95"/>
      <c r="C39" s="276"/>
      <c r="D39" s="276"/>
      <c r="E39" s="276"/>
      <c r="F39" s="148"/>
      <c r="G39" s="306"/>
      <c r="H39" s="291"/>
      <c r="I39" s="292"/>
      <c r="J39" s="293">
        <f t="shared" si="0"/>
        <v>0</v>
      </c>
      <c r="K39" s="153"/>
      <c r="L39" s="153"/>
      <c r="M39" s="294">
        <f t="shared" si="1"/>
      </c>
      <c r="N39" s="14">
        <f t="shared" si="2"/>
      </c>
      <c r="O39" s="154"/>
      <c r="P39" s="518">
        <f t="shared" si="3"/>
      </c>
      <c r="Q39" s="8">
        <f t="shared" si="4"/>
      </c>
      <c r="R39" s="223">
        <f t="shared" si="5"/>
      </c>
      <c r="S39" s="295">
        <f t="shared" si="6"/>
        <v>20</v>
      </c>
      <c r="T39" s="296" t="str">
        <f t="shared" si="7"/>
        <v>--</v>
      </c>
      <c r="U39" s="297" t="str">
        <f t="shared" si="8"/>
        <v>--</v>
      </c>
      <c r="V39" s="298" t="str">
        <f t="shared" si="9"/>
        <v>--</v>
      </c>
      <c r="W39" s="299" t="str">
        <f t="shared" si="10"/>
        <v>--</v>
      </c>
      <c r="X39" s="300" t="str">
        <f t="shared" si="11"/>
        <v>--</v>
      </c>
      <c r="Y39" s="301" t="str">
        <f t="shared" si="12"/>
        <v>--</v>
      </c>
      <c r="Z39" s="302" t="str">
        <f t="shared" si="13"/>
        <v>--</v>
      </c>
      <c r="AA39" s="303" t="str">
        <f t="shared" si="14"/>
        <v>--</v>
      </c>
      <c r="AB39" s="304">
        <f t="shared" si="15"/>
      </c>
      <c r="AC39" s="16">
        <f t="shared" si="16"/>
      </c>
      <c r="AD39" s="17"/>
    </row>
    <row r="40" spans="1:30" s="5" customFormat="1" ht="16.5" customHeight="1">
      <c r="A40" s="90"/>
      <c r="B40" s="95"/>
      <c r="C40" s="152"/>
      <c r="D40" s="152"/>
      <c r="E40" s="152"/>
      <c r="F40" s="148"/>
      <c r="G40" s="306"/>
      <c r="H40" s="291"/>
      <c r="I40" s="292"/>
      <c r="J40" s="293">
        <f t="shared" si="0"/>
        <v>0</v>
      </c>
      <c r="K40" s="153"/>
      <c r="L40" s="153"/>
      <c r="M40" s="294">
        <f t="shared" si="1"/>
      </c>
      <c r="N40" s="14">
        <f t="shared" si="2"/>
      </c>
      <c r="O40" s="154"/>
      <c r="P40" s="518">
        <f t="shared" si="3"/>
      </c>
      <c r="Q40" s="8">
        <f t="shared" si="4"/>
      </c>
      <c r="R40" s="223">
        <f t="shared" si="5"/>
      </c>
      <c r="S40" s="295">
        <f t="shared" si="6"/>
        <v>20</v>
      </c>
      <c r="T40" s="296" t="str">
        <f t="shared" si="7"/>
        <v>--</v>
      </c>
      <c r="U40" s="297" t="str">
        <f t="shared" si="8"/>
        <v>--</v>
      </c>
      <c r="V40" s="298" t="str">
        <f t="shared" si="9"/>
        <v>--</v>
      </c>
      <c r="W40" s="299" t="str">
        <f t="shared" si="10"/>
        <v>--</v>
      </c>
      <c r="X40" s="300" t="str">
        <f t="shared" si="11"/>
        <v>--</v>
      </c>
      <c r="Y40" s="301" t="str">
        <f t="shared" si="12"/>
        <v>--</v>
      </c>
      <c r="Z40" s="302" t="str">
        <f t="shared" si="13"/>
        <v>--</v>
      </c>
      <c r="AA40" s="303" t="str">
        <f t="shared" si="14"/>
        <v>--</v>
      </c>
      <c r="AB40" s="304">
        <f t="shared" si="15"/>
      </c>
      <c r="AC40" s="16">
        <f t="shared" si="16"/>
      </c>
      <c r="AD40" s="17"/>
    </row>
    <row r="41" spans="1:30" s="5" customFormat="1" ht="16.5" customHeight="1">
      <c r="A41" s="90"/>
      <c r="B41" s="95"/>
      <c r="C41" s="276"/>
      <c r="D41" s="276"/>
      <c r="E41" s="276"/>
      <c r="F41" s="148"/>
      <c r="G41" s="306"/>
      <c r="H41" s="291"/>
      <c r="I41" s="292"/>
      <c r="J41" s="293">
        <f t="shared" si="0"/>
        <v>0</v>
      </c>
      <c r="K41" s="153"/>
      <c r="L41" s="153"/>
      <c r="M41" s="294">
        <f t="shared" si="1"/>
      </c>
      <c r="N41" s="14">
        <f t="shared" si="2"/>
      </c>
      <c r="O41" s="154"/>
      <c r="P41" s="518">
        <f t="shared" si="3"/>
      </c>
      <c r="Q41" s="8">
        <f t="shared" si="4"/>
      </c>
      <c r="R41" s="223">
        <f t="shared" si="5"/>
      </c>
      <c r="S41" s="295">
        <f t="shared" si="6"/>
        <v>20</v>
      </c>
      <c r="T41" s="296" t="str">
        <f t="shared" si="7"/>
        <v>--</v>
      </c>
      <c r="U41" s="297" t="str">
        <f t="shared" si="8"/>
        <v>--</v>
      </c>
      <c r="V41" s="298" t="str">
        <f t="shared" si="9"/>
        <v>--</v>
      </c>
      <c r="W41" s="299" t="str">
        <f t="shared" si="10"/>
        <v>--</v>
      </c>
      <c r="X41" s="300" t="str">
        <f t="shared" si="11"/>
        <v>--</v>
      </c>
      <c r="Y41" s="301" t="str">
        <f t="shared" si="12"/>
        <v>--</v>
      </c>
      <c r="Z41" s="302" t="str">
        <f t="shared" si="13"/>
        <v>--</v>
      </c>
      <c r="AA41" s="303" t="str">
        <f t="shared" si="14"/>
        <v>--</v>
      </c>
      <c r="AB41" s="304">
        <f t="shared" si="15"/>
      </c>
      <c r="AC41" s="16">
        <f t="shared" si="16"/>
      </c>
      <c r="AD41" s="17"/>
    </row>
    <row r="42" spans="1:30" s="5" customFormat="1" ht="16.5" customHeight="1" thickBot="1">
      <c r="A42" s="90"/>
      <c r="B42" s="95"/>
      <c r="C42" s="152"/>
      <c r="D42" s="152"/>
      <c r="E42" s="152"/>
      <c r="F42" s="307"/>
      <c r="G42" s="308"/>
      <c r="H42" s="307"/>
      <c r="I42" s="309"/>
      <c r="J42" s="131"/>
      <c r="K42" s="155"/>
      <c r="L42" s="310"/>
      <c r="M42" s="311"/>
      <c r="N42" s="312"/>
      <c r="O42" s="158"/>
      <c r="P42" s="190"/>
      <c r="Q42" s="156"/>
      <c r="R42" s="158"/>
      <c r="S42" s="313"/>
      <c r="T42" s="314"/>
      <c r="U42" s="315"/>
      <c r="V42" s="316"/>
      <c r="W42" s="317"/>
      <c r="X42" s="318"/>
      <c r="Y42" s="319"/>
      <c r="Z42" s="320"/>
      <c r="AA42" s="321"/>
      <c r="AB42" s="322"/>
      <c r="AC42" s="323"/>
      <c r="AD42" s="17"/>
    </row>
    <row r="43" spans="1:30" s="5" customFormat="1" ht="16.5" customHeight="1" thickBot="1" thickTop="1">
      <c r="A43" s="90"/>
      <c r="B43" s="95"/>
      <c r="C43" s="127" t="s">
        <v>25</v>
      </c>
      <c r="D43" s="1091" t="s">
        <v>256</v>
      </c>
      <c r="E43" s="1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24">
        <f aca="true" t="shared" si="17" ref="T43:AA43">SUM(T20:T42)</f>
        <v>93297.59999999999</v>
      </c>
      <c r="U43" s="325">
        <f t="shared" si="17"/>
        <v>0</v>
      </c>
      <c r="V43" s="326">
        <f t="shared" si="17"/>
        <v>0</v>
      </c>
      <c r="W43" s="327">
        <f t="shared" si="17"/>
        <v>0</v>
      </c>
      <c r="X43" s="328">
        <f t="shared" si="17"/>
        <v>0</v>
      </c>
      <c r="Y43" s="329">
        <f t="shared" si="17"/>
        <v>0</v>
      </c>
      <c r="Z43" s="330">
        <f t="shared" si="17"/>
        <v>0</v>
      </c>
      <c r="AA43" s="331">
        <f t="shared" si="17"/>
        <v>0</v>
      </c>
      <c r="AB43" s="90"/>
      <c r="AC43" s="332">
        <f>ROUND(SUM(AC20:AC42),2)</f>
        <v>93297.6</v>
      </c>
      <c r="AD43" s="17"/>
    </row>
    <row r="44" spans="1:30" s="5" customFormat="1" ht="16.5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ht="16.5" customHeight="1">
      <c r="A47" s="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ht="16.5" customHeight="1">
      <c r="A48" s="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6:31" ht="16.5" customHeight="1"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6:31" ht="16.5" customHeight="1"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6:31" ht="16.5" customHeight="1"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6:31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</row>
    <row r="53" spans="6:31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</row>
    <row r="54" spans="6:31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</row>
    <row r="55" spans="6:31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</row>
    <row r="56" spans="6:31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</row>
    <row r="57" spans="6:31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</row>
    <row r="58" spans="6:31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6:31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</row>
    <row r="60" spans="6:31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</row>
    <row r="61" spans="6:31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</row>
    <row r="62" spans="6:31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</row>
    <row r="63" spans="6:31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</row>
    <row r="64" spans="6:31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</row>
    <row r="65" spans="6:31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</row>
    <row r="66" spans="6:31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</row>
    <row r="67" spans="6:31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</row>
    <row r="68" spans="6:31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</row>
    <row r="69" spans="6:31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</row>
    <row r="70" spans="6:31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</row>
    <row r="71" spans="6:31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</row>
    <row r="72" spans="6:31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</row>
    <row r="73" spans="6:31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</row>
    <row r="74" spans="6:31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</row>
    <row r="75" spans="6:31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</row>
    <row r="76" spans="6:31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</row>
    <row r="77" spans="6:31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</row>
    <row r="78" spans="6:31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</row>
    <row r="79" spans="6:31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</row>
    <row r="80" spans="6:31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</row>
    <row r="81" spans="6:31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</row>
    <row r="82" spans="6:31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6:31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pans="6:31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6:31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6:31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</row>
    <row r="87" spans="6:31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</row>
    <row r="88" spans="6:31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</row>
    <row r="89" spans="6:31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</row>
    <row r="90" spans="6:31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</row>
    <row r="91" spans="6:31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</row>
    <row r="92" spans="6:31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</row>
    <row r="93" spans="6:31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</row>
    <row r="94" spans="6:31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</row>
    <row r="95" spans="6:31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</row>
    <row r="96" spans="6:31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</row>
    <row r="97" spans="6:31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</row>
    <row r="98" spans="6:31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</row>
    <row r="99" spans="6:31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</row>
    <row r="100" spans="6:31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</row>
    <row r="101" spans="6:31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</row>
    <row r="102" spans="6:31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</row>
    <row r="103" spans="6:31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</row>
    <row r="104" spans="6:31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</row>
    <row r="105" spans="6:31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</row>
    <row r="106" spans="6:31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</row>
    <row r="107" spans="6:31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</row>
    <row r="108" spans="6:31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</row>
    <row r="109" spans="6:31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</row>
    <row r="110" spans="6:31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</row>
    <row r="111" spans="6:31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</row>
    <row r="112" spans="6:31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</row>
    <row r="113" spans="6:31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</row>
    <row r="114" spans="6:31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</row>
    <row r="115" spans="6:31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</row>
    <row r="116" spans="6:31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</row>
    <row r="117" spans="6:31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6:31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6:31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</row>
    <row r="120" spans="6:31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</row>
    <row r="121" spans="6:31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6:31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</row>
    <row r="123" spans="6:31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6:31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6:31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6:31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</row>
    <row r="127" spans="6:31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6:31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6:31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6:31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6:31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6:31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pans="6:31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</row>
    <row r="134" spans="6:31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pans="6:31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6:31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</row>
    <row r="137" spans="6:31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</row>
    <row r="138" spans="6:31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pans="6:31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6:31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</row>
    <row r="141" spans="6:31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</row>
    <row r="142" spans="6:31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</row>
    <row r="143" spans="6:31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pans="6:31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</row>
    <row r="145" spans="6:31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</row>
    <row r="146" spans="6:31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</row>
    <row r="147" spans="6:31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</row>
    <row r="148" spans="6:31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</row>
    <row r="149" spans="6:31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</row>
    <row r="150" spans="6:31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</row>
    <row r="151" spans="6:31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</row>
    <row r="152" spans="6:31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</row>
    <row r="153" ht="16.5" customHeight="1">
      <c r="AE153" s="172"/>
    </row>
    <row r="154" ht="16.5" customHeight="1">
      <c r="AE154" s="172"/>
    </row>
    <row r="155" ht="16.5" customHeight="1">
      <c r="AE155" s="172"/>
    </row>
    <row r="156" ht="16.5" customHeight="1">
      <c r="AE156" s="172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5" zoomScaleNormal="75" workbookViewId="0" topLeftCell="A12">
      <selection activeCell="K57" sqref="K57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4"/>
    </row>
    <row r="2" spans="1:23" s="18" customFormat="1" ht="26.25">
      <c r="A2" s="91"/>
      <c r="B2" s="19" t="str">
        <f>+'TOT-0110'!B2</f>
        <v>ANEXO II al Memorandum D.T.E.E. N°    679       / 2011           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58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150</v>
      </c>
      <c r="G10" s="344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45"/>
      <c r="G11" s="345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68</v>
      </c>
      <c r="G12" s="344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45"/>
      <c r="G13" s="345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'TOT-0110'!B14</f>
        <v>Desde el 01 al 31 de enero de 2010</v>
      </c>
      <c r="C14" s="40"/>
      <c r="D14" s="40"/>
      <c r="E14" s="40"/>
      <c r="F14" s="40"/>
      <c r="G14" s="40"/>
      <c r="H14" s="40"/>
      <c r="I14" s="346"/>
      <c r="J14" s="346"/>
      <c r="K14" s="346"/>
      <c r="L14" s="346"/>
      <c r="M14" s="346"/>
      <c r="N14" s="346"/>
      <c r="O14" s="346"/>
      <c r="P14" s="346"/>
      <c r="Q14" s="40"/>
      <c r="R14" s="40"/>
      <c r="S14" s="40"/>
      <c r="T14" s="40"/>
      <c r="U14" s="40"/>
      <c r="V14" s="40"/>
      <c r="W14" s="347"/>
    </row>
    <row r="15" spans="2:23" s="5" customFormat="1" ht="14.25" thickBot="1">
      <c r="B15" s="348"/>
      <c r="C15" s="349"/>
      <c r="D15" s="349"/>
      <c r="E15" s="349"/>
      <c r="F15" s="349"/>
      <c r="G15" s="349"/>
      <c r="H15" s="349"/>
      <c r="I15" s="350"/>
      <c r="J15" s="350"/>
      <c r="K15" s="350"/>
      <c r="L15" s="350"/>
      <c r="M15" s="350"/>
      <c r="N15" s="350"/>
      <c r="O15" s="350"/>
      <c r="P15" s="350"/>
      <c r="Q15" s="349"/>
      <c r="R15" s="349"/>
      <c r="S15" s="349"/>
      <c r="T15" s="349"/>
      <c r="U15" s="349"/>
      <c r="V15" s="349"/>
      <c r="W15" s="351"/>
    </row>
    <row r="16" spans="2:23" s="5" customFormat="1" ht="15" thickBot="1" thickTop="1">
      <c r="B16" s="50"/>
      <c r="C16" s="4"/>
      <c r="D16" s="4"/>
      <c r="E16" s="4"/>
      <c r="F16" s="352"/>
      <c r="G16" s="352"/>
      <c r="H16" s="117" t="s">
        <v>69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53" t="s">
        <v>70</v>
      </c>
      <c r="G17" s="354">
        <v>83.706</v>
      </c>
      <c r="H17" s="355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356" t="s">
        <v>71</v>
      </c>
      <c r="G18" s="357">
        <v>75.332</v>
      </c>
      <c r="H18" s="355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58" t="s">
        <v>72</v>
      </c>
      <c r="G19" s="357">
        <v>66.969</v>
      </c>
      <c r="H19" s="355">
        <v>40</v>
      </c>
      <c r="K19" s="201"/>
      <c r="L19" s="202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19">
        <v>3</v>
      </c>
      <c r="D20" s="919">
        <v>4</v>
      </c>
      <c r="E20" s="919">
        <v>5</v>
      </c>
      <c r="F20" s="919">
        <v>6</v>
      </c>
      <c r="G20" s="919">
        <v>7</v>
      </c>
      <c r="H20" s="919">
        <v>8</v>
      </c>
      <c r="I20" s="919">
        <v>9</v>
      </c>
      <c r="J20" s="919">
        <v>10</v>
      </c>
      <c r="K20" s="919">
        <v>11</v>
      </c>
      <c r="L20" s="919">
        <v>12</v>
      </c>
      <c r="M20" s="919">
        <v>13</v>
      </c>
      <c r="N20" s="919">
        <v>14</v>
      </c>
      <c r="O20" s="919">
        <v>15</v>
      </c>
      <c r="P20" s="919">
        <v>16</v>
      </c>
      <c r="Q20" s="919">
        <v>17</v>
      </c>
      <c r="R20" s="919">
        <v>18</v>
      </c>
      <c r="S20" s="919">
        <v>19</v>
      </c>
      <c r="T20" s="919">
        <v>20</v>
      </c>
      <c r="U20" s="919">
        <v>21</v>
      </c>
      <c r="V20" s="919">
        <v>22</v>
      </c>
      <c r="W20" s="6"/>
    </row>
    <row r="21" spans="2:23" s="5" customFormat="1" ht="33.75" customHeight="1" thickBot="1" thickTop="1">
      <c r="B21" s="50"/>
      <c r="C21" s="123" t="s">
        <v>13</v>
      </c>
      <c r="D21" s="84" t="s">
        <v>171</v>
      </c>
      <c r="E21" s="84" t="s">
        <v>172</v>
      </c>
      <c r="F21" s="86" t="s">
        <v>27</v>
      </c>
      <c r="G21" s="359" t="s">
        <v>28</v>
      </c>
      <c r="H21" s="360" t="s">
        <v>14</v>
      </c>
      <c r="I21" s="129" t="s">
        <v>16</v>
      </c>
      <c r="J21" s="85" t="s">
        <v>17</v>
      </c>
      <c r="K21" s="359" t="s">
        <v>18</v>
      </c>
      <c r="L21" s="361" t="s">
        <v>36</v>
      </c>
      <c r="M21" s="361" t="s">
        <v>31</v>
      </c>
      <c r="N21" s="88" t="s">
        <v>19</v>
      </c>
      <c r="O21" s="176" t="s">
        <v>32</v>
      </c>
      <c r="P21" s="135" t="s">
        <v>37</v>
      </c>
      <c r="Q21" s="362" t="s">
        <v>59</v>
      </c>
      <c r="R21" s="177" t="s">
        <v>35</v>
      </c>
      <c r="S21" s="363"/>
      <c r="T21" s="134" t="s">
        <v>22</v>
      </c>
      <c r="U21" s="132" t="s">
        <v>63</v>
      </c>
      <c r="V21" s="121" t="s">
        <v>24</v>
      </c>
      <c r="W21" s="6"/>
    </row>
    <row r="22" spans="2:23" s="5" customFormat="1" ht="16.5" customHeight="1" thickTop="1">
      <c r="B22" s="50"/>
      <c r="C22" s="262"/>
      <c r="D22" s="262"/>
      <c r="E22" s="262"/>
      <c r="F22" s="364"/>
      <c r="G22" s="364"/>
      <c r="H22" s="364"/>
      <c r="I22" s="220"/>
      <c r="J22" s="364"/>
      <c r="K22" s="364"/>
      <c r="L22" s="364"/>
      <c r="M22" s="364"/>
      <c r="N22" s="364"/>
      <c r="O22" s="364"/>
      <c r="P22" s="365"/>
      <c r="Q22" s="366"/>
      <c r="R22" s="367"/>
      <c r="S22" s="368"/>
      <c r="T22" s="369"/>
      <c r="U22" s="364"/>
      <c r="V22" s="370"/>
      <c r="W22" s="6"/>
    </row>
    <row r="23" spans="2:23" s="5" customFormat="1" ht="16.5" customHeight="1">
      <c r="B23" s="50"/>
      <c r="C23" s="276"/>
      <c r="D23" s="276"/>
      <c r="E23" s="276"/>
      <c r="F23" s="371"/>
      <c r="G23" s="371"/>
      <c r="H23" s="371"/>
      <c r="I23" s="372"/>
      <c r="J23" s="371"/>
      <c r="K23" s="371"/>
      <c r="L23" s="371"/>
      <c r="M23" s="371"/>
      <c r="N23" s="371"/>
      <c r="O23" s="371"/>
      <c r="P23" s="373"/>
      <c r="Q23" s="374"/>
      <c r="R23" s="188"/>
      <c r="S23" s="375"/>
      <c r="T23" s="376"/>
      <c r="U23" s="371"/>
      <c r="V23" s="377"/>
      <c r="W23" s="6"/>
    </row>
    <row r="24" spans="2:23" s="90" customFormat="1" ht="16.5" customHeight="1">
      <c r="B24" s="95"/>
      <c r="C24" s="276">
        <v>45</v>
      </c>
      <c r="D24" s="276">
        <v>216808</v>
      </c>
      <c r="E24" s="152">
        <v>4782</v>
      </c>
      <c r="F24" s="1093" t="s">
        <v>273</v>
      </c>
      <c r="G24" s="1093" t="s">
        <v>274</v>
      </c>
      <c r="H24" s="1094">
        <v>500</v>
      </c>
      <c r="I24" s="1095">
        <f aca="true" t="shared" si="0" ref="I24:I43">IF(H24=500,$G$17,IF(H24=220,$G$18,$G$19))</f>
        <v>83.706</v>
      </c>
      <c r="J24" s="1096">
        <v>40182.282638888886</v>
      </c>
      <c r="K24" s="153">
        <v>40182.69930555556</v>
      </c>
      <c r="L24" s="381">
        <f aca="true" t="shared" si="1" ref="L24:L43">IF(F24="","",(K24-J24)*24)</f>
        <v>10.000000000116415</v>
      </c>
      <c r="M24" s="382">
        <f aca="true" t="shared" si="2" ref="M24:M43">IF(F24="","",ROUND((K24-J24)*24*60,0))</f>
        <v>600</v>
      </c>
      <c r="N24" s="1043" t="s">
        <v>191</v>
      </c>
      <c r="O24" s="13" t="str">
        <f aca="true" t="shared" si="3" ref="O24:O43">IF(F24="","",IF(N24="P","--","NO"))</f>
        <v>--</v>
      </c>
      <c r="P24" s="1082">
        <f aca="true" t="shared" si="4" ref="P24:P43">IF(H24=500,$H$17,IF(H24=220,$H$18,$H$19))</f>
        <v>200</v>
      </c>
      <c r="Q24" s="1097">
        <f aca="true" t="shared" si="5" ref="Q24:Q43">IF(N24="P",I24*P24*ROUND(M24/60,2)*0.1,"--")</f>
        <v>16741.2</v>
      </c>
      <c r="R24" s="1098" t="str">
        <f aca="true" t="shared" si="6" ref="R24:R43">IF(AND(N24="F",O24="NO"),I24*P24,"--")</f>
        <v>--</v>
      </c>
      <c r="S24" s="1099" t="str">
        <f aca="true" t="shared" si="7" ref="S24:S43">IF(N24="F",I24*P24*ROUND(M24/60,2),"--")</f>
        <v>--</v>
      </c>
      <c r="T24" s="1100" t="str">
        <f aca="true" t="shared" si="8" ref="T24:T43">IF(N24="RF",I24*P24*ROUND(M24/60,2),"--")</f>
        <v>--</v>
      </c>
      <c r="U24" s="13" t="s">
        <v>148</v>
      </c>
      <c r="V24" s="383">
        <v>0</v>
      </c>
      <c r="W24" s="17"/>
    </row>
    <row r="25" spans="2:23" s="90" customFormat="1" ht="16.5" customHeight="1">
      <c r="B25" s="95"/>
      <c r="C25" s="276">
        <v>46</v>
      </c>
      <c r="D25" s="276">
        <v>216812</v>
      </c>
      <c r="E25" s="276">
        <v>146</v>
      </c>
      <c r="F25" s="1093" t="s">
        <v>215</v>
      </c>
      <c r="G25" s="1093" t="s">
        <v>216</v>
      </c>
      <c r="H25" s="1094">
        <v>132</v>
      </c>
      <c r="I25" s="1095">
        <f t="shared" si="0"/>
        <v>66.969</v>
      </c>
      <c r="J25" s="1096">
        <v>40183.24513888889</v>
      </c>
      <c r="K25" s="153">
        <v>40183.3875</v>
      </c>
      <c r="L25" s="381">
        <f t="shared" si="1"/>
        <v>3.4166666666278616</v>
      </c>
      <c r="M25" s="382">
        <f t="shared" si="2"/>
        <v>205</v>
      </c>
      <c r="N25" s="1043" t="s">
        <v>191</v>
      </c>
      <c r="O25" s="13" t="str">
        <f t="shared" si="3"/>
        <v>--</v>
      </c>
      <c r="P25" s="1082">
        <f t="shared" si="4"/>
        <v>40</v>
      </c>
      <c r="Q25" s="1097">
        <f t="shared" si="5"/>
        <v>916.1359199999999</v>
      </c>
      <c r="R25" s="1098" t="str">
        <f t="shared" si="6"/>
        <v>--</v>
      </c>
      <c r="S25" s="1099" t="str">
        <f t="shared" si="7"/>
        <v>--</v>
      </c>
      <c r="T25" s="1100" t="str">
        <f t="shared" si="8"/>
        <v>--</v>
      </c>
      <c r="U25" s="13" t="s">
        <v>148</v>
      </c>
      <c r="V25" s="383">
        <f>IF(F25="","",SUM(Q25:T25)*IF(U25="SI",1,2))</f>
        <v>916.1359199999999</v>
      </c>
      <c r="W25" s="17"/>
    </row>
    <row r="26" spans="2:23" s="90" customFormat="1" ht="16.5" customHeight="1">
      <c r="B26" s="95"/>
      <c r="C26" s="276">
        <v>47</v>
      </c>
      <c r="D26" s="276">
        <v>216813</v>
      </c>
      <c r="E26" s="152">
        <v>1602</v>
      </c>
      <c r="F26" s="1093" t="s">
        <v>217</v>
      </c>
      <c r="G26" s="1093" t="s">
        <v>218</v>
      </c>
      <c r="H26" s="1094">
        <v>132</v>
      </c>
      <c r="I26" s="1095">
        <f t="shared" si="0"/>
        <v>66.969</v>
      </c>
      <c r="J26" s="1096">
        <v>40183.3125</v>
      </c>
      <c r="K26" s="153">
        <v>40183.49236111111</v>
      </c>
      <c r="L26" s="381">
        <f t="shared" si="1"/>
        <v>4.316666666592937</v>
      </c>
      <c r="M26" s="382">
        <f t="shared" si="2"/>
        <v>259</v>
      </c>
      <c r="N26" s="1043" t="s">
        <v>191</v>
      </c>
      <c r="O26" s="13" t="str">
        <f t="shared" si="3"/>
        <v>--</v>
      </c>
      <c r="P26" s="1082">
        <f t="shared" si="4"/>
        <v>40</v>
      </c>
      <c r="Q26" s="1097">
        <f t="shared" si="5"/>
        <v>1157.22432</v>
      </c>
      <c r="R26" s="1098" t="str">
        <f t="shared" si="6"/>
        <v>--</v>
      </c>
      <c r="S26" s="1099" t="str">
        <f t="shared" si="7"/>
        <v>--</v>
      </c>
      <c r="T26" s="1100" t="str">
        <f t="shared" si="8"/>
        <v>--</v>
      </c>
      <c r="U26" s="13" t="s">
        <v>148</v>
      </c>
      <c r="V26" s="383">
        <v>0</v>
      </c>
      <c r="W26" s="17"/>
    </row>
    <row r="27" spans="2:23" s="90" customFormat="1" ht="16.5" customHeight="1">
      <c r="B27" s="95"/>
      <c r="C27" s="276">
        <v>48</v>
      </c>
      <c r="D27" s="276">
        <v>216822</v>
      </c>
      <c r="E27" s="276">
        <v>3697</v>
      </c>
      <c r="F27" s="1093" t="s">
        <v>203</v>
      </c>
      <c r="G27" s="1093" t="s">
        <v>219</v>
      </c>
      <c r="H27" s="1094">
        <v>500</v>
      </c>
      <c r="I27" s="1095">
        <f t="shared" si="0"/>
        <v>83.706</v>
      </c>
      <c r="J27" s="1096">
        <v>40183.86666666667</v>
      </c>
      <c r="K27" s="153">
        <v>40183.8875</v>
      </c>
      <c r="L27" s="381">
        <f t="shared" si="1"/>
        <v>0.4999999998835847</v>
      </c>
      <c r="M27" s="382">
        <f t="shared" si="2"/>
        <v>30</v>
      </c>
      <c r="N27" s="1043" t="s">
        <v>186</v>
      </c>
      <c r="O27" s="13" t="str">
        <f t="shared" si="3"/>
        <v>NO</v>
      </c>
      <c r="P27" s="1082">
        <f t="shared" si="4"/>
        <v>200</v>
      </c>
      <c r="Q27" s="1097" t="str">
        <f t="shared" si="5"/>
        <v>--</v>
      </c>
      <c r="R27" s="1098">
        <f t="shared" si="6"/>
        <v>16741.2</v>
      </c>
      <c r="S27" s="1099">
        <f t="shared" si="7"/>
        <v>8370.6</v>
      </c>
      <c r="T27" s="1100" t="str">
        <f t="shared" si="8"/>
        <v>--</v>
      </c>
      <c r="U27" s="13" t="s">
        <v>148</v>
      </c>
      <c r="V27" s="383">
        <f>IF(F27="","",SUM(Q27:T27)*IF(U27="SI",1,2))</f>
        <v>25111.800000000003</v>
      </c>
      <c r="W27" s="17"/>
    </row>
    <row r="28" spans="2:23" s="90" customFormat="1" ht="16.5" customHeight="1">
      <c r="B28" s="95"/>
      <c r="C28" s="276">
        <v>49</v>
      </c>
      <c r="D28" s="276">
        <v>216845</v>
      </c>
      <c r="E28" s="152">
        <v>2730</v>
      </c>
      <c r="F28" s="1093" t="s">
        <v>203</v>
      </c>
      <c r="G28" s="1093" t="s">
        <v>220</v>
      </c>
      <c r="H28" s="1094">
        <v>220</v>
      </c>
      <c r="I28" s="1095">
        <f t="shared" si="0"/>
        <v>75.332</v>
      </c>
      <c r="J28" s="1096">
        <v>40187.41875</v>
      </c>
      <c r="K28" s="153">
        <v>40187.83541666667</v>
      </c>
      <c r="L28" s="381">
        <f t="shared" si="1"/>
        <v>10.000000000116415</v>
      </c>
      <c r="M28" s="382">
        <f t="shared" si="2"/>
        <v>600</v>
      </c>
      <c r="N28" s="1043" t="s">
        <v>191</v>
      </c>
      <c r="O28" s="13" t="str">
        <f t="shared" si="3"/>
        <v>--</v>
      </c>
      <c r="P28" s="1082">
        <f t="shared" si="4"/>
        <v>100</v>
      </c>
      <c r="Q28" s="1097">
        <f t="shared" si="5"/>
        <v>7533.199999999999</v>
      </c>
      <c r="R28" s="1098" t="str">
        <f t="shared" si="6"/>
        <v>--</v>
      </c>
      <c r="S28" s="1099" t="str">
        <f t="shared" si="7"/>
        <v>--</v>
      </c>
      <c r="T28" s="1100" t="str">
        <f t="shared" si="8"/>
        <v>--</v>
      </c>
      <c r="U28" s="13" t="s">
        <v>148</v>
      </c>
      <c r="V28" s="383">
        <v>0</v>
      </c>
      <c r="W28" s="17"/>
    </row>
    <row r="29" spans="2:23" s="90" customFormat="1" ht="16.5" customHeight="1">
      <c r="B29" s="95"/>
      <c r="C29" s="276">
        <v>50</v>
      </c>
      <c r="D29" s="276">
        <v>217176</v>
      </c>
      <c r="E29" s="276">
        <v>4782</v>
      </c>
      <c r="F29" s="1093" t="s">
        <v>273</v>
      </c>
      <c r="G29" s="1093" t="s">
        <v>274</v>
      </c>
      <c r="H29" s="1094">
        <v>500</v>
      </c>
      <c r="I29" s="1095">
        <f t="shared" si="0"/>
        <v>83.706</v>
      </c>
      <c r="J29" s="1096">
        <v>40189.95277777778</v>
      </c>
      <c r="K29" s="153">
        <v>40190.36944444444</v>
      </c>
      <c r="L29" s="381">
        <f t="shared" si="1"/>
        <v>9.999999999941792</v>
      </c>
      <c r="M29" s="382">
        <f t="shared" si="2"/>
        <v>600</v>
      </c>
      <c r="N29" s="1043" t="s">
        <v>191</v>
      </c>
      <c r="O29" s="13" t="str">
        <f t="shared" si="3"/>
        <v>--</v>
      </c>
      <c r="P29" s="1082">
        <f t="shared" si="4"/>
        <v>200</v>
      </c>
      <c r="Q29" s="1097">
        <f t="shared" si="5"/>
        <v>16741.2</v>
      </c>
      <c r="R29" s="1098" t="str">
        <f t="shared" si="6"/>
        <v>--</v>
      </c>
      <c r="S29" s="1099" t="str">
        <f t="shared" si="7"/>
        <v>--</v>
      </c>
      <c r="T29" s="1100" t="str">
        <f t="shared" si="8"/>
        <v>--</v>
      </c>
      <c r="U29" s="13" t="s">
        <v>148</v>
      </c>
      <c r="V29" s="383">
        <v>0</v>
      </c>
      <c r="W29" s="17"/>
    </row>
    <row r="30" spans="2:23" s="90" customFormat="1" ht="16.5" customHeight="1">
      <c r="B30" s="95"/>
      <c r="C30" s="276">
        <v>51</v>
      </c>
      <c r="D30" s="276">
        <v>217190</v>
      </c>
      <c r="E30" s="152">
        <v>2033</v>
      </c>
      <c r="F30" s="1093" t="s">
        <v>217</v>
      </c>
      <c r="G30" s="1093" t="s">
        <v>221</v>
      </c>
      <c r="H30" s="1094">
        <v>132</v>
      </c>
      <c r="I30" s="1095">
        <f t="shared" si="0"/>
        <v>66.969</v>
      </c>
      <c r="J30" s="1096">
        <v>40192.36736111111</v>
      </c>
      <c r="K30" s="153">
        <v>40192.78402777778</v>
      </c>
      <c r="L30" s="381">
        <f t="shared" si="1"/>
        <v>10.000000000116415</v>
      </c>
      <c r="M30" s="382">
        <f t="shared" si="2"/>
        <v>600</v>
      </c>
      <c r="N30" s="1043" t="s">
        <v>191</v>
      </c>
      <c r="O30" s="13" t="str">
        <f t="shared" si="3"/>
        <v>--</v>
      </c>
      <c r="P30" s="1082">
        <f t="shared" si="4"/>
        <v>40</v>
      </c>
      <c r="Q30" s="1097">
        <f t="shared" si="5"/>
        <v>2678.76</v>
      </c>
      <c r="R30" s="1098" t="str">
        <f t="shared" si="6"/>
        <v>--</v>
      </c>
      <c r="S30" s="1099" t="str">
        <f t="shared" si="7"/>
        <v>--</v>
      </c>
      <c r="T30" s="1100" t="str">
        <f t="shared" si="8"/>
        <v>--</v>
      </c>
      <c r="U30" s="13" t="s">
        <v>148</v>
      </c>
      <c r="V30" s="383">
        <v>0</v>
      </c>
      <c r="W30" s="17"/>
    </row>
    <row r="31" spans="2:23" s="90" customFormat="1" ht="16.5" customHeight="1">
      <c r="B31" s="95"/>
      <c r="C31" s="276">
        <v>52</v>
      </c>
      <c r="D31" s="276">
        <v>217194</v>
      </c>
      <c r="E31" s="276">
        <v>131</v>
      </c>
      <c r="F31" s="1093" t="s">
        <v>222</v>
      </c>
      <c r="G31" s="1093" t="s">
        <v>223</v>
      </c>
      <c r="H31" s="1094">
        <v>132</v>
      </c>
      <c r="I31" s="1095">
        <f t="shared" si="0"/>
        <v>66.969</v>
      </c>
      <c r="J31" s="1096">
        <v>40193.282638888886</v>
      </c>
      <c r="K31" s="153">
        <v>40193.29652777778</v>
      </c>
      <c r="L31" s="381">
        <f t="shared" si="1"/>
        <v>0.33333333337213844</v>
      </c>
      <c r="M31" s="382">
        <f t="shared" si="2"/>
        <v>20</v>
      </c>
      <c r="N31" s="1043" t="s">
        <v>191</v>
      </c>
      <c r="O31" s="13" t="str">
        <f t="shared" si="3"/>
        <v>--</v>
      </c>
      <c r="P31" s="1082">
        <f t="shared" si="4"/>
        <v>40</v>
      </c>
      <c r="Q31" s="1097">
        <f t="shared" si="5"/>
        <v>88.39908</v>
      </c>
      <c r="R31" s="1098" t="str">
        <f t="shared" si="6"/>
        <v>--</v>
      </c>
      <c r="S31" s="1099" t="str">
        <f t="shared" si="7"/>
        <v>--</v>
      </c>
      <c r="T31" s="1100" t="str">
        <f t="shared" si="8"/>
        <v>--</v>
      </c>
      <c r="U31" s="13" t="s">
        <v>148</v>
      </c>
      <c r="V31" s="383">
        <f>IF(F31="","",SUM(Q31:T31)*IF(U31="SI",1,2))</f>
        <v>88.39908</v>
      </c>
      <c r="W31" s="17"/>
    </row>
    <row r="32" spans="2:23" s="90" customFormat="1" ht="16.5" customHeight="1">
      <c r="B32" s="95"/>
      <c r="C32" s="276">
        <v>53</v>
      </c>
      <c r="D32" s="276">
        <v>217200</v>
      </c>
      <c r="E32" s="152">
        <v>3664</v>
      </c>
      <c r="F32" s="1093" t="s">
        <v>224</v>
      </c>
      <c r="G32" s="1093" t="s">
        <v>225</v>
      </c>
      <c r="H32" s="1094">
        <v>132</v>
      </c>
      <c r="I32" s="1095">
        <f t="shared" si="0"/>
        <v>66.969</v>
      </c>
      <c r="J32" s="1096">
        <v>40195.25277777778</v>
      </c>
      <c r="K32" s="153">
        <v>40195.42569444444</v>
      </c>
      <c r="L32" s="381">
        <f t="shared" si="1"/>
        <v>4.149999999906868</v>
      </c>
      <c r="M32" s="382">
        <f t="shared" si="2"/>
        <v>249</v>
      </c>
      <c r="N32" s="1043" t="s">
        <v>191</v>
      </c>
      <c r="O32" s="13" t="str">
        <f t="shared" si="3"/>
        <v>--</v>
      </c>
      <c r="P32" s="1082">
        <f t="shared" si="4"/>
        <v>40</v>
      </c>
      <c r="Q32" s="1097">
        <f t="shared" si="5"/>
        <v>1111.6854</v>
      </c>
      <c r="R32" s="1098" t="str">
        <f t="shared" si="6"/>
        <v>--</v>
      </c>
      <c r="S32" s="1099" t="str">
        <f t="shared" si="7"/>
        <v>--</v>
      </c>
      <c r="T32" s="1100" t="str">
        <f t="shared" si="8"/>
        <v>--</v>
      </c>
      <c r="U32" s="13" t="s">
        <v>148</v>
      </c>
      <c r="V32" s="383">
        <v>0</v>
      </c>
      <c r="W32" s="17"/>
    </row>
    <row r="33" spans="2:23" s="90" customFormat="1" ht="16.5" customHeight="1">
      <c r="B33" s="95"/>
      <c r="C33" s="276">
        <v>54</v>
      </c>
      <c r="D33" s="276">
        <v>217519</v>
      </c>
      <c r="E33" s="276">
        <v>2600</v>
      </c>
      <c r="F33" s="1093" t="s">
        <v>226</v>
      </c>
      <c r="G33" s="1093" t="s">
        <v>227</v>
      </c>
      <c r="H33" s="1094">
        <v>500</v>
      </c>
      <c r="I33" s="1095">
        <f t="shared" si="0"/>
        <v>83.706</v>
      </c>
      <c r="J33" s="1096">
        <v>40198.36666666667</v>
      </c>
      <c r="K33" s="153">
        <v>40198.47083333333</v>
      </c>
      <c r="L33" s="381">
        <f t="shared" si="1"/>
        <v>2.4999999999417923</v>
      </c>
      <c r="M33" s="382">
        <f t="shared" si="2"/>
        <v>150</v>
      </c>
      <c r="N33" s="1043" t="s">
        <v>191</v>
      </c>
      <c r="O33" s="13" t="str">
        <f t="shared" si="3"/>
        <v>--</v>
      </c>
      <c r="P33" s="1082">
        <f t="shared" si="4"/>
        <v>200</v>
      </c>
      <c r="Q33" s="1097">
        <f t="shared" si="5"/>
        <v>4185.3</v>
      </c>
      <c r="R33" s="1098" t="str">
        <f t="shared" si="6"/>
        <v>--</v>
      </c>
      <c r="S33" s="1099" t="str">
        <f t="shared" si="7"/>
        <v>--</v>
      </c>
      <c r="T33" s="1100" t="str">
        <f t="shared" si="8"/>
        <v>--</v>
      </c>
      <c r="U33" s="13" t="s">
        <v>148</v>
      </c>
      <c r="V33" s="383">
        <v>0</v>
      </c>
      <c r="W33" s="17"/>
    </row>
    <row r="34" spans="2:23" s="90" customFormat="1" ht="16.5" customHeight="1">
      <c r="B34" s="95"/>
      <c r="C34" s="276">
        <v>55</v>
      </c>
      <c r="D34" s="276">
        <v>217520</v>
      </c>
      <c r="E34" s="152">
        <v>4918</v>
      </c>
      <c r="F34" s="1093" t="s">
        <v>203</v>
      </c>
      <c r="G34" s="1093" t="s">
        <v>275</v>
      </c>
      <c r="H34" s="1094">
        <v>132</v>
      </c>
      <c r="I34" s="1095">
        <f t="shared" si="0"/>
        <v>66.969</v>
      </c>
      <c r="J34" s="1096">
        <v>40198.36944444444</v>
      </c>
      <c r="K34" s="153">
        <v>40198.72430555556</v>
      </c>
      <c r="L34" s="381">
        <f t="shared" si="1"/>
        <v>8.51666666683741</v>
      </c>
      <c r="M34" s="382">
        <f t="shared" si="2"/>
        <v>511</v>
      </c>
      <c r="N34" s="1043" t="s">
        <v>191</v>
      </c>
      <c r="O34" s="13" t="str">
        <f t="shared" si="3"/>
        <v>--</v>
      </c>
      <c r="P34" s="1082">
        <f t="shared" si="4"/>
        <v>40</v>
      </c>
      <c r="Q34" s="1097">
        <f t="shared" si="5"/>
        <v>2282.30352</v>
      </c>
      <c r="R34" s="1098" t="str">
        <f t="shared" si="6"/>
        <v>--</v>
      </c>
      <c r="S34" s="1099" t="str">
        <f t="shared" si="7"/>
        <v>--</v>
      </c>
      <c r="T34" s="1100" t="str">
        <f t="shared" si="8"/>
        <v>--</v>
      </c>
      <c r="U34" s="13" t="s">
        <v>148</v>
      </c>
      <c r="V34" s="383">
        <v>0</v>
      </c>
      <c r="W34" s="17"/>
    </row>
    <row r="35" spans="2:23" s="90" customFormat="1" ht="16.5" customHeight="1">
      <c r="B35" s="95"/>
      <c r="C35" s="276">
        <v>56</v>
      </c>
      <c r="D35" s="276">
        <v>217521</v>
      </c>
      <c r="E35" s="276">
        <v>2601</v>
      </c>
      <c r="F35" s="1093" t="s">
        <v>226</v>
      </c>
      <c r="G35" s="1093" t="s">
        <v>228</v>
      </c>
      <c r="H35" s="1094">
        <v>500</v>
      </c>
      <c r="I35" s="1095">
        <f t="shared" si="0"/>
        <v>83.706</v>
      </c>
      <c r="J35" s="1096">
        <v>40198.47361111111</v>
      </c>
      <c r="K35" s="153">
        <v>40198.6375</v>
      </c>
      <c r="L35" s="381">
        <f t="shared" si="1"/>
        <v>3.93333333323244</v>
      </c>
      <c r="M35" s="382">
        <f t="shared" si="2"/>
        <v>236</v>
      </c>
      <c r="N35" s="1043" t="s">
        <v>191</v>
      </c>
      <c r="O35" s="13" t="str">
        <f t="shared" si="3"/>
        <v>--</v>
      </c>
      <c r="P35" s="1082">
        <f t="shared" si="4"/>
        <v>200</v>
      </c>
      <c r="Q35" s="1097">
        <f t="shared" si="5"/>
        <v>6579.291600000001</v>
      </c>
      <c r="R35" s="1098" t="str">
        <f t="shared" si="6"/>
        <v>--</v>
      </c>
      <c r="S35" s="1099" t="str">
        <f t="shared" si="7"/>
        <v>--</v>
      </c>
      <c r="T35" s="1100" t="str">
        <f t="shared" si="8"/>
        <v>--</v>
      </c>
      <c r="U35" s="13" t="s">
        <v>148</v>
      </c>
      <c r="V35" s="383">
        <v>0</v>
      </c>
      <c r="W35" s="17"/>
    </row>
    <row r="36" spans="2:23" s="90" customFormat="1" ht="16.5" customHeight="1">
      <c r="B36" s="95"/>
      <c r="C36" s="276">
        <v>57</v>
      </c>
      <c r="D36" s="276">
        <v>217527</v>
      </c>
      <c r="E36" s="152">
        <v>112</v>
      </c>
      <c r="F36" s="1093" t="s">
        <v>207</v>
      </c>
      <c r="G36" s="1093" t="s">
        <v>229</v>
      </c>
      <c r="H36" s="1094">
        <v>132</v>
      </c>
      <c r="I36" s="1095">
        <f t="shared" si="0"/>
        <v>66.969</v>
      </c>
      <c r="J36" s="1096">
        <v>40200.275</v>
      </c>
      <c r="K36" s="153">
        <v>40200.34097222222</v>
      </c>
      <c r="L36" s="381">
        <f t="shared" si="1"/>
        <v>1.5833333332557231</v>
      </c>
      <c r="M36" s="382">
        <f t="shared" si="2"/>
        <v>95</v>
      </c>
      <c r="N36" s="1043" t="s">
        <v>191</v>
      </c>
      <c r="O36" s="13" t="str">
        <f t="shared" si="3"/>
        <v>--</v>
      </c>
      <c r="P36" s="1082">
        <f t="shared" si="4"/>
        <v>40</v>
      </c>
      <c r="Q36" s="1097">
        <f t="shared" si="5"/>
        <v>423.24407999999994</v>
      </c>
      <c r="R36" s="1098" t="str">
        <f t="shared" si="6"/>
        <v>--</v>
      </c>
      <c r="S36" s="1099" t="str">
        <f t="shared" si="7"/>
        <v>--</v>
      </c>
      <c r="T36" s="1100" t="str">
        <f t="shared" si="8"/>
        <v>--</v>
      </c>
      <c r="U36" s="13" t="s">
        <v>148</v>
      </c>
      <c r="V36" s="383">
        <v>0</v>
      </c>
      <c r="W36" s="17"/>
    </row>
    <row r="37" spans="2:23" s="90" customFormat="1" ht="16.5" customHeight="1">
      <c r="B37" s="95"/>
      <c r="C37" s="276">
        <v>58</v>
      </c>
      <c r="D37" s="276">
        <v>217528</v>
      </c>
      <c r="E37" s="276">
        <v>3464</v>
      </c>
      <c r="F37" s="1093" t="s">
        <v>217</v>
      </c>
      <c r="G37" s="1093" t="s">
        <v>230</v>
      </c>
      <c r="H37" s="1094">
        <v>132</v>
      </c>
      <c r="I37" s="1095">
        <f t="shared" si="0"/>
        <v>66.969</v>
      </c>
      <c r="J37" s="1096">
        <v>40200.33125</v>
      </c>
      <c r="K37" s="153">
        <v>40200.72361111111</v>
      </c>
      <c r="L37" s="381">
        <f t="shared" si="1"/>
        <v>9.416666666627862</v>
      </c>
      <c r="M37" s="382">
        <f t="shared" si="2"/>
        <v>565</v>
      </c>
      <c r="N37" s="1043" t="s">
        <v>191</v>
      </c>
      <c r="O37" s="13" t="str">
        <f t="shared" si="3"/>
        <v>--</v>
      </c>
      <c r="P37" s="1082">
        <f t="shared" si="4"/>
        <v>40</v>
      </c>
      <c r="Q37" s="1097">
        <f t="shared" si="5"/>
        <v>2523.39192</v>
      </c>
      <c r="R37" s="1098" t="str">
        <f t="shared" si="6"/>
        <v>--</v>
      </c>
      <c r="S37" s="1099" t="str">
        <f t="shared" si="7"/>
        <v>--</v>
      </c>
      <c r="T37" s="1100" t="str">
        <f t="shared" si="8"/>
        <v>--</v>
      </c>
      <c r="U37" s="13" t="s">
        <v>148</v>
      </c>
      <c r="V37" s="383">
        <v>0</v>
      </c>
      <c r="W37" s="17"/>
    </row>
    <row r="38" spans="2:23" s="90" customFormat="1" ht="16.5" customHeight="1">
      <c r="B38" s="95"/>
      <c r="C38" s="276">
        <v>59</v>
      </c>
      <c r="D38" s="276">
        <v>217529</v>
      </c>
      <c r="E38" s="152">
        <v>144</v>
      </c>
      <c r="F38" s="1093" t="s">
        <v>215</v>
      </c>
      <c r="G38" s="1093" t="s">
        <v>231</v>
      </c>
      <c r="H38" s="1094">
        <v>132</v>
      </c>
      <c r="I38" s="1095">
        <f t="shared" si="0"/>
        <v>66.969</v>
      </c>
      <c r="J38" s="1096">
        <v>40201.25833333333</v>
      </c>
      <c r="K38" s="153">
        <v>40201.28402777778</v>
      </c>
      <c r="L38" s="381">
        <f t="shared" si="1"/>
        <v>0.6166666667559184</v>
      </c>
      <c r="M38" s="382">
        <f t="shared" si="2"/>
        <v>37</v>
      </c>
      <c r="N38" s="1043" t="s">
        <v>191</v>
      </c>
      <c r="O38" s="13" t="str">
        <f t="shared" si="3"/>
        <v>--</v>
      </c>
      <c r="P38" s="1082">
        <f t="shared" si="4"/>
        <v>40</v>
      </c>
      <c r="Q38" s="1097">
        <f t="shared" si="5"/>
        <v>166.08312</v>
      </c>
      <c r="R38" s="1098" t="str">
        <f t="shared" si="6"/>
        <v>--</v>
      </c>
      <c r="S38" s="1099" t="str">
        <f t="shared" si="7"/>
        <v>--</v>
      </c>
      <c r="T38" s="1100" t="str">
        <f t="shared" si="8"/>
        <v>--</v>
      </c>
      <c r="U38" s="13" t="s">
        <v>148</v>
      </c>
      <c r="V38" s="383">
        <v>0</v>
      </c>
      <c r="W38" s="17"/>
    </row>
    <row r="39" spans="2:23" s="90" customFormat="1" ht="16.5" customHeight="1">
      <c r="B39" s="95"/>
      <c r="C39" s="276">
        <v>60</v>
      </c>
      <c r="D39" s="276">
        <v>217532</v>
      </c>
      <c r="E39" s="276">
        <v>125</v>
      </c>
      <c r="F39" s="1093" t="s">
        <v>232</v>
      </c>
      <c r="G39" s="1093" t="s">
        <v>233</v>
      </c>
      <c r="H39" s="1094">
        <v>220</v>
      </c>
      <c r="I39" s="1095">
        <f t="shared" si="0"/>
        <v>75.332</v>
      </c>
      <c r="J39" s="1096">
        <v>40201.35277777778</v>
      </c>
      <c r="K39" s="153">
        <v>40201.438888888886</v>
      </c>
      <c r="L39" s="381">
        <f t="shared" si="1"/>
        <v>2.066666666592937</v>
      </c>
      <c r="M39" s="382">
        <f t="shared" si="2"/>
        <v>124</v>
      </c>
      <c r="N39" s="1043" t="s">
        <v>191</v>
      </c>
      <c r="O39" s="13" t="str">
        <f t="shared" si="3"/>
        <v>--</v>
      </c>
      <c r="P39" s="1082">
        <f t="shared" si="4"/>
        <v>100</v>
      </c>
      <c r="Q39" s="1097">
        <f t="shared" si="5"/>
        <v>1559.3723999999997</v>
      </c>
      <c r="R39" s="1098" t="str">
        <f t="shared" si="6"/>
        <v>--</v>
      </c>
      <c r="S39" s="1099" t="str">
        <f t="shared" si="7"/>
        <v>--</v>
      </c>
      <c r="T39" s="1100" t="str">
        <f t="shared" si="8"/>
        <v>--</v>
      </c>
      <c r="U39" s="13" t="s">
        <v>148</v>
      </c>
      <c r="V39" s="383">
        <v>0</v>
      </c>
      <c r="W39" s="17"/>
    </row>
    <row r="40" spans="2:23" s="5" customFormat="1" ht="16.5" customHeight="1">
      <c r="B40" s="50"/>
      <c r="C40" s="276">
        <v>61</v>
      </c>
      <c r="D40" s="276">
        <v>217538</v>
      </c>
      <c r="E40" s="152">
        <v>93</v>
      </c>
      <c r="F40" s="953" t="s">
        <v>208</v>
      </c>
      <c r="G40" s="953" t="s">
        <v>234</v>
      </c>
      <c r="H40" s="954">
        <v>132</v>
      </c>
      <c r="I40" s="130">
        <f t="shared" si="0"/>
        <v>66.969</v>
      </c>
      <c r="J40" s="380">
        <v>40202.805555555555</v>
      </c>
      <c r="K40" s="150">
        <v>40202.94097222222</v>
      </c>
      <c r="L40" s="381">
        <f t="shared" si="1"/>
        <v>3.2499999999417923</v>
      </c>
      <c r="M40" s="382">
        <f t="shared" si="2"/>
        <v>195</v>
      </c>
      <c r="N40" s="222" t="s">
        <v>186</v>
      </c>
      <c r="O40" s="223" t="s">
        <v>148</v>
      </c>
      <c r="P40" s="727">
        <f t="shared" si="4"/>
        <v>40</v>
      </c>
      <c r="Q40" s="904" t="str">
        <f t="shared" si="5"/>
        <v>--</v>
      </c>
      <c r="R40" s="188" t="str">
        <f t="shared" si="6"/>
        <v>--</v>
      </c>
      <c r="S40" s="375">
        <f t="shared" si="7"/>
        <v>8705.97</v>
      </c>
      <c r="T40" s="376" t="str">
        <f t="shared" si="8"/>
        <v>--</v>
      </c>
      <c r="U40" s="223" t="s">
        <v>148</v>
      </c>
      <c r="V40" s="383">
        <f>IF(F40="","",SUM(Q40:T40)*IF(U40="SI",1,2))</f>
        <v>8705.97</v>
      </c>
      <c r="W40" s="6"/>
    </row>
    <row r="41" spans="2:23" s="5" customFormat="1" ht="16.5" customHeight="1">
      <c r="B41" s="50"/>
      <c r="C41" s="276">
        <v>62</v>
      </c>
      <c r="D41" s="276">
        <v>217769</v>
      </c>
      <c r="E41" s="276">
        <v>112</v>
      </c>
      <c r="F41" s="953" t="s">
        <v>207</v>
      </c>
      <c r="G41" s="953" t="s">
        <v>229</v>
      </c>
      <c r="H41" s="954">
        <v>132</v>
      </c>
      <c r="I41" s="130">
        <f t="shared" si="0"/>
        <v>66.969</v>
      </c>
      <c r="J41" s="380">
        <v>40203.26875</v>
      </c>
      <c r="K41" s="150">
        <v>40203.29791666667</v>
      </c>
      <c r="L41" s="381">
        <f t="shared" si="1"/>
        <v>0.7000000000116415</v>
      </c>
      <c r="M41" s="382">
        <f t="shared" si="2"/>
        <v>42</v>
      </c>
      <c r="N41" s="222" t="s">
        <v>191</v>
      </c>
      <c r="O41" s="223" t="str">
        <f t="shared" si="3"/>
        <v>--</v>
      </c>
      <c r="P41" s="727">
        <f t="shared" si="4"/>
        <v>40</v>
      </c>
      <c r="Q41" s="904">
        <f t="shared" si="5"/>
        <v>187.51319999999998</v>
      </c>
      <c r="R41" s="188" t="str">
        <f t="shared" si="6"/>
        <v>--</v>
      </c>
      <c r="S41" s="375" t="str">
        <f t="shared" si="7"/>
        <v>--</v>
      </c>
      <c r="T41" s="376" t="str">
        <f t="shared" si="8"/>
        <v>--</v>
      </c>
      <c r="U41" s="223" t="s">
        <v>148</v>
      </c>
      <c r="V41" s="383">
        <f>IF(F41="","",SUM(Q41:T41)*IF(U41="SI",1,2))</f>
        <v>187.51319999999998</v>
      </c>
      <c r="W41" s="6"/>
    </row>
    <row r="42" spans="2:23" s="5" customFormat="1" ht="16.5" customHeight="1">
      <c r="B42" s="50"/>
      <c r="C42" s="276">
        <v>63</v>
      </c>
      <c r="D42" s="276">
        <v>217770</v>
      </c>
      <c r="E42" s="152">
        <v>2805</v>
      </c>
      <c r="F42" s="953" t="s">
        <v>207</v>
      </c>
      <c r="G42" s="953" t="s">
        <v>235</v>
      </c>
      <c r="H42" s="954">
        <v>132</v>
      </c>
      <c r="I42" s="130">
        <f t="shared" si="0"/>
        <v>66.969</v>
      </c>
      <c r="J42" s="380">
        <v>40203.27638888889</v>
      </c>
      <c r="K42" s="150">
        <v>40203.29236111111</v>
      </c>
      <c r="L42" s="381">
        <f t="shared" si="1"/>
        <v>0.3833333333604969</v>
      </c>
      <c r="M42" s="382">
        <f t="shared" si="2"/>
        <v>23</v>
      </c>
      <c r="N42" s="222" t="s">
        <v>191</v>
      </c>
      <c r="O42" s="223" t="str">
        <f t="shared" si="3"/>
        <v>--</v>
      </c>
      <c r="P42" s="727">
        <f t="shared" si="4"/>
        <v>40</v>
      </c>
      <c r="Q42" s="904">
        <f t="shared" si="5"/>
        <v>101.79288</v>
      </c>
      <c r="R42" s="188" t="str">
        <f t="shared" si="6"/>
        <v>--</v>
      </c>
      <c r="S42" s="375" t="str">
        <f t="shared" si="7"/>
        <v>--</v>
      </c>
      <c r="T42" s="376" t="str">
        <f t="shared" si="8"/>
        <v>--</v>
      </c>
      <c r="U42" s="223" t="s">
        <v>148</v>
      </c>
      <c r="V42" s="383">
        <f>IF(F42="","",SUM(Q42:T42)*IF(U42="SI",1,2))</f>
        <v>101.79288</v>
      </c>
      <c r="W42" s="6"/>
    </row>
    <row r="43" spans="2:23" s="5" customFormat="1" ht="16.5" customHeight="1">
      <c r="B43" s="50"/>
      <c r="C43" s="276"/>
      <c r="D43" s="276"/>
      <c r="E43" s="276"/>
      <c r="F43" s="378"/>
      <c r="G43" s="378"/>
      <c r="H43" s="379"/>
      <c r="I43" s="130">
        <f t="shared" si="0"/>
        <v>66.969</v>
      </c>
      <c r="J43" s="380"/>
      <c r="K43" s="150"/>
      <c r="L43" s="381">
        <f t="shared" si="1"/>
      </c>
      <c r="M43" s="382">
        <f t="shared" si="2"/>
      </c>
      <c r="N43" s="222"/>
      <c r="O43" s="223">
        <f t="shared" si="3"/>
      </c>
      <c r="P43" s="727">
        <f t="shared" si="4"/>
        <v>40</v>
      </c>
      <c r="Q43" s="904" t="str">
        <f t="shared" si="5"/>
        <v>--</v>
      </c>
      <c r="R43" s="188" t="str">
        <f t="shared" si="6"/>
        <v>--</v>
      </c>
      <c r="S43" s="375" t="str">
        <f t="shared" si="7"/>
        <v>--</v>
      </c>
      <c r="T43" s="376" t="str">
        <f t="shared" si="8"/>
        <v>--</v>
      </c>
      <c r="U43" s="223">
        <f>IF(F43="","","SI")</f>
      </c>
      <c r="V43" s="383">
        <f>IF(F43="","",SUM(Q43:T43)*IF(U43="SI",1,2))</f>
      </c>
      <c r="W43" s="6"/>
    </row>
    <row r="44" spans="2:23" s="5" customFormat="1" ht="16.5" customHeight="1" thickBot="1">
      <c r="B44" s="50"/>
      <c r="C44" s="230"/>
      <c r="D44" s="230"/>
      <c r="E44" s="230"/>
      <c r="F44" s="230"/>
      <c r="G44" s="230"/>
      <c r="H44" s="230"/>
      <c r="I44" s="131"/>
      <c r="J44" s="384"/>
      <c r="K44" s="384"/>
      <c r="L44" s="385"/>
      <c r="M44" s="385"/>
      <c r="N44" s="384"/>
      <c r="O44" s="151"/>
      <c r="P44" s="386"/>
      <c r="Q44" s="387"/>
      <c r="R44" s="388"/>
      <c r="S44" s="389"/>
      <c r="T44" s="157"/>
      <c r="U44" s="151"/>
      <c r="V44" s="390"/>
      <c r="W44" s="6"/>
    </row>
    <row r="45" spans="2:23" s="5" customFormat="1" ht="16.5" customHeight="1" thickBot="1" thickTop="1">
      <c r="B45" s="50"/>
      <c r="C45" s="127" t="s">
        <v>25</v>
      </c>
      <c r="D45" s="73" t="s">
        <v>256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391">
        <f>SUM(Q22:Q44)</f>
        <v>64976.09744000002</v>
      </c>
      <c r="R45" s="392">
        <f>SUM(R22:R44)</f>
        <v>16741.2</v>
      </c>
      <c r="S45" s="393">
        <f>SUM(S22:S44)</f>
        <v>17076.57</v>
      </c>
      <c r="T45" s="394">
        <f>SUM(T22:T44)</f>
        <v>0</v>
      </c>
      <c r="U45" s="395"/>
      <c r="V45" s="100">
        <f>ROUND(SUM(V22:V44),2)</f>
        <v>35111.61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2"/>
      <c r="X47" s="172"/>
      <c r="Y47" s="172"/>
    </row>
    <row r="48" spans="23:25" ht="16.5" customHeight="1">
      <c r="W48" s="172"/>
      <c r="X48" s="172"/>
      <c r="Y48" s="172"/>
    </row>
    <row r="49" spans="23:25" ht="16.5" customHeight="1">
      <c r="W49" s="172"/>
      <c r="X49" s="172"/>
      <c r="Y49" s="172"/>
    </row>
    <row r="50" spans="23:25" ht="16.5" customHeight="1">
      <c r="W50" s="172"/>
      <c r="X50" s="172"/>
      <c r="Y50" s="172"/>
    </row>
    <row r="51" spans="23:25" ht="16.5" customHeight="1">
      <c r="W51" s="172"/>
      <c r="X51" s="172"/>
      <c r="Y51" s="172"/>
    </row>
    <row r="52" spans="6:25" ht="16.5" customHeight="1"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</row>
    <row r="53" spans="6:25" ht="16.5" customHeight="1"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</row>
    <row r="54" spans="6:25" ht="16.5" customHeight="1"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6:25" ht="16.5" customHeight="1"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</row>
    <row r="56" spans="6:25" ht="16.5" customHeight="1"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</row>
    <row r="57" spans="6:25" ht="16.5" customHeight="1"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</row>
    <row r="58" spans="6:25" ht="16.5" customHeight="1"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6:25" ht="16.5" customHeight="1"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6:25" ht="16.5" customHeight="1"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6:25" ht="16.5" customHeight="1"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6:25" ht="16.5" customHeight="1"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</row>
    <row r="63" spans="6:25" ht="16.5" customHeight="1"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</row>
    <row r="64" spans="6:25" ht="16.5" customHeight="1"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</row>
    <row r="65" spans="6:25" ht="16.5" customHeight="1"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</row>
    <row r="66" spans="6:25" ht="16.5" customHeight="1"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</row>
    <row r="67" spans="6:25" ht="16.5" customHeight="1"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</row>
    <row r="68" spans="6:25" ht="16.5" customHeight="1"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6:25" ht="16.5" customHeight="1"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</row>
    <row r="70" spans="6:25" ht="16.5" customHeight="1"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6:25" ht="16.5" customHeight="1"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</row>
    <row r="72" spans="6:25" ht="16.5" customHeight="1"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</row>
    <row r="73" spans="6:25" ht="16.5" customHeight="1"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</row>
    <row r="74" spans="6:25" ht="16.5" customHeight="1"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</row>
    <row r="75" spans="6:25" ht="16.5" customHeight="1"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</row>
    <row r="76" spans="6:25" ht="16.5" customHeight="1"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</row>
    <row r="77" spans="6:25" ht="16.5" customHeight="1"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</row>
    <row r="78" spans="6:25" ht="16.5" customHeight="1"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</row>
    <row r="79" spans="6:25" ht="16.5" customHeight="1"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</row>
    <row r="80" spans="6:25" ht="16.5" customHeight="1"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</row>
    <row r="81" spans="6:25" ht="16.5" customHeight="1"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</row>
    <row r="82" spans="6:25" ht="16.5" customHeight="1"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</row>
    <row r="83" spans="6:25" ht="16.5" customHeight="1"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</row>
    <row r="84" spans="6:25" ht="16.5" customHeight="1"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</row>
    <row r="85" spans="6:25" ht="16.5" customHeight="1"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</row>
    <row r="86" spans="6:25" ht="16.5" customHeight="1"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</row>
    <row r="87" spans="6:25" ht="16.5" customHeight="1"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</row>
    <row r="88" spans="6:25" ht="16.5" customHeight="1"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</row>
    <row r="89" spans="6:25" ht="16.5" customHeight="1"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</row>
    <row r="90" spans="6:25" ht="16.5" customHeight="1"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</row>
    <row r="91" spans="6:25" ht="16.5" customHeight="1"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</row>
    <row r="92" spans="6:25" ht="16.5" customHeight="1"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</row>
    <row r="93" spans="6:25" ht="16.5" customHeight="1"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</row>
    <row r="94" spans="6:25" ht="16.5" customHeight="1"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</row>
    <row r="95" spans="6:25" ht="16.5" customHeight="1"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</row>
    <row r="96" spans="6:25" ht="16.5" customHeight="1"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</row>
    <row r="97" spans="6:25" ht="16.5" customHeight="1"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</row>
    <row r="98" spans="6:25" ht="16.5" customHeight="1"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</row>
    <row r="99" spans="6:25" ht="16.5" customHeight="1"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</row>
    <row r="100" spans="6:25" ht="16.5" customHeight="1"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</row>
    <row r="101" spans="6:25" ht="16.5" customHeight="1"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</row>
    <row r="102" spans="6:25" ht="16.5" customHeight="1"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</row>
    <row r="103" spans="6:25" ht="16.5" customHeight="1"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</row>
    <row r="104" spans="6:25" ht="16.5" customHeight="1"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</row>
    <row r="105" spans="6:25" ht="16.5" customHeight="1"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</row>
    <row r="106" spans="6:25" ht="16.5" customHeight="1"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</row>
    <row r="107" spans="6:25" ht="16.5" customHeight="1"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</row>
    <row r="108" spans="6:25" ht="16.5" customHeight="1"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</row>
    <row r="109" spans="6:25" ht="16.5" customHeight="1"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</row>
    <row r="110" spans="6:25" ht="16.5" customHeight="1"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</row>
    <row r="111" spans="6:25" ht="16.5" customHeight="1"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</row>
    <row r="112" spans="6:25" ht="16.5" customHeight="1"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</row>
    <row r="113" spans="6:25" ht="16.5" customHeight="1"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</row>
    <row r="114" spans="6:25" ht="16.5" customHeight="1"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</row>
    <row r="115" spans="6:25" ht="16.5" customHeight="1"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</row>
    <row r="116" spans="6:25" ht="16.5" customHeight="1"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</row>
    <row r="117" spans="6:25" ht="16.5" customHeight="1"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</row>
    <row r="118" spans="6:25" ht="16.5" customHeight="1"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</row>
    <row r="119" spans="6:25" ht="16.5" customHeight="1"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</row>
    <row r="120" spans="6:25" ht="16.5" customHeight="1"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</row>
    <row r="121" spans="6:25" ht="16.5" customHeight="1"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</row>
    <row r="122" spans="6:25" ht="16.5" customHeight="1"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</row>
    <row r="123" spans="6:25" ht="16.5" customHeight="1"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</row>
    <row r="124" spans="6:25" ht="16.5" customHeight="1"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</row>
    <row r="125" spans="6:25" ht="16.5" customHeight="1"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</row>
    <row r="126" spans="6:25" ht="16.5" customHeight="1"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</row>
    <row r="127" spans="6:25" ht="16.5" customHeight="1"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</row>
    <row r="128" spans="6:25" ht="16.5" customHeight="1"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</row>
    <row r="129" spans="6:25" ht="16.5" customHeight="1"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</row>
    <row r="130" spans="6:25" ht="16.5" customHeight="1"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</row>
    <row r="131" spans="6:25" ht="16.5" customHeight="1"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</row>
    <row r="132" spans="6:25" ht="16.5" customHeight="1"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</row>
    <row r="133" spans="6:25" ht="16.5" customHeight="1"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</row>
    <row r="134" spans="6:25" ht="16.5" customHeight="1"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</row>
    <row r="135" spans="6:25" ht="16.5" customHeight="1"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</row>
    <row r="136" spans="6:25" ht="16.5" customHeight="1"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</row>
    <row r="137" spans="6:25" ht="16.5" customHeight="1"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</row>
    <row r="138" spans="6:25" ht="16.5" customHeight="1"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</row>
    <row r="139" spans="6:25" ht="16.5" customHeight="1"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</row>
    <row r="140" spans="6:25" ht="16.5" customHeight="1"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</row>
    <row r="141" spans="6:25" ht="16.5" customHeight="1"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</row>
    <row r="142" spans="6:25" ht="16.5" customHeight="1"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</row>
    <row r="143" spans="6:25" ht="16.5" customHeight="1"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</row>
    <row r="144" spans="6:25" ht="16.5" customHeight="1"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</row>
    <row r="145" spans="6:25" ht="16.5" customHeight="1"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</row>
    <row r="146" spans="6:25" ht="16.5" customHeight="1"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</row>
    <row r="147" spans="6:25" ht="16.5" customHeight="1"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</row>
    <row r="148" spans="6:25" ht="16.5" customHeight="1"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</row>
    <row r="149" spans="6:25" ht="16.5" customHeight="1"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</row>
    <row r="150" spans="6:25" ht="16.5" customHeight="1"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</row>
    <row r="151" spans="6:25" ht="16.5" customHeight="1"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</row>
    <row r="152" spans="6:25" ht="16.5" customHeight="1"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</row>
    <row r="153" spans="6:25" ht="16.5" customHeight="1"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</row>
    <row r="154" spans="6:25" ht="16.5" customHeight="1"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</row>
    <row r="155" spans="6:25" ht="16.5" customHeight="1"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</row>
    <row r="156" spans="6:25" ht="16.5" customHeight="1"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</row>
    <row r="157" spans="6:25" ht="16.5" customHeight="1"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</row>
    <row r="158" spans="6:25" ht="16.5" customHeight="1"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</row>
    <row r="159" spans="6:25" ht="16.5" customHeight="1"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5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2011-08-16T15:49:08Z</cp:lastPrinted>
  <dcterms:created xsi:type="dcterms:W3CDTF">1998-04-21T14:04:37Z</dcterms:created>
  <dcterms:modified xsi:type="dcterms:W3CDTF">2011-10-20T14:00:07Z</dcterms:modified>
  <cp:category/>
  <cp:version/>
  <cp:contentType/>
  <cp:contentStatus/>
</cp:coreProperties>
</file>