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Hoja1" sheetId="1" r:id="rId1"/>
    <sheet name="Hoja2" sheetId="2" r:id="rId2"/>
    <sheet name="Hoja3" sheetId="3" r:id="rId3"/>
  </sheets>
  <definedNames>
    <definedName name="_xlnm.Print_Area" localSheetId="1">'Hoja2'!$B$1:$M$24</definedName>
    <definedName name="_xlnm.Print_Area" localSheetId="2">'Hoja3'!$B$5:$M$29</definedName>
  </definedNames>
  <calcPr fullCalcOnLoad="1"/>
</workbook>
</file>

<file path=xl/sharedStrings.xml><?xml version="1.0" encoding="utf-8"?>
<sst xmlns="http://schemas.openxmlformats.org/spreadsheetml/2006/main" count="56" uniqueCount="35">
  <si>
    <t>Costos Asociados al mantenimiento del hardware</t>
  </si>
  <si>
    <t>Personal</t>
  </si>
  <si>
    <t xml:space="preserve">Uso de Vehículos </t>
  </si>
  <si>
    <t>Herramientas</t>
  </si>
  <si>
    <t>Ingeniería de Protecciones</t>
  </si>
  <si>
    <t>Ingeniería de Operaciones</t>
  </si>
  <si>
    <t>Repuestos ABBB</t>
  </si>
  <si>
    <t>Asistencia ABB preventiva</t>
  </si>
  <si>
    <t>Asistencia ABB correctiva</t>
  </si>
  <si>
    <t>Comunicaciones contratadas</t>
  </si>
  <si>
    <t>Comunicaciones propias</t>
  </si>
  <si>
    <t>Total</t>
  </si>
  <si>
    <t>Conceptos</t>
  </si>
  <si>
    <t>Costos</t>
  </si>
  <si>
    <t>Imprevistos</t>
  </si>
  <si>
    <t>Gastos Financieros</t>
  </si>
  <si>
    <t>Gastos Generales</t>
  </si>
  <si>
    <t>Ingresos Brutos</t>
  </si>
  <si>
    <t>Impuestos Gancias</t>
  </si>
  <si>
    <t>Beneficios s/ventas</t>
  </si>
  <si>
    <t>Preventivo
TRANSENER S.A..</t>
  </si>
  <si>
    <t>SMO</t>
  </si>
  <si>
    <t>Subcontrato 
ABBB</t>
  </si>
  <si>
    <t>DAG</t>
  </si>
  <si>
    <t>Com. 
Contratadas</t>
  </si>
  <si>
    <t>Correctivo
TRANSENER S.A.</t>
  </si>
  <si>
    <t>Com.
Contratadas</t>
  </si>
  <si>
    <t>Com. 
propias</t>
  </si>
  <si>
    <t>TOTAL</t>
  </si>
  <si>
    <t>Rentabilidad (*)</t>
  </si>
  <si>
    <t>(*) 5% para comunicaciones contratadas</t>
  </si>
  <si>
    <t>Subcontrato 
ABB</t>
  </si>
  <si>
    <t>Impuestos Ganancias</t>
  </si>
  <si>
    <t>Cuadro de Resumen de Costos de Operación y Mantenimiento  de SMO y DAG - PROPUESTA ENRE</t>
  </si>
  <si>
    <t>Cuadro de Resumen de Costos de Operación y Mantenimiento  de SMO y DAG - PROPUESTA TRANSENER S.A.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</si>
</sst>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00_ ;_ * \-#,##0.000_ ;_ * &quot;-&quot;??_ ;_ @_ "/>
    <numFmt numFmtId="165" formatCode="_ * #,##0.0_ ;_ * \-#,##0.0_ ;_ * &quot;-&quot;??_ ;_ @_ "/>
    <numFmt numFmtId="166" formatCode="_ * #,##0_ ;_ * \-#,##0_ ;_ * &quot;-&quot;??_ ;_ @_ "/>
    <numFmt numFmtId="167" formatCode="0.0"/>
    <numFmt numFmtId="168" formatCode="0.000"/>
    <numFmt numFmtId="169" formatCode="0.0000"/>
  </numFmts>
  <fonts count="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9" xfId="15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166" fontId="0" fillId="0" borderId="10" xfId="15" applyNumberFormat="1" applyBorder="1" applyAlignment="1">
      <alignment/>
    </xf>
    <xf numFmtId="1" fontId="0" fillId="0" borderId="0" xfId="0" applyNumberFormat="1" applyBorder="1" applyAlignment="1">
      <alignment/>
    </xf>
    <xf numFmtId="9" fontId="0" fillId="0" borderId="11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/>
    </xf>
    <xf numFmtId="166" fontId="2" fillId="0" borderId="17" xfId="15" applyNumberFormat="1" applyFont="1" applyBorder="1" applyAlignment="1">
      <alignment/>
    </xf>
    <xf numFmtId="2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517"/>
  <sheetViews>
    <sheetView workbookViewId="0" topLeftCell="D38">
      <selection activeCell="K42" sqref="K42"/>
    </sheetView>
  </sheetViews>
  <sheetFormatPr defaultColWidth="11.421875" defaultRowHeight="12.75"/>
  <cols>
    <col min="4" max="4" width="13.8515625" style="0" bestFit="1" customWidth="1"/>
  </cols>
  <sheetData>
    <row r="3" spans="4:6" ht="12.75">
      <c r="D3" s="4">
        <v>36292</v>
      </c>
      <c r="E3" s="5"/>
      <c r="F3" s="1">
        <v>36389</v>
      </c>
    </row>
    <row r="4" spans="2:5" ht="12.75">
      <c r="B4" t="s">
        <v>0</v>
      </c>
      <c r="D4" s="6"/>
      <c r="E4" s="7"/>
    </row>
    <row r="5" spans="4:5" ht="12.75">
      <c r="D5" s="6"/>
      <c r="E5" s="7"/>
    </row>
    <row r="6" spans="2:5" ht="12.75">
      <c r="B6" t="s">
        <v>1</v>
      </c>
      <c r="D6" s="8">
        <v>344210</v>
      </c>
      <c r="E6" s="7"/>
    </row>
    <row r="7" spans="2:5" ht="12.75">
      <c r="B7" t="s">
        <v>2</v>
      </c>
      <c r="D7" s="8">
        <v>71710</v>
      </c>
      <c r="E7" s="7"/>
    </row>
    <row r="8" spans="2:5" ht="12.75">
      <c r="B8" t="s">
        <v>3</v>
      </c>
      <c r="D8" s="8">
        <v>23903</v>
      </c>
      <c r="E8" s="9"/>
    </row>
    <row r="9" spans="4:5" ht="12.75">
      <c r="D9" s="8"/>
      <c r="E9" s="7"/>
    </row>
    <row r="10" spans="4:5" ht="12.75">
      <c r="D10" s="8"/>
      <c r="E10" s="7"/>
    </row>
    <row r="11" spans="2:5" ht="12.75">
      <c r="B11" t="s">
        <v>4</v>
      </c>
      <c r="D11" s="8">
        <v>68854</v>
      </c>
      <c r="E11" s="7"/>
    </row>
    <row r="12" spans="4:5" ht="12.75">
      <c r="D12" s="8"/>
      <c r="E12" s="7"/>
    </row>
    <row r="13" spans="4:5" ht="12.75">
      <c r="D13" s="8"/>
      <c r="E13" s="7"/>
    </row>
    <row r="14" spans="2:6" ht="12.75">
      <c r="B14" t="s">
        <v>5</v>
      </c>
      <c r="D14" s="8">
        <v>80800</v>
      </c>
      <c r="E14" s="9">
        <f>SUM(D6:D14)</f>
        <v>589477</v>
      </c>
      <c r="F14" s="2">
        <f>37778+90888+55617+399254</f>
        <v>583537</v>
      </c>
    </row>
    <row r="15" spans="4:5" ht="12.75">
      <c r="D15" s="8"/>
      <c r="E15" s="7"/>
    </row>
    <row r="16" spans="4:5" ht="12.75">
      <c r="D16" s="8"/>
      <c r="E16" s="7"/>
    </row>
    <row r="17" spans="2:5" ht="12.75">
      <c r="B17" t="s">
        <v>6</v>
      </c>
      <c r="D17" s="8">
        <v>44238</v>
      </c>
      <c r="E17" s="7"/>
    </row>
    <row r="18" spans="4:5" ht="12.75">
      <c r="D18" s="8"/>
      <c r="E18" s="7"/>
    </row>
    <row r="19" spans="4:5" ht="12.75">
      <c r="D19" s="8"/>
      <c r="E19" s="7"/>
    </row>
    <row r="20" spans="2:5" ht="12.75">
      <c r="B20" t="s">
        <v>7</v>
      </c>
      <c r="D20" s="8">
        <v>253397</v>
      </c>
      <c r="E20" s="7"/>
    </row>
    <row r="21" spans="4:5" ht="12.75">
      <c r="D21" s="8"/>
      <c r="E21" s="7"/>
    </row>
    <row r="22" spans="4:5" ht="12.75">
      <c r="D22" s="8"/>
      <c r="E22" s="7"/>
    </row>
    <row r="23" spans="2:6" ht="12.75">
      <c r="B23" t="s">
        <v>8</v>
      </c>
      <c r="D23" s="8">
        <v>178850</v>
      </c>
      <c r="E23" s="9">
        <f>SUM(D17:D23)</f>
        <v>476485</v>
      </c>
      <c r="F23">
        <v>476484</v>
      </c>
    </row>
    <row r="24" spans="4:5" ht="12.75">
      <c r="D24" s="8"/>
      <c r="E24" s="7"/>
    </row>
    <row r="25" spans="4:5" ht="12.75">
      <c r="D25" s="8"/>
      <c r="E25" s="7"/>
    </row>
    <row r="26" spans="2:6" ht="12.75">
      <c r="B26" t="s">
        <v>9</v>
      </c>
      <c r="D26" s="8">
        <v>254464</v>
      </c>
      <c r="E26" s="7"/>
      <c r="F26" s="2">
        <f>160486+93978</f>
        <v>254464</v>
      </c>
    </row>
    <row r="27" spans="4:5" ht="12.75">
      <c r="D27" s="8"/>
      <c r="E27" s="7"/>
    </row>
    <row r="28" spans="4:5" ht="12.75">
      <c r="D28" s="8"/>
      <c r="E28" s="7"/>
    </row>
    <row r="29" spans="2:6" ht="12.75">
      <c r="B29" t="s">
        <v>10</v>
      </c>
      <c r="D29" s="8">
        <v>458574</v>
      </c>
      <c r="E29" s="7"/>
      <c r="F29" s="2">
        <v>458574</v>
      </c>
    </row>
    <row r="30" spans="4:5" ht="12.75">
      <c r="D30" s="8"/>
      <c r="E30" s="7"/>
    </row>
    <row r="31" spans="4:6" ht="12.75">
      <c r="D31" s="10">
        <f>SUM(D6:D29)</f>
        <v>1779000</v>
      </c>
      <c r="E31" s="11"/>
      <c r="F31" s="3">
        <f>SUM(F14:F29)</f>
        <v>1773059</v>
      </c>
    </row>
    <row r="32" ht="12.75">
      <c r="D32" s="2"/>
    </row>
    <row r="33" ht="12.75">
      <c r="D33" s="2"/>
    </row>
    <row r="34" spans="4:6" ht="12.75">
      <c r="D34" s="2"/>
      <c r="F34" s="3"/>
    </row>
    <row r="35" ht="12.75">
      <c r="D35" s="2"/>
    </row>
    <row r="36" ht="12.75">
      <c r="D36" s="2">
        <f>45140</f>
        <v>45140</v>
      </c>
    </row>
    <row r="37" spans="4:7" ht="12.75">
      <c r="D37" s="2">
        <v>52975</v>
      </c>
      <c r="F37">
        <v>42140</v>
      </c>
      <c r="G37">
        <v>50575</v>
      </c>
    </row>
    <row r="38" spans="4:8" ht="12.75">
      <c r="D38" s="2">
        <v>187075</v>
      </c>
      <c r="F38">
        <f>F37/2</f>
        <v>21070</v>
      </c>
      <c r="G38">
        <f>G37/2</f>
        <v>25287.5</v>
      </c>
      <c r="H38">
        <f>G38+F38</f>
        <v>46357.5</v>
      </c>
    </row>
    <row r="39" ht="12.75">
      <c r="D39" s="2">
        <f>SUM(D36:D38)</f>
        <v>285190</v>
      </c>
    </row>
    <row r="40" spans="4:8" ht="12.75">
      <c r="D40" s="2"/>
      <c r="H40">
        <v>98215</v>
      </c>
    </row>
    <row r="41" spans="4:12" ht="12.75">
      <c r="D41" s="2"/>
      <c r="H41">
        <f>H40-H38</f>
        <v>51857.5</v>
      </c>
      <c r="J41">
        <v>185877</v>
      </c>
      <c r="K41" s="2">
        <f>J41/J43*H41</f>
        <v>45897.93215387692</v>
      </c>
      <c r="L41" s="3">
        <f>K41+J41</f>
        <v>231774.93215387693</v>
      </c>
    </row>
    <row r="42" spans="4:12" ht="12.75">
      <c r="D42" s="2"/>
      <c r="J42">
        <v>24135</v>
      </c>
      <c r="K42" s="2">
        <f>J42/J43*H41</f>
        <v>5959.567846123078</v>
      </c>
      <c r="L42" s="3">
        <f>K42+J42</f>
        <v>30094.56784612308</v>
      </c>
    </row>
    <row r="43" spans="4:10" ht="12.75">
      <c r="D43" s="2"/>
      <c r="J43">
        <f>SUM(J41:J42)</f>
        <v>210012</v>
      </c>
    </row>
    <row r="44" ht="12.75">
      <c r="D44" s="2"/>
    </row>
    <row r="45" ht="12.75">
      <c r="D45" s="2"/>
    </row>
    <row r="46" ht="12.75">
      <c r="D46" s="2"/>
    </row>
    <row r="47" spans="4:12" ht="12.75">
      <c r="D47" s="2"/>
      <c r="J47">
        <v>312</v>
      </c>
      <c r="K47">
        <v>60</v>
      </c>
      <c r="L47">
        <f>K47*J47</f>
        <v>18720</v>
      </c>
    </row>
    <row r="48" spans="4:12" ht="12.75">
      <c r="D48" s="2"/>
      <c r="G48">
        <v>540</v>
      </c>
      <c r="J48">
        <v>455</v>
      </c>
      <c r="K48">
        <v>100</v>
      </c>
      <c r="L48">
        <f>K48*J48</f>
        <v>45500</v>
      </c>
    </row>
    <row r="49" spans="4:12" ht="12.75">
      <c r="D49" s="2"/>
      <c r="G49">
        <f>G48/8</f>
        <v>67.5</v>
      </c>
      <c r="J49">
        <f>540-150</f>
        <v>390</v>
      </c>
      <c r="K49">
        <v>100</v>
      </c>
      <c r="L49">
        <f>K49*J49</f>
        <v>39000</v>
      </c>
    </row>
    <row r="50" spans="4:12" ht="12.75">
      <c r="D50" s="2"/>
      <c r="L50">
        <f>SUM(L47:L49)</f>
        <v>103220</v>
      </c>
    </row>
    <row r="51" ht="12.75">
      <c r="D51" s="2"/>
    </row>
    <row r="52" spans="4:11" ht="12.75">
      <c r="D52" s="2"/>
      <c r="H52">
        <f>600*60</f>
        <v>36000</v>
      </c>
      <c r="K52">
        <f>755/8</f>
        <v>94.375</v>
      </c>
    </row>
    <row r="53" spans="4:8" ht="12.75">
      <c r="D53" s="2"/>
      <c r="H53">
        <f>4*490</f>
        <v>1960</v>
      </c>
    </row>
    <row r="54" spans="4:12" ht="12.75">
      <c r="D54" s="2"/>
      <c r="H54">
        <f>12*392</f>
        <v>4704</v>
      </c>
      <c r="K54">
        <f>18816</f>
        <v>18816</v>
      </c>
      <c r="L54">
        <f>48*392</f>
        <v>18816</v>
      </c>
    </row>
    <row r="55" ht="12.75">
      <c r="D55" s="2"/>
    </row>
    <row r="56" spans="4:8" ht="12.75">
      <c r="D56" s="2"/>
      <c r="H56">
        <v>300</v>
      </c>
    </row>
    <row r="57" spans="4:8" ht="12.75">
      <c r="D57" s="2"/>
      <c r="H57">
        <f>H56/8</f>
        <v>37.5</v>
      </c>
    </row>
    <row r="58" spans="4:8" ht="12.75">
      <c r="D58" s="2"/>
      <c r="H58">
        <f>40*392</f>
        <v>15680</v>
      </c>
    </row>
    <row r="59" spans="4:8" ht="12.75">
      <c r="D59" s="2"/>
      <c r="H59">
        <f>20*490</f>
        <v>9800</v>
      </c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zoomScale="80" zoomScaleNormal="80" workbookViewId="0" topLeftCell="A1">
      <selection activeCell="B1" sqref="B1:M24"/>
    </sheetView>
  </sheetViews>
  <sheetFormatPr defaultColWidth="11.421875" defaultRowHeight="12.75"/>
  <cols>
    <col min="2" max="2" width="17.8515625" style="0" customWidth="1"/>
    <col min="3" max="3" width="5.8515625" style="0" customWidth="1"/>
    <col min="4" max="4" width="13.421875" style="0" customWidth="1"/>
    <col min="5" max="5" width="13.57421875" style="0" customWidth="1"/>
    <col min="6" max="6" width="14.28125" style="0" customWidth="1"/>
    <col min="7" max="7" width="9.7109375" style="0" customWidth="1"/>
    <col min="8" max="8" width="13.8515625" style="0" customWidth="1"/>
    <col min="10" max="10" width="12.28125" style="0" customWidth="1"/>
    <col min="11" max="11" width="14.00390625" style="0" customWidth="1"/>
    <col min="12" max="12" width="11.00390625" style="0" customWidth="1"/>
  </cols>
  <sheetData>
    <row r="1" spans="2:13" ht="12.75">
      <c r="B1" s="42" t="s">
        <v>34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ht="13.5" thickBot="1"/>
    <row r="3" spans="2:13" ht="12.75">
      <c r="B3" s="21"/>
      <c r="C3" s="23"/>
      <c r="D3" s="39" t="s">
        <v>21</v>
      </c>
      <c r="E3" s="40"/>
      <c r="F3" s="41"/>
      <c r="G3" s="26" t="s">
        <v>28</v>
      </c>
      <c r="H3" s="39" t="s">
        <v>23</v>
      </c>
      <c r="I3" s="40"/>
      <c r="J3" s="40"/>
      <c r="K3" s="40"/>
      <c r="L3" s="41"/>
      <c r="M3" s="27" t="s">
        <v>28</v>
      </c>
    </row>
    <row r="4" spans="2:13" ht="15" customHeight="1">
      <c r="B4" s="14"/>
      <c r="C4" s="15"/>
      <c r="D4" s="14"/>
      <c r="E4" s="12"/>
      <c r="F4" s="15"/>
      <c r="G4" s="12"/>
      <c r="H4" s="14"/>
      <c r="I4" s="12"/>
      <c r="J4" s="12"/>
      <c r="K4" s="12"/>
      <c r="L4" s="15"/>
      <c r="M4" s="24"/>
    </row>
    <row r="5" spans="2:13" ht="48.75" customHeight="1">
      <c r="B5" s="14"/>
      <c r="C5" s="15"/>
      <c r="D5" s="16" t="s">
        <v>20</v>
      </c>
      <c r="E5" s="13" t="s">
        <v>25</v>
      </c>
      <c r="F5" s="17" t="s">
        <v>24</v>
      </c>
      <c r="G5" s="13"/>
      <c r="H5" s="16" t="s">
        <v>20</v>
      </c>
      <c r="I5" s="13" t="s">
        <v>25</v>
      </c>
      <c r="J5" s="13" t="s">
        <v>22</v>
      </c>
      <c r="K5" s="13" t="s">
        <v>26</v>
      </c>
      <c r="L5" s="17" t="s">
        <v>27</v>
      </c>
      <c r="M5" s="24"/>
    </row>
    <row r="6" spans="2:13" ht="12.75">
      <c r="B6" s="14"/>
      <c r="C6" s="15"/>
      <c r="D6" s="14"/>
      <c r="E6" s="12"/>
      <c r="F6" s="15"/>
      <c r="G6" s="12"/>
      <c r="H6" s="14"/>
      <c r="I6" s="12"/>
      <c r="J6" s="12"/>
      <c r="K6" s="12"/>
      <c r="L6" s="15"/>
      <c r="M6" s="24"/>
    </row>
    <row r="7" spans="2:13" ht="12.75">
      <c r="B7" s="14" t="s">
        <v>12</v>
      </c>
      <c r="C7" s="15"/>
      <c r="D7" s="14"/>
      <c r="E7" s="12"/>
      <c r="F7" s="15"/>
      <c r="G7" s="12"/>
      <c r="H7" s="14"/>
      <c r="I7" s="12"/>
      <c r="J7" s="12"/>
      <c r="K7" s="12"/>
      <c r="L7" s="15"/>
      <c r="M7" s="24"/>
    </row>
    <row r="8" spans="2:13" ht="12.75">
      <c r="B8" s="14"/>
      <c r="C8" s="15"/>
      <c r="D8" s="14"/>
      <c r="E8" s="12"/>
      <c r="F8" s="15"/>
      <c r="G8" s="12"/>
      <c r="H8" s="14"/>
      <c r="I8" s="12"/>
      <c r="J8" s="12"/>
      <c r="K8" s="12"/>
      <c r="L8" s="15"/>
      <c r="M8" s="24"/>
    </row>
    <row r="9" spans="2:13" ht="12.75">
      <c r="B9" s="14"/>
      <c r="C9" s="15"/>
      <c r="D9" s="14"/>
      <c r="E9" s="12"/>
      <c r="F9" s="15"/>
      <c r="G9" s="12"/>
      <c r="H9" s="14"/>
      <c r="I9" s="12"/>
      <c r="J9" s="12"/>
      <c r="K9" s="12"/>
      <c r="L9" s="15"/>
      <c r="M9" s="24"/>
    </row>
    <row r="10" spans="2:13" ht="12.75">
      <c r="B10" s="14" t="s">
        <v>13</v>
      </c>
      <c r="C10" s="15"/>
      <c r="D10" s="14">
        <v>25804</v>
      </c>
      <c r="E10" s="12">
        <v>37675</v>
      </c>
      <c r="F10" s="15">
        <v>133200</v>
      </c>
      <c r="G10" s="12">
        <f>SUM(D10:F10)</f>
        <v>196679</v>
      </c>
      <c r="H10" s="14">
        <v>62080</v>
      </c>
      <c r="I10" s="12">
        <v>270453</v>
      </c>
      <c r="J10" s="12">
        <v>326962</v>
      </c>
      <c r="K10" s="12">
        <v>78000</v>
      </c>
      <c r="L10" s="15">
        <v>303333</v>
      </c>
      <c r="M10" s="24">
        <f>SUM(H10:L10)</f>
        <v>1040828</v>
      </c>
    </row>
    <row r="11" spans="2:13" ht="12.75">
      <c r="B11" s="14"/>
      <c r="C11" s="15"/>
      <c r="D11" s="14"/>
      <c r="E11" s="12"/>
      <c r="F11" s="15"/>
      <c r="G11" s="12"/>
      <c r="H11" s="14"/>
      <c r="I11" s="12"/>
      <c r="J11" s="12"/>
      <c r="K11" s="12"/>
      <c r="L11" s="15"/>
      <c r="M11" s="24"/>
    </row>
    <row r="12" spans="2:13" ht="12.75">
      <c r="B12" s="14" t="s">
        <v>14</v>
      </c>
      <c r="C12" s="15"/>
      <c r="D12" s="14">
        <v>258</v>
      </c>
      <c r="E12" s="12">
        <v>753</v>
      </c>
      <c r="F12" s="15">
        <v>1332</v>
      </c>
      <c r="G12" s="12">
        <f>SUM(D12:F12)</f>
        <v>2343</v>
      </c>
      <c r="H12" s="14">
        <v>621</v>
      </c>
      <c r="I12" s="12">
        <v>5409</v>
      </c>
      <c r="J12" s="12">
        <v>3270</v>
      </c>
      <c r="K12" s="12">
        <v>780</v>
      </c>
      <c r="L12" s="15">
        <v>3033</v>
      </c>
      <c r="M12" s="24">
        <f>SUM(H12:L12)</f>
        <v>13113</v>
      </c>
    </row>
    <row r="13" spans="2:13" ht="12.75">
      <c r="B13" s="14"/>
      <c r="C13" s="15"/>
      <c r="D13" s="14"/>
      <c r="E13" s="12"/>
      <c r="F13" s="15"/>
      <c r="G13" s="12"/>
      <c r="H13" s="14"/>
      <c r="I13" s="12"/>
      <c r="J13" s="12"/>
      <c r="K13" s="12"/>
      <c r="L13" s="15"/>
      <c r="M13" s="24"/>
    </row>
    <row r="14" spans="2:13" ht="12.75">
      <c r="B14" s="14" t="s">
        <v>15</v>
      </c>
      <c r="C14" s="15"/>
      <c r="D14" s="14">
        <v>258</v>
      </c>
      <c r="E14" s="12">
        <v>377</v>
      </c>
      <c r="F14" s="15">
        <v>1332</v>
      </c>
      <c r="G14" s="12">
        <f>SUM(D14:F14)</f>
        <v>1967</v>
      </c>
      <c r="H14" s="14">
        <v>621</v>
      </c>
      <c r="I14" s="12">
        <v>2705</v>
      </c>
      <c r="J14" s="12">
        <v>3270</v>
      </c>
      <c r="K14" s="12">
        <v>780</v>
      </c>
      <c r="L14" s="15"/>
      <c r="M14" s="24">
        <f>SUM(H14:L14)</f>
        <v>7376</v>
      </c>
    </row>
    <row r="15" spans="2:13" ht="12.75">
      <c r="B15" s="14"/>
      <c r="C15" s="15"/>
      <c r="D15" s="14"/>
      <c r="E15" s="12"/>
      <c r="F15" s="15"/>
      <c r="G15" s="12"/>
      <c r="H15" s="14"/>
      <c r="I15" s="12"/>
      <c r="J15" s="12"/>
      <c r="K15" s="12"/>
      <c r="L15" s="15"/>
      <c r="M15" s="24"/>
    </row>
    <row r="16" spans="2:13" ht="12.75">
      <c r="B16" s="14" t="s">
        <v>16</v>
      </c>
      <c r="C16" s="15"/>
      <c r="D16" s="14">
        <v>2580</v>
      </c>
      <c r="E16" s="12">
        <v>3767</v>
      </c>
      <c r="F16" s="15">
        <v>6660</v>
      </c>
      <c r="G16" s="12">
        <f>SUM(D16:F16)</f>
        <v>13007</v>
      </c>
      <c r="H16" s="14">
        <v>6208</v>
      </c>
      <c r="I16" s="12">
        <v>27045</v>
      </c>
      <c r="J16" s="12">
        <v>16348</v>
      </c>
      <c r="K16" s="12">
        <v>3900</v>
      </c>
      <c r="L16" s="15">
        <v>30333</v>
      </c>
      <c r="M16" s="24">
        <f>SUM(H16:L16)</f>
        <v>83834</v>
      </c>
    </row>
    <row r="17" spans="2:13" ht="12.75">
      <c r="B17" s="14"/>
      <c r="C17" s="15"/>
      <c r="D17" s="14"/>
      <c r="E17" s="12"/>
      <c r="F17" s="15"/>
      <c r="G17" s="12"/>
      <c r="H17" s="14"/>
      <c r="I17" s="12"/>
      <c r="J17" s="12"/>
      <c r="K17" s="12"/>
      <c r="L17" s="15"/>
      <c r="M17" s="24"/>
    </row>
    <row r="18" spans="2:13" ht="12.75">
      <c r="B18" s="14" t="s">
        <v>17</v>
      </c>
      <c r="C18" s="15"/>
      <c r="D18" s="14">
        <v>1322</v>
      </c>
      <c r="E18" s="12">
        <v>1947</v>
      </c>
      <c r="F18" s="15">
        <v>5617</v>
      </c>
      <c r="G18" s="12">
        <f>SUM(D18:F18)</f>
        <v>8886</v>
      </c>
      <c r="H18" s="14">
        <v>3181</v>
      </c>
      <c r="I18" s="12">
        <v>13974</v>
      </c>
      <c r="J18" s="12">
        <v>16677</v>
      </c>
      <c r="K18" s="12">
        <v>3289</v>
      </c>
      <c r="L18" s="15">
        <v>16050</v>
      </c>
      <c r="M18" s="24">
        <f>SUM(H18:L18)</f>
        <v>53171</v>
      </c>
    </row>
    <row r="19" spans="2:13" ht="12.75">
      <c r="B19" s="14"/>
      <c r="C19" s="15"/>
      <c r="D19" s="14"/>
      <c r="E19" s="12"/>
      <c r="F19" s="15"/>
      <c r="G19" s="12"/>
      <c r="H19" s="14"/>
      <c r="I19" s="12"/>
      <c r="J19" s="12"/>
      <c r="K19" s="12"/>
      <c r="L19" s="15"/>
      <c r="M19" s="24"/>
    </row>
    <row r="20" spans="2:13" ht="12.75">
      <c r="B20" s="14" t="s">
        <v>18</v>
      </c>
      <c r="C20" s="15"/>
      <c r="D20" s="14">
        <v>2644</v>
      </c>
      <c r="E20" s="12">
        <v>3884</v>
      </c>
      <c r="F20" s="15">
        <v>4321</v>
      </c>
      <c r="G20" s="12">
        <f>SUM(D20:F20)</f>
        <v>10849</v>
      </c>
      <c r="H20" s="14">
        <v>6362</v>
      </c>
      <c r="I20" s="12">
        <v>27884</v>
      </c>
      <c r="J20" s="12">
        <v>38485</v>
      </c>
      <c r="K20" s="12">
        <v>2530</v>
      </c>
      <c r="L20" s="15">
        <v>37039</v>
      </c>
      <c r="M20" s="24">
        <f>SUM(H20:L20)</f>
        <v>112300</v>
      </c>
    </row>
    <row r="21" spans="2:13" ht="12.75">
      <c r="B21" s="14"/>
      <c r="C21" s="15"/>
      <c r="D21" s="14"/>
      <c r="E21" s="12"/>
      <c r="F21" s="15"/>
      <c r="G21" s="12"/>
      <c r="H21" s="14"/>
      <c r="I21" s="12"/>
      <c r="J21" s="12"/>
      <c r="K21" s="12"/>
      <c r="L21" s="15"/>
      <c r="M21" s="24"/>
    </row>
    <row r="22" spans="2:13" ht="13.5" thickBot="1">
      <c r="B22" s="18" t="s">
        <v>19</v>
      </c>
      <c r="C22" s="20"/>
      <c r="D22" s="14">
        <v>4911</v>
      </c>
      <c r="E22" s="12">
        <v>7214</v>
      </c>
      <c r="F22" s="15">
        <v>8024</v>
      </c>
      <c r="G22" s="12">
        <f>SUM(D22:F22)</f>
        <v>20149</v>
      </c>
      <c r="H22" s="14">
        <v>11815</v>
      </c>
      <c r="I22" s="12">
        <v>51785</v>
      </c>
      <c r="J22" s="12">
        <v>71473</v>
      </c>
      <c r="K22" s="12">
        <v>4699</v>
      </c>
      <c r="L22" s="15">
        <v>68786</v>
      </c>
      <c r="M22" s="24">
        <f>SUM(H22:L22)</f>
        <v>208558</v>
      </c>
    </row>
    <row r="23" spans="2:13" ht="13.5" thickBot="1">
      <c r="B23" s="21"/>
      <c r="C23" s="22"/>
      <c r="D23" s="21"/>
      <c r="E23" s="22"/>
      <c r="F23" s="23"/>
      <c r="G23" s="22"/>
      <c r="H23" s="21"/>
      <c r="I23" s="22"/>
      <c r="J23" s="22"/>
      <c r="K23" s="22"/>
      <c r="L23" s="23"/>
      <c r="M23" s="23"/>
    </row>
    <row r="24" spans="2:13" ht="13.5" thickBot="1">
      <c r="B24" s="18" t="s">
        <v>11</v>
      </c>
      <c r="C24" s="19"/>
      <c r="D24" s="25">
        <f>SUM(D10:D22)</f>
        <v>37777</v>
      </c>
      <c r="E24" s="29">
        <f>SUM(E10:E22)</f>
        <v>55617</v>
      </c>
      <c r="F24" s="29">
        <f>SUM(F10:F22)</f>
        <v>160486</v>
      </c>
      <c r="G24" s="28">
        <f>SUM(D24:F24)</f>
        <v>253880</v>
      </c>
      <c r="H24" s="29">
        <f>SUM(H10:H22)</f>
        <v>90888</v>
      </c>
      <c r="I24" s="29">
        <f>SUM(I10:I22)</f>
        <v>399255</v>
      </c>
      <c r="J24" s="29">
        <f>SUM(J10:J22)</f>
        <v>476485</v>
      </c>
      <c r="K24" s="29">
        <f>SUM(K10:K22)</f>
        <v>93978</v>
      </c>
      <c r="L24" s="20">
        <f>SUM(L10:L22)</f>
        <v>458574</v>
      </c>
      <c r="M24" s="28">
        <f>SUM(H24:L24)</f>
        <v>1519180</v>
      </c>
    </row>
  </sheetData>
  <mergeCells count="3">
    <mergeCell ref="D3:F3"/>
    <mergeCell ref="H3:L3"/>
    <mergeCell ref="B1:M1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48"/>
  <sheetViews>
    <sheetView tabSelected="1" workbookViewId="0" topLeftCell="A1">
      <selection activeCell="B5" sqref="B5:M29"/>
    </sheetView>
  </sheetViews>
  <sheetFormatPr defaultColWidth="11.421875" defaultRowHeight="12.75"/>
  <cols>
    <col min="2" max="2" width="16.7109375" style="0" customWidth="1"/>
    <col min="3" max="3" width="5.00390625" style="0" customWidth="1"/>
    <col min="4" max="4" width="12.28125" style="0" bestFit="1" customWidth="1"/>
    <col min="7" max="7" width="11.7109375" style="0" bestFit="1" customWidth="1"/>
  </cols>
  <sheetData>
    <row r="5" spans="2:13" ht="12.75">
      <c r="B5" s="42" t="s">
        <v>33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ht="13.5" thickBot="1"/>
    <row r="7" spans="2:13" ht="12.75">
      <c r="B7" s="21"/>
      <c r="C7" s="23"/>
      <c r="D7" s="39" t="s">
        <v>21</v>
      </c>
      <c r="E7" s="40"/>
      <c r="F7" s="41"/>
      <c r="G7" s="26" t="s">
        <v>28</v>
      </c>
      <c r="H7" s="39" t="s">
        <v>23</v>
      </c>
      <c r="I7" s="40"/>
      <c r="J7" s="40"/>
      <c r="K7" s="40"/>
      <c r="L7" s="41"/>
      <c r="M7" s="27" t="s">
        <v>28</v>
      </c>
    </row>
    <row r="8" spans="2:13" ht="12.75">
      <c r="B8" s="14"/>
      <c r="C8" s="15"/>
      <c r="D8" s="14"/>
      <c r="E8" s="12"/>
      <c r="F8" s="15"/>
      <c r="G8" s="12"/>
      <c r="H8" s="14"/>
      <c r="I8" s="12"/>
      <c r="J8" s="12"/>
      <c r="K8" s="12"/>
      <c r="L8" s="15"/>
      <c r="M8" s="24"/>
    </row>
    <row r="9" spans="2:13" ht="33.75">
      <c r="B9" s="14"/>
      <c r="C9" s="15"/>
      <c r="D9" s="16" t="s">
        <v>20</v>
      </c>
      <c r="E9" s="13" t="s">
        <v>25</v>
      </c>
      <c r="F9" s="17" t="s">
        <v>24</v>
      </c>
      <c r="G9" s="13"/>
      <c r="H9" s="16" t="s">
        <v>20</v>
      </c>
      <c r="I9" s="13" t="s">
        <v>25</v>
      </c>
      <c r="J9" s="13" t="s">
        <v>31</v>
      </c>
      <c r="K9" s="13" t="s">
        <v>26</v>
      </c>
      <c r="L9" s="17" t="s">
        <v>27</v>
      </c>
      <c r="M9" s="24"/>
    </row>
    <row r="10" spans="2:13" ht="12.75">
      <c r="B10" s="14"/>
      <c r="C10" s="15"/>
      <c r="D10" s="14"/>
      <c r="E10" s="12"/>
      <c r="F10" s="15"/>
      <c r="G10" s="12"/>
      <c r="H10" s="14"/>
      <c r="I10" s="12"/>
      <c r="J10" s="12"/>
      <c r="K10" s="12"/>
      <c r="L10" s="15"/>
      <c r="M10" s="24"/>
    </row>
    <row r="11" spans="2:13" ht="12.75">
      <c r="B11" s="14" t="s">
        <v>12</v>
      </c>
      <c r="C11" s="15"/>
      <c r="D11" s="14"/>
      <c r="E11" s="12"/>
      <c r="F11" s="15"/>
      <c r="G11" s="12"/>
      <c r="H11" s="14"/>
      <c r="I11" s="12"/>
      <c r="J11" s="12"/>
      <c r="K11" s="12"/>
      <c r="L11" s="15"/>
      <c r="M11" s="24"/>
    </row>
    <row r="12" spans="2:13" ht="12.75">
      <c r="B12" s="14"/>
      <c r="C12" s="15"/>
      <c r="D12" s="14"/>
      <c r="E12" s="12"/>
      <c r="F12" s="15"/>
      <c r="G12" s="12"/>
      <c r="H12" s="14"/>
      <c r="I12" s="12"/>
      <c r="J12" s="12"/>
      <c r="K12" s="12"/>
      <c r="L12" s="15"/>
      <c r="M12" s="24"/>
    </row>
    <row r="13" spans="2:13" ht="12.75">
      <c r="B13" s="14"/>
      <c r="C13" s="15"/>
      <c r="D13" s="14"/>
      <c r="E13" s="12"/>
      <c r="F13" s="15"/>
      <c r="G13" s="12"/>
      <c r="H13" s="14"/>
      <c r="I13" s="12"/>
      <c r="J13" s="12"/>
      <c r="K13" s="12"/>
      <c r="L13" s="15"/>
      <c r="M13" s="24"/>
    </row>
    <row r="14" spans="2:13" ht="12.75">
      <c r="B14" s="14" t="s">
        <v>13</v>
      </c>
      <c r="C14" s="15"/>
      <c r="D14" s="14">
        <v>25804</v>
      </c>
      <c r="E14" s="12">
        <f>37675-5960</f>
        <v>31715</v>
      </c>
      <c r="F14" s="15">
        <v>133200</v>
      </c>
      <c r="G14" s="12">
        <f>SUM(D14:F14)</f>
        <v>190719</v>
      </c>
      <c r="H14" s="14">
        <v>62080</v>
      </c>
      <c r="I14" s="12">
        <f>270453-45898</f>
        <v>224555</v>
      </c>
      <c r="J14" s="12">
        <f>36000+30000+15680+9800+15000+4704+1960+13195</f>
        <v>126339</v>
      </c>
      <c r="K14" s="12">
        <v>78000</v>
      </c>
      <c r="L14" s="15">
        <v>0</v>
      </c>
      <c r="M14" s="24">
        <f>SUM(H14:L14)</f>
        <v>490974</v>
      </c>
    </row>
    <row r="15" spans="2:13" ht="12.75">
      <c r="B15" s="14"/>
      <c r="C15" s="15"/>
      <c r="D15" s="14"/>
      <c r="E15" s="12"/>
      <c r="F15" s="15"/>
      <c r="G15" s="12"/>
      <c r="H15" s="14"/>
      <c r="I15" s="12"/>
      <c r="J15" s="12"/>
      <c r="K15" s="12"/>
      <c r="L15" s="15"/>
      <c r="M15" s="24"/>
    </row>
    <row r="16" spans="2:13" ht="12.75">
      <c r="B16" s="14" t="s">
        <v>14</v>
      </c>
      <c r="C16" s="15"/>
      <c r="D16" s="14">
        <v>0</v>
      </c>
      <c r="E16" s="12">
        <v>0</v>
      </c>
      <c r="F16" s="15">
        <v>0</v>
      </c>
      <c r="G16" s="12">
        <f>SUM(D16:F16)</f>
        <v>0</v>
      </c>
      <c r="H16" s="14">
        <v>0</v>
      </c>
      <c r="I16" s="12">
        <v>0</v>
      </c>
      <c r="J16" s="12">
        <v>0</v>
      </c>
      <c r="K16" s="12">
        <v>0</v>
      </c>
      <c r="L16" s="15">
        <v>0</v>
      </c>
      <c r="M16" s="24">
        <f>SUM(H16:L16)</f>
        <v>0</v>
      </c>
    </row>
    <row r="17" spans="2:13" ht="12.75">
      <c r="B17" s="14"/>
      <c r="C17" s="15"/>
      <c r="D17" s="14"/>
      <c r="E17" s="12"/>
      <c r="F17" s="15"/>
      <c r="G17" s="12"/>
      <c r="H17" s="14"/>
      <c r="I17" s="12"/>
      <c r="J17" s="12"/>
      <c r="K17" s="12"/>
      <c r="L17" s="15"/>
      <c r="M17" s="24"/>
    </row>
    <row r="18" spans="2:13" ht="12.75">
      <c r="B18" s="14" t="s">
        <v>15</v>
      </c>
      <c r="C18" s="15"/>
      <c r="D18" s="14">
        <f>1%*D14</f>
        <v>258.04</v>
      </c>
      <c r="E18" s="12">
        <f>E14*1%</f>
        <v>317.15000000000003</v>
      </c>
      <c r="F18" s="15">
        <f>F14*1%</f>
        <v>1332</v>
      </c>
      <c r="G18" s="30">
        <f>SUM(D18:F18)</f>
        <v>1907.19</v>
      </c>
      <c r="H18" s="14">
        <f>H14*1%</f>
        <v>620.8000000000001</v>
      </c>
      <c r="I18" s="12">
        <f>I14*1%</f>
        <v>2245.55</v>
      </c>
      <c r="J18" s="12">
        <f>J14*1%</f>
        <v>1263.39</v>
      </c>
      <c r="K18" s="12">
        <f>K14*1%</f>
        <v>780</v>
      </c>
      <c r="L18" s="15">
        <v>0</v>
      </c>
      <c r="M18" s="24">
        <f>SUM(H18:L18)</f>
        <v>4909.740000000001</v>
      </c>
    </row>
    <row r="19" spans="2:13" ht="12.75">
      <c r="B19" s="14"/>
      <c r="C19" s="15"/>
      <c r="D19" s="14"/>
      <c r="E19" s="12"/>
      <c r="F19" s="15"/>
      <c r="G19" s="12"/>
      <c r="H19" s="14"/>
      <c r="I19" s="12"/>
      <c r="J19" s="12"/>
      <c r="K19" s="12"/>
      <c r="L19" s="15"/>
      <c r="M19" s="24"/>
    </row>
    <row r="20" spans="2:13" ht="12.75">
      <c r="B20" s="14" t="s">
        <v>16</v>
      </c>
      <c r="C20" s="15"/>
      <c r="D20" s="14">
        <v>2580</v>
      </c>
      <c r="E20" s="12">
        <v>3767</v>
      </c>
      <c r="F20" s="15">
        <v>6660</v>
      </c>
      <c r="G20" s="12">
        <f>SUM(D20:F20)</f>
        <v>13007</v>
      </c>
      <c r="H20" s="14">
        <v>6208</v>
      </c>
      <c r="I20" s="12">
        <v>27045</v>
      </c>
      <c r="J20" s="12">
        <v>16348</v>
      </c>
      <c r="K20" s="12">
        <v>3900</v>
      </c>
      <c r="L20" s="15">
        <v>0</v>
      </c>
      <c r="M20" s="24">
        <f>SUM(H20:L20)</f>
        <v>53501</v>
      </c>
    </row>
    <row r="21" spans="2:13" ht="12.75">
      <c r="B21" s="14"/>
      <c r="C21" s="15"/>
      <c r="D21" s="14"/>
      <c r="E21" s="12"/>
      <c r="F21" s="15"/>
      <c r="G21" s="12"/>
      <c r="H21" s="14"/>
      <c r="I21" s="12"/>
      <c r="J21" s="12"/>
      <c r="K21" s="12"/>
      <c r="L21" s="15"/>
      <c r="M21" s="24"/>
    </row>
    <row r="22" spans="2:13" ht="12.75">
      <c r="B22" s="14" t="s">
        <v>17</v>
      </c>
      <c r="C22" s="15"/>
      <c r="D22" s="32">
        <v>1198.6505380629735</v>
      </c>
      <c r="E22" s="30">
        <v>1498.1708848146673</v>
      </c>
      <c r="F22" s="33">
        <v>5514.872857712236</v>
      </c>
      <c r="G22" s="30">
        <f>SUM(D22:F22)</f>
        <v>8211.694280589876</v>
      </c>
      <c r="H22" s="32">
        <v>2883.787963332004</v>
      </c>
      <c r="I22" s="30">
        <v>10623.269330410521</v>
      </c>
      <c r="J22" s="30">
        <v>6024.229155041852</v>
      </c>
      <c r="K22" s="30">
        <v>3460.1036269430065</v>
      </c>
      <c r="L22" s="15">
        <v>0</v>
      </c>
      <c r="M22" s="24">
        <f>SUM(H22:L22)</f>
        <v>22991.390075727384</v>
      </c>
    </row>
    <row r="23" spans="2:13" ht="12.75">
      <c r="B23" s="14"/>
      <c r="C23" s="15"/>
      <c r="D23" s="14"/>
      <c r="E23" s="12"/>
      <c r="F23" s="15"/>
      <c r="G23" s="12"/>
      <c r="H23" s="14"/>
      <c r="I23" s="12"/>
      <c r="J23" s="12"/>
      <c r="K23" s="12"/>
      <c r="L23" s="15"/>
      <c r="M23" s="24"/>
    </row>
    <row r="24" spans="2:13" ht="12.75">
      <c r="B24" s="14" t="s">
        <v>32</v>
      </c>
      <c r="C24" s="15"/>
      <c r="D24" s="32">
        <v>1542.2636923076889</v>
      </c>
      <c r="E24" s="30">
        <v>1927.646538461537</v>
      </c>
      <c r="F24" s="33">
        <v>3801.3230769230804</v>
      </c>
      <c r="G24" s="12">
        <f>SUM(D24:F24)</f>
        <v>7271.233307692306</v>
      </c>
      <c r="H24" s="32">
        <v>3710.473846153811</v>
      </c>
      <c r="I24" s="30">
        <v>13668.606538461523</v>
      </c>
      <c r="J24" s="30">
        <v>7751.174846153847</v>
      </c>
      <c r="K24" s="30">
        <v>4452.000000000025</v>
      </c>
      <c r="L24" s="15">
        <v>0</v>
      </c>
      <c r="M24" s="24">
        <f>SUM(H24:L24)</f>
        <v>29582.25523076921</v>
      </c>
    </row>
    <row r="25" spans="2:13" ht="12.75">
      <c r="B25" s="14"/>
      <c r="C25" s="15"/>
      <c r="D25" s="14"/>
      <c r="E25" s="12"/>
      <c r="F25" s="15"/>
      <c r="G25" s="12"/>
      <c r="H25" s="14"/>
      <c r="I25" s="12"/>
      <c r="J25" s="12"/>
      <c r="K25" s="12"/>
      <c r="L25" s="15"/>
      <c r="M25" s="24"/>
    </row>
    <row r="26" spans="2:13" ht="13.5" thickBot="1">
      <c r="B26" s="18" t="s">
        <v>29</v>
      </c>
      <c r="C26" s="31">
        <v>0.1</v>
      </c>
      <c r="D26" s="32">
        <f>C26*SUM(D14:D20)</f>
        <v>2864.204</v>
      </c>
      <c r="E26" s="30">
        <f>C26*SUM(E14:E20)</f>
        <v>3579.9150000000004</v>
      </c>
      <c r="F26" s="33">
        <f>5%*SUM(F14:F20)</f>
        <v>7059.6</v>
      </c>
      <c r="G26" s="30">
        <f>SUM(D26:F26)</f>
        <v>13503.719000000001</v>
      </c>
      <c r="H26" s="32">
        <f>$C$26*SUM(H14:H20)</f>
        <v>6890.880000000001</v>
      </c>
      <c r="I26" s="34">
        <f>$C$26*SUM(I14:I20)</f>
        <v>25384.555</v>
      </c>
      <c r="J26" s="34">
        <f>$C$26*SUM(J14:J20)</f>
        <v>14395.039000000002</v>
      </c>
      <c r="K26" s="34">
        <f>$C$26*SUM(K14:K20)</f>
        <v>8268</v>
      </c>
      <c r="L26" s="15">
        <v>0</v>
      </c>
      <c r="M26" s="35">
        <f>SUM(H26:L26)</f>
        <v>54938.474</v>
      </c>
    </row>
    <row r="27" spans="2:13" ht="13.5" thickBot="1">
      <c r="B27" s="21"/>
      <c r="C27" s="22"/>
      <c r="D27" s="21"/>
      <c r="E27" s="22"/>
      <c r="F27" s="23"/>
      <c r="G27" s="22"/>
      <c r="H27" s="21"/>
      <c r="I27" s="22"/>
      <c r="J27" s="22"/>
      <c r="K27" s="22"/>
      <c r="L27" s="23"/>
      <c r="M27" s="23"/>
    </row>
    <row r="28" spans="2:13" ht="13.5" thickBot="1">
      <c r="B28" s="18" t="s">
        <v>11</v>
      </c>
      <c r="C28" s="19"/>
      <c r="D28" s="25">
        <f>SUM(D14:D26)</f>
        <v>34247.15823037067</v>
      </c>
      <c r="E28" s="29">
        <f>SUM(E14:E26)</f>
        <v>42804.882423276205</v>
      </c>
      <c r="F28" s="29">
        <f>SUM(F14:F26)</f>
        <v>157567.79593463533</v>
      </c>
      <c r="G28" s="36">
        <f>SUM(D28:F28)</f>
        <v>234619.8365882822</v>
      </c>
      <c r="H28" s="29">
        <f>SUM(H14:H26)</f>
        <v>82393.94180948581</v>
      </c>
      <c r="I28" s="29">
        <f>SUM(I14:I26)</f>
        <v>303521.980868872</v>
      </c>
      <c r="J28" s="29">
        <f>SUM(J14:J26)</f>
        <v>172120.83300119572</v>
      </c>
      <c r="K28" s="29">
        <f>SUM(K14:K26)</f>
        <v>98860.10362694303</v>
      </c>
      <c r="L28" s="20">
        <f>SUM(L14:L26)</f>
        <v>0</v>
      </c>
      <c r="M28" s="36">
        <f>SUM(H28:L28)</f>
        <v>656896.8593064966</v>
      </c>
    </row>
    <row r="29" ht="12.75">
      <c r="B29" t="s">
        <v>30</v>
      </c>
    </row>
    <row r="30" spans="4:11" ht="12.75" hidden="1">
      <c r="D30">
        <f>(D28-SUM(D14:D22))*0.35</f>
        <v>1542.2636923076918</v>
      </c>
      <c r="E30">
        <f>(E28-SUM(E14:E22))*0.35</f>
        <v>1927.646538461538</v>
      </c>
      <c r="F30">
        <f>(F28-SUM(F14:F22))*0.35</f>
        <v>3801.323076923082</v>
      </c>
      <c r="H30">
        <f>(H28-SUM(H14:H22))*0.35</f>
        <v>3710.473846153834</v>
      </c>
      <c r="I30">
        <f>(I28-SUM(I14:I22))*0.35</f>
        <v>13668.606538461529</v>
      </c>
      <c r="J30">
        <f>(J28-SUM(J14:J22))*0.35</f>
        <v>7751.174846153844</v>
      </c>
      <c r="K30">
        <f>(K28-SUM(K14:K22))*0.35</f>
        <v>4452.00000000001</v>
      </c>
    </row>
    <row r="31" spans="4:11" ht="12.75" hidden="1">
      <c r="D31">
        <f>D24</f>
        <v>1542.2636923076889</v>
      </c>
      <c r="E31">
        <f>E24</f>
        <v>1927.646538461537</v>
      </c>
      <c r="F31">
        <f>F24</f>
        <v>3801.3230769230804</v>
      </c>
      <c r="H31">
        <f>H24</f>
        <v>3710.473846153811</v>
      </c>
      <c r="I31">
        <f>I24</f>
        <v>13668.606538461523</v>
      </c>
      <c r="J31">
        <f>J24</f>
        <v>7751.174846153847</v>
      </c>
      <c r="K31">
        <f>K24</f>
        <v>4452.000000000025</v>
      </c>
    </row>
    <row r="32" spans="4:11" ht="12.75" hidden="1">
      <c r="D32">
        <f>D30-D31</f>
        <v>2.9558577807620168E-12</v>
      </c>
      <c r="E32">
        <f>E30-E31</f>
        <v>0</v>
      </c>
      <c r="F32">
        <f>F30-F31</f>
        <v>0</v>
      </c>
      <c r="H32">
        <f>H30-H31</f>
        <v>2.319211489520967E-11</v>
      </c>
      <c r="I32">
        <f>I30-I31</f>
        <v>0</v>
      </c>
      <c r="J32">
        <f>J30-J31</f>
        <v>0</v>
      </c>
      <c r="K32">
        <f>K30-K31</f>
        <v>-1.4551915228366852E-11</v>
      </c>
    </row>
    <row r="33" ht="12.75" hidden="1"/>
    <row r="34" spans="4:11" ht="12.75" hidden="1">
      <c r="D34" s="3">
        <f>D28*0.035</f>
        <v>1198.6505380629735</v>
      </c>
      <c r="E34" s="3">
        <f>E28*0.035</f>
        <v>1498.1708848146673</v>
      </c>
      <c r="F34" s="3">
        <f>F28*0.035</f>
        <v>5514.872857712237</v>
      </c>
      <c r="H34" s="3">
        <f>H28*0.035</f>
        <v>2883.7879633320035</v>
      </c>
      <c r="I34" s="3">
        <f>I28*0.035</f>
        <v>10623.269330410521</v>
      </c>
      <c r="J34" s="3">
        <f>J28*0.035</f>
        <v>6024.22915504185</v>
      </c>
      <c r="K34" s="3">
        <f>K28*0.035</f>
        <v>3460.1036269430065</v>
      </c>
    </row>
    <row r="35" spans="4:11" ht="12.75" hidden="1">
      <c r="D35" s="3">
        <f>D34-D22</f>
        <v>0</v>
      </c>
      <c r="E35" s="3">
        <f>E34-E22</f>
        <v>0</v>
      </c>
      <c r="F35" s="3">
        <f>F34-F22</f>
        <v>0</v>
      </c>
      <c r="H35" s="3">
        <f>H34-H22</f>
        <v>0</v>
      </c>
      <c r="I35" s="3">
        <f>I34-I22</f>
        <v>0</v>
      </c>
      <c r="J35" s="3">
        <f>J34-J22</f>
        <v>0</v>
      </c>
      <c r="K35" s="3">
        <f>K34-K22</f>
        <v>0</v>
      </c>
    </row>
    <row r="36" spans="4:6" ht="12.75" hidden="1">
      <c r="D36" s="38"/>
      <c r="E36" s="38"/>
      <c r="F36" s="38"/>
    </row>
    <row r="37" spans="7:13" ht="12.75" hidden="1">
      <c r="G37">
        <f>G28/12</f>
        <v>19551.653049023516</v>
      </c>
      <c r="M37" s="3">
        <f>M28</f>
        <v>656896.8593064966</v>
      </c>
    </row>
    <row r="38" spans="4:13" ht="12.75">
      <c r="D38" s="38"/>
      <c r="E38" s="38"/>
      <c r="F38" s="38"/>
      <c r="M38" s="3">
        <f>M37/12</f>
        <v>54741.40494220805</v>
      </c>
    </row>
    <row r="39" spans="4:13" ht="12.75">
      <c r="D39" s="37"/>
      <c r="E39" s="37"/>
      <c r="F39" s="37"/>
      <c r="M39" s="3">
        <f>M38*0.1</f>
        <v>5474.1404942208055</v>
      </c>
    </row>
    <row r="40" spans="4:7" ht="12.75">
      <c r="D40" s="38"/>
      <c r="E40" s="38"/>
      <c r="F40" s="38"/>
      <c r="G40" s="38"/>
    </row>
    <row r="47" ht="12.75">
      <c r="D47" s="38"/>
    </row>
    <row r="48" ht="12.75">
      <c r="D48" s="38"/>
    </row>
  </sheetData>
  <mergeCells count="3">
    <mergeCell ref="D7:F7"/>
    <mergeCell ref="H7:L7"/>
    <mergeCell ref="B5:M5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SMerzi</dc:creator>
  <cp:keywords/>
  <dc:description/>
  <cp:lastModifiedBy>SMerzi</cp:lastModifiedBy>
  <cp:lastPrinted>2001-02-21T13:46:57Z</cp:lastPrinted>
  <dcterms:created xsi:type="dcterms:W3CDTF">2001-02-20T11:49:20Z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