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945" activeTab="0"/>
  </bookViews>
  <sheets>
    <sheet name="TOT-0907" sheetId="1" r:id="rId1"/>
    <sheet name="LI-09 (1)" sheetId="2" r:id="rId2"/>
    <sheet name="Incendio" sheetId="3" r:id="rId3"/>
    <sheet name="TR-09 (1)" sheetId="4" r:id="rId4"/>
    <sheet name="SA-09 (1)" sheetId="5" r:id="rId5"/>
    <sheet name="SA-09 (2)" sheetId="6" r:id="rId6"/>
    <sheet name="RE-09 (1)" sheetId="7" r:id="rId7"/>
    <sheet name="RE-09 (2)" sheetId="8" r:id="rId8"/>
    <sheet name="RE-YACY-09 (1)" sheetId="9" r:id="rId9"/>
    <sheet name="LI-LITSA-09 (1)" sheetId="10" r:id="rId10"/>
    <sheet name="TR-LITSA-09 (1)" sheetId="11" r:id="rId11"/>
    <sheet name="TRAFO-TIBA" sheetId="12" r:id="rId12"/>
    <sheet name="SA-TIBA-09 (1)" sheetId="13" r:id="rId13"/>
    <sheet name="SA-ENECOR-09 (1)" sheetId="14" r:id="rId14"/>
    <sheet name="SU (YACYLEC)" sheetId="15" r:id="rId15"/>
    <sheet name="SUP-LITSA" sheetId="16" r:id="rId16"/>
    <sheet name="SUP-TIBA" sheetId="17" r:id="rId17"/>
    <sheet name="SUP-ENECOR" sheetId="18" r:id="rId18"/>
    <sheet name="TRANSENER" sheetId="19" r:id="rId19"/>
  </sheets>
  <externalReferences>
    <externalReference r:id="rId22"/>
    <externalReference r:id="rId23"/>
  </externalReferences>
  <definedNames>
    <definedName name="_xlnm.Print_Area" localSheetId="2">'Incendio'!$A$1:$AE$26</definedName>
    <definedName name="_xlnm.Print_Area" localSheetId="1">'LI-09 (1)'!$A$1:$AE$44</definedName>
    <definedName name="_xlnm.Print_Area" localSheetId="9">'LI-LITSA-09 (1)'!$A$1:$AE$45</definedName>
    <definedName name="_xlnm.Print_Area" localSheetId="6">'RE-09 (1)'!$A$1:$X$45</definedName>
    <definedName name="_xlnm.Print_Area" localSheetId="7">'RE-09 (2)'!$A$1:$X$53</definedName>
    <definedName name="_xlnm.Print_Area" localSheetId="8">'RE-YACY-09 (1)'!$A$1:$R$41</definedName>
    <definedName name="_xlnm.Print_Area" localSheetId="4">'SA-09 (1)'!$A$1:$V$47</definedName>
    <definedName name="_xlnm.Print_Area" localSheetId="5">'SA-09 (2)'!$A$1:$V$47</definedName>
    <definedName name="_xlnm.Print_Area" localSheetId="13">'SA-ENECOR-09 (1)'!$A$1:$U$45</definedName>
    <definedName name="_xlnm.Print_Area" localSheetId="12">'SA-TIBA-09 (1)'!$A$1:$U$45</definedName>
    <definedName name="_xlnm.Print_Area" localSheetId="14">'SU (YACYLEC)'!$A$1:$AD$51</definedName>
    <definedName name="_xlnm.Print_Area" localSheetId="17">'SUP-ENECOR'!$A$1:$W$63</definedName>
    <definedName name="_xlnm.Print_Area" localSheetId="15">'SUP-LITSA'!$A$1:$AD$69</definedName>
    <definedName name="_xlnm.Print_Area" localSheetId="16">'SUP-TIBA'!$A$1:$W$65</definedName>
    <definedName name="_xlnm.Print_Area" localSheetId="0">'TOT-0907'!$A$1:$L$44</definedName>
    <definedName name="_xlnm.Print_Area" localSheetId="3">'TR-09 (1)'!$A$1:$AC$44</definedName>
    <definedName name="_xlnm.Print_Area" localSheetId="11">'TRAFO-TIBA'!$A$1:$AB$43</definedName>
    <definedName name="_xlnm.Print_Area" localSheetId="18">'TRANSENER'!$A$1:$U$99</definedName>
    <definedName name="_xlnm.Print_Area" localSheetId="10">'TR-LITSA-09 (1)'!$A$1:$AC$45</definedName>
    <definedName name="DD" localSheetId="2">'Incendio'!DD</definedName>
    <definedName name="DD" localSheetId="6">'RE-09 (1)'!DD</definedName>
    <definedName name="DD" localSheetId="7">'RE-09 (2)'!DD</definedName>
    <definedName name="DD" localSheetId="14">'SU (YACYLEC)'!DD</definedName>
    <definedName name="DD" localSheetId="11">'TRAFO-TIBA'!DD</definedName>
    <definedName name="DD" localSheetId="18">'TRANSENER'!DD</definedName>
    <definedName name="DD">[0]!DD</definedName>
    <definedName name="DDD" localSheetId="2">'Incendio'!DDD</definedName>
    <definedName name="DDD" localSheetId="6">'RE-09 (1)'!DDD</definedName>
    <definedName name="DDD" localSheetId="7">'RE-09 (2)'!DDD</definedName>
    <definedName name="DDD" localSheetId="14">'SU (YACYLEC)'!DDD</definedName>
    <definedName name="DDD" localSheetId="11">'TRAFO-TIBA'!DDD</definedName>
    <definedName name="DDD" localSheetId="18">'TRANSENER'!DDD</definedName>
    <definedName name="DDD">[0]!DDD</definedName>
    <definedName name="DISTROCUYO" localSheetId="2">'Incendio'!DISTROCUYO</definedName>
    <definedName name="DISTROCUYO" localSheetId="6">'RE-09 (1)'!DISTROCUYO</definedName>
    <definedName name="DISTROCUYO" localSheetId="7">'RE-09 (2)'!DISTROCUYO</definedName>
    <definedName name="DISTROCUYO" localSheetId="14">'SU (YACYLEC)'!DISTROCUYO</definedName>
    <definedName name="DISTROCUYO" localSheetId="11">'TRAFO-TIBA'!DISTROCUYO</definedName>
    <definedName name="DISTROCUYO" localSheetId="18">'TRANSENER'!DISTROCUYO</definedName>
    <definedName name="DISTROCUYO">[0]!DISTROCUYO</definedName>
    <definedName name="INICIO" localSheetId="2">'Incendio'!INICIO</definedName>
    <definedName name="INICIO" localSheetId="1">'LI-09 (1)'!INICIO</definedName>
    <definedName name="INICIO" localSheetId="9">'LI-LITSA-09 (1)'!INICIO</definedName>
    <definedName name="INICIO" localSheetId="6">'RE-09 (1)'!INICIO</definedName>
    <definedName name="INICIO" localSheetId="7">'RE-09 (2)'!INICIO</definedName>
    <definedName name="INICIO" localSheetId="8">'RE-YACY-09 (1)'!INICIO</definedName>
    <definedName name="INICIO" localSheetId="4">'SA-09 (1)'!INICIO</definedName>
    <definedName name="INICIO" localSheetId="5">'SA-09 (2)'!INICIO</definedName>
    <definedName name="INICIO" localSheetId="13">'SA-ENECOR-09 (1)'!INICIO</definedName>
    <definedName name="INICIO" localSheetId="12">'SA-TIBA-09 (1)'!INICIO</definedName>
    <definedName name="INICIO" localSheetId="14">'SU (YACYLEC)'!INICIO</definedName>
    <definedName name="INICIO" localSheetId="0">'TOT-0907'!INICIO</definedName>
    <definedName name="INICIO" localSheetId="3">'TR-09 (1)'!INICIO</definedName>
    <definedName name="INICIO" localSheetId="11">'TRAFO-TIBA'!INICIO</definedName>
    <definedName name="INICIO" localSheetId="18">'TRANSENER'!INICIO</definedName>
    <definedName name="INICIO" localSheetId="10">'TR-LITSA-09 (1)'!INICIO</definedName>
    <definedName name="INICIO">[0]!INICIO</definedName>
    <definedName name="INICIOTI" localSheetId="2">'Incendio'!INICIOTI</definedName>
    <definedName name="INICIOTI" localSheetId="6">'RE-09 (1)'!INICIOTI</definedName>
    <definedName name="INICIOTI" localSheetId="7">'RE-09 (2)'!INICIOTI</definedName>
    <definedName name="INICIOTI" localSheetId="14">'SU (YACYLEC)'!INICIOTI</definedName>
    <definedName name="INICIOTI" localSheetId="11">'TRAFO-TIBA'!INICIOTI</definedName>
    <definedName name="INICIOTI" localSheetId="18">'TRANSENER'!INICIOTI</definedName>
    <definedName name="INICIOTI">[0]!INICIOTI</definedName>
    <definedName name="LINEAS" localSheetId="2">'Incendio'!LINEAS</definedName>
    <definedName name="LINEAS" localSheetId="6">'RE-09 (1)'!LINEAS</definedName>
    <definedName name="LINEAS" localSheetId="7">'RE-09 (2)'!LINEAS</definedName>
    <definedName name="LINEAS" localSheetId="14">'SU (YACYLEC)'!LINEAS</definedName>
    <definedName name="LINEAS" localSheetId="11">'TRAFO-TIBA'!LINEAS</definedName>
    <definedName name="LINEAS" localSheetId="18">'TRANSENER'!LINEAS</definedName>
    <definedName name="LINEAS">[0]!LINEAS</definedName>
    <definedName name="NAME_L" localSheetId="2">'Incendio'!NAME_L</definedName>
    <definedName name="NAME_L" localSheetId="6">'RE-09 (1)'!NAME_L</definedName>
    <definedName name="NAME_L" localSheetId="7">'RE-09 (2)'!NAME_L</definedName>
    <definedName name="NAME_L" localSheetId="14">'SU (YACYLEC)'!NAME_L</definedName>
    <definedName name="NAME_L" localSheetId="11">'TRAFO-TIBA'!NAME_L</definedName>
    <definedName name="NAME_L" localSheetId="18">'TRANSENER'!NAME_L</definedName>
    <definedName name="NAME_L">[0]!NAME_L</definedName>
    <definedName name="NAME_L_TI" localSheetId="2">'Incendio'!NAME_L_TI</definedName>
    <definedName name="NAME_L_TI" localSheetId="6">'RE-09 (1)'!NAME_L_TI</definedName>
    <definedName name="NAME_L_TI" localSheetId="7">'RE-09 (2)'!NAME_L_TI</definedName>
    <definedName name="NAME_L_TI" localSheetId="14">'SU (YACYLEC)'!NAME_L_TI</definedName>
    <definedName name="NAME_L_TI" localSheetId="11">'TRAFO-TIBA'!NAME_L_TI</definedName>
    <definedName name="NAME_L_TI" localSheetId="18">'TRANSENER'!NAME_L_TI</definedName>
    <definedName name="NAME_L_TI">[0]!NAME_L_TI</definedName>
    <definedName name="TRAN" localSheetId="2">'Incendio'!TRAN</definedName>
    <definedName name="TRAN" localSheetId="7">'RE-09 (2)'!TRAN</definedName>
    <definedName name="TRAN">[0]!TRAN</definedName>
    <definedName name="TRANSNOA" localSheetId="2">'Incendio'!TRANSNOA</definedName>
    <definedName name="TRANSNOA" localSheetId="6">'RE-09 (1)'!TRANSNOA</definedName>
    <definedName name="TRANSNOA" localSheetId="7">'RE-09 (2)'!TRANSNOA</definedName>
    <definedName name="TRANSNOA" localSheetId="14">'SU (YACYLEC)'!TRANSNOA</definedName>
    <definedName name="TRANSNOA" localSheetId="11">'TRAFO-TIBA'!TRANSNOA</definedName>
    <definedName name="TRANSNOA" localSheetId="18">'TRANSENER'!TRANSNOA</definedName>
    <definedName name="TRANSNOA">[0]!TRANSNOA</definedName>
    <definedName name="x">[0]!x</definedName>
    <definedName name="XX" localSheetId="2">'Incendio'!XX</definedName>
    <definedName name="XX" localSheetId="6">'RE-09 (1)'!XX</definedName>
    <definedName name="XX" localSheetId="7">'RE-09 (2)'!XX</definedName>
    <definedName name="XX" localSheetId="14">'SU (YACYLEC)'!XX</definedName>
    <definedName name="XX" localSheetId="11">'TRAFO-TIBA'!XX</definedName>
    <definedName name="XX" localSheetId="18">'TRANSENER'!XX</definedName>
    <definedName name="XX">[0]!XX</definedName>
  </definedNames>
  <calcPr fullCalcOnLoad="1"/>
</workbook>
</file>

<file path=xl/comments11.xml><?xml version="1.0" encoding="utf-8"?>
<comments xmlns="http://schemas.openxmlformats.org/spreadsheetml/2006/main">
  <authors>
    <author>gmir</author>
  </authors>
  <commentList>
    <comment ref="F15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cargos originales de transener actualizados por ppi y cpi.
Para reafo de Rincon
</t>
        </r>
      </text>
    </comment>
    <comment ref="F14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 igual al actual de transener.
Para sancionar rtafo de Salto grande
</t>
        </r>
      </text>
    </comment>
  </commentList>
</comments>
</file>

<file path=xl/sharedStrings.xml><?xml version="1.0" encoding="utf-8"?>
<sst xmlns="http://schemas.openxmlformats.org/spreadsheetml/2006/main" count="1284" uniqueCount="322">
  <si>
    <t>LÍNEAS</t>
  </si>
  <si>
    <t>SALIDA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</si>
  <si>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</si>
  <si>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</si>
  <si>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</si>
  <si>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</si>
  <si>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</si>
  <si>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</si>
  <si>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</si>
  <si>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</si>
  <si>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</si>
  <si>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</si>
  <si>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</si>
  <si>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</si>
  <si>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</si>
  <si>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</si>
  <si>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</si>
  <si>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</si>
  <si>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</si>
  <si>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</si>
  <si>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</si>
  <si>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</si>
  <si>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</si>
  <si>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</si>
  <si>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</si>
  <si>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</si>
  <si>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</si>
  <si>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</si>
  <si>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</si>
  <si>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</si>
  <si>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</si>
  <si>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</si>
  <si>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</si>
  <si>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</si>
  <si>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</si>
  <si>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</si>
  <si>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</si>
  <si>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</si>
  <si>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</si>
  <si>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</si>
  <si>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</si>
  <si>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</si>
  <si>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</si>
  <si>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</si>
  <si>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</si>
  <si>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</si>
  <si>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</si>
  <si>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</si>
  <si>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</si>
  <si>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</si>
  <si>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</si>
  <si>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</si>
  <si>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</si>
  <si>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YACYLEC S.A.</t>
  </si>
  <si>
    <t>Transportista Independiente LITSA</t>
  </si>
  <si>
    <t>Transportista Independiente ENECOR S.A.</t>
  </si>
  <si>
    <t>Transportista Independiente TIBA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</si>
  <si>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</si>
  <si>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</si>
  <si>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</si>
  <si>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</si>
  <si>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</si>
  <si>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VALOR MENSUAL DEL CANON =</t>
  </si>
  <si>
    <t>PENALIZAC.
PROGRAM.</t>
  </si>
  <si>
    <t>PUNTOS
PENALIZAC.</t>
  </si>
  <si>
    <t>RESOLUCION ENRE Nº 1200/99</t>
  </si>
  <si>
    <t xml:space="preserve">$/km-h : LINEAS 500 kV </t>
  </si>
  <si>
    <t>Tasa de falla de LITSA =</t>
  </si>
  <si>
    <t xml:space="preserve">$/km-h : LINEAS 220 kV </t>
  </si>
  <si>
    <t>Multiplicador =</t>
  </si>
  <si>
    <t>Duración Prom. anual móvil por salida forzada =</t>
  </si>
  <si>
    <t>Factor multiplicativo del mayoramiento =</t>
  </si>
  <si>
    <t>CL</t>
  </si>
  <si>
    <t>PENALIZACION FORZADA
Por Salida      1ras 5 hs.     hs. Restantes</t>
  </si>
  <si>
    <t>PENAL.REDUC. A LA CAP. DE TRANSP.
Por Salida        1ras hs. 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</si>
  <si>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</si>
  <si>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</si>
  <si>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</si>
  <si>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</si>
  <si>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</si>
  <si>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</si>
  <si>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>2.1.2.- Transportista Independiente L.I.T.S.A.</t>
  </si>
  <si>
    <t>Por Transformador por cada MVA (Res. ENRE 1650/98) $ =</t>
  </si>
  <si>
    <t>TOTAL
PENALIZ.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</si>
  <si>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</si>
  <si>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</si>
  <si>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</si>
  <si>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</si>
  <si>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</si>
  <si>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</si>
  <si>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 xml:space="preserve"> 2.2.2.- Transportista Independiente T.I.B.A.</t>
  </si>
  <si>
    <t xml:space="preserve"> 2.2.3.- Transportista Independiente ENECOR S.A.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</si>
  <si>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</si>
  <si>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</si>
  <si>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</si>
  <si>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</si>
  <si>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3.2.-  Transportista Independiente YACYLEC S.A.</t>
  </si>
  <si>
    <t>PENALIZACIÓN FORZADA
1ras horas     hs. Restantes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</si>
  <si>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</si>
  <si>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</si>
  <si>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</si>
  <si>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</si>
  <si>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4.1.- Transportista Independiente YACYLEC S.A.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</si>
  <si>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</si>
  <si>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</si>
  <si>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</si>
  <si>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</si>
  <si>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</si>
  <si>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</si>
  <si>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</si>
  <si>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</si>
  <si>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</si>
  <si>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</si>
  <si>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</si>
  <si>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</si>
  <si>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</si>
  <si>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</si>
  <si>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</si>
  <si>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</si>
  <si>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</si>
  <si>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 S.A.</t>
  </si>
  <si>
    <t>SANCIÓN =</t>
  </si>
  <si>
    <t>4.2.- Transportista Independiente L.I.T.S.A.</t>
  </si>
  <si>
    <t>Remuneración TRANSFORMADOR    =</t>
  </si>
  <si>
    <t>$/MVA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</si>
  <si>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</si>
  <si>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</si>
  <si>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</si>
  <si>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</si>
  <si>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</si>
  <si>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</si>
  <si>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</si>
  <si>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</si>
  <si>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</si>
  <si>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Salto Grande - TR02</t>
  </si>
  <si>
    <t>500/132/13,8</t>
  </si>
  <si>
    <t>Rincón</t>
  </si>
  <si>
    <t>Ituzaingó, Ita Ibate, Virasoro</t>
  </si>
  <si>
    <t>Salto Grande</t>
  </si>
  <si>
    <t>Trafo 2 500/132 kV</t>
  </si>
  <si>
    <t>TOTAL A PENALIZAR A TRANSENER S.A POR SUPERVISIÓN A L.I.T.S.A.</t>
  </si>
  <si>
    <t>4.3.- Transportista Independiente  T.I.B.A.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</si>
  <si>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</si>
  <si>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</si>
  <si>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</si>
  <si>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</si>
  <si>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</si>
  <si>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</si>
  <si>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</si>
  <si>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</si>
  <si>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</si>
  <si>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</si>
  <si>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</si>
  <si>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TOTAL A PENALIZAR A TRANSENER S.A POR SUPERVISIÓN A T.I.B.A.</t>
  </si>
  <si>
    <t>4.4.- Transportista Independiente  ENECOR S.A.</t>
  </si>
  <si>
    <t>Factor X =</t>
  </si>
  <si>
    <t>Paso de la Patria Trafo 1</t>
  </si>
  <si>
    <t>500/132/33</t>
  </si>
  <si>
    <t>Paso de la Patria</t>
  </si>
  <si>
    <t>TOTAL A PENALIZAR A TRANSENER S.A POR SUPERVISIÓN A ENECOR S.A.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</si>
  <si>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</si>
  <si>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</si>
  <si>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</si>
  <si>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</si>
  <si>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</si>
  <si>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</si>
  <si>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</si>
  <si>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</si>
  <si>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</si>
  <si>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</si>
  <si>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</si>
  <si>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</si>
  <si>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I</t>
  </si>
  <si>
    <t>II</t>
  </si>
  <si>
    <t>III</t>
  </si>
  <si>
    <t>IV</t>
  </si>
  <si>
    <t>V</t>
  </si>
  <si>
    <t>VI</t>
  </si>
  <si>
    <t>Por Transformador por cada MVA (Res. ENRE 330/06) $ =</t>
  </si>
  <si>
    <t>Desde el 01 al 30 de septiembre de 2007</t>
  </si>
  <si>
    <t>PUELCHES - MACACHIN 2</t>
  </si>
  <si>
    <t>A</t>
  </si>
  <si>
    <t>P</t>
  </si>
  <si>
    <t>SI</t>
  </si>
  <si>
    <t>GRAL. RODRIGUEZ - VILLA  LIA 2</t>
  </si>
  <si>
    <t>C</t>
  </si>
  <si>
    <t>EZEIZA - ABASTO 1</t>
  </si>
  <si>
    <t>RIO GRANDE - EMBALSE</t>
  </si>
  <si>
    <t>EL BRACHO - RECREO(5)</t>
  </si>
  <si>
    <t>B</t>
  </si>
  <si>
    <t>F</t>
  </si>
  <si>
    <t>EZEIZA - HENDERSON 1</t>
  </si>
  <si>
    <t>RAMALLO - VILLA LIA  2</t>
  </si>
  <si>
    <t>RAMALLO - VILLA LIA  1</t>
  </si>
  <si>
    <t>SANTO TOME - ROMANG</t>
  </si>
  <si>
    <t>EZEIZA</t>
  </si>
  <si>
    <t>TRAFO 3</t>
  </si>
  <si>
    <t>500/220/132</t>
  </si>
  <si>
    <t>CHOELE CHOEL</t>
  </si>
  <si>
    <t>AUTOTRAFO 5</t>
  </si>
  <si>
    <t>EL CHOCON</t>
  </si>
  <si>
    <t>TRAFO T4</t>
  </si>
  <si>
    <t>TRAFO T2</t>
  </si>
  <si>
    <t>ATUCHA I</t>
  </si>
  <si>
    <t>TRAFO</t>
  </si>
  <si>
    <t>220/132</t>
  </si>
  <si>
    <t>RECREO</t>
  </si>
  <si>
    <t>TRAFO 1</t>
  </si>
  <si>
    <t>SALIDA LINEA A LA RIOJA 2</t>
  </si>
  <si>
    <t>SALIDA LINEA A LA RIOJA 1</t>
  </si>
  <si>
    <t>ALMAFUERTE</t>
  </si>
  <si>
    <t>SALIDA LINEA REOLIN 2</t>
  </si>
  <si>
    <t>RESISTENCIA</t>
  </si>
  <si>
    <t>SALIDA LINEA A BARRANQUERAS 2</t>
  </si>
  <si>
    <t>EL BRACHO</t>
  </si>
  <si>
    <t>SALIDA LINEA INDEPENDENCIA</t>
  </si>
  <si>
    <t>ROSARIO OESTE</t>
  </si>
  <si>
    <t>SALIDA LINEA A GODOY</t>
  </si>
  <si>
    <t>P. BANDERITA</t>
  </si>
  <si>
    <t>SALIDA TRAFO MAQ. 1 Y 2</t>
  </si>
  <si>
    <t>SALIDA LINEA F. L. BELTRÁN</t>
  </si>
  <si>
    <t>GRAL. RODRIGUEZ</t>
  </si>
  <si>
    <t>SALIDA TRAFO 2 500/220</t>
  </si>
  <si>
    <t>SANTO TOME</t>
  </si>
  <si>
    <t>SALIDA LINEA PAYZUMÉ</t>
  </si>
  <si>
    <t>ALIMENTADOR A SALADILLO</t>
  </si>
  <si>
    <t>SALIDA LINEA REOLIN 1</t>
  </si>
  <si>
    <t>B. BLANCA</t>
  </si>
  <si>
    <t>SALIDA ACOPLAMIENTO A-C</t>
  </si>
  <si>
    <t>SALIDA LINEA TUCUMAN NORTE 1</t>
  </si>
  <si>
    <t>SALIDA LINEA STA. FE OESTE 1</t>
  </si>
  <si>
    <t>ATUCHA</t>
  </si>
  <si>
    <t>SALIDA LINEA A E.T. ZARATE</t>
  </si>
  <si>
    <t>SALIDA LINEA A BARRANQUERAS 1</t>
  </si>
  <si>
    <t>ROMANG</t>
  </si>
  <si>
    <t>SALIDA LINEA CALCHAQUI</t>
  </si>
  <si>
    <t>TRAFO MAQ. 2</t>
  </si>
  <si>
    <t>SALIDA LINEA CEVIL POZO</t>
  </si>
  <si>
    <t>SALIDA LÍNEA A C.T. AVE FÉNIX</t>
  </si>
  <si>
    <t>SALIDA TRAFO 3 500/220</t>
  </si>
  <si>
    <t>SALIDA LINEA PROVINCIAS UNIDAS</t>
  </si>
  <si>
    <t>OLAVARRIA</t>
  </si>
  <si>
    <t>SALIDA ACOPLAMIENTO B-D</t>
  </si>
  <si>
    <t>RIO GRANDE</t>
  </si>
  <si>
    <t>SALIDA LINEA CARCARAÑA</t>
  </si>
  <si>
    <t>ALIMENTADOR A FRIAS</t>
  </si>
  <si>
    <t>CS5</t>
  </si>
  <si>
    <t>CS6</t>
  </si>
  <si>
    <t>CS1</t>
  </si>
  <si>
    <t>BAHIA BLANCA</t>
  </si>
  <si>
    <t>R1B5BB</t>
  </si>
  <si>
    <t>CS2</t>
  </si>
  <si>
    <t>CS4</t>
  </si>
  <si>
    <t>CS3</t>
  </si>
  <si>
    <t>RINCON - SAN ISIDRO</t>
  </si>
  <si>
    <t>RINCON - SALTO GRANDE</t>
  </si>
  <si>
    <t>SALIDA a Pigue</t>
  </si>
  <si>
    <t>SALIDA LINEA PBUENA 1</t>
  </si>
  <si>
    <t>P. DE LA PATRIA</t>
  </si>
  <si>
    <t>SALIDA S. CATALINA 1</t>
  </si>
  <si>
    <t>SALIDA S. CATALINA 2</t>
  </si>
  <si>
    <t>L</t>
  </si>
  <si>
    <t>RINCON S.MARIA -  S. ISIDRO</t>
  </si>
  <si>
    <t>T1RI</t>
  </si>
  <si>
    <t>R1L5GM</t>
  </si>
  <si>
    <t>R1L5CL</t>
  </si>
  <si>
    <t>$/100 km-h : LINEAS 500 kV                       =</t>
  </si>
  <si>
    <t>Valor Mensual del Canon     $                   =</t>
  </si>
  <si>
    <t>(DTE09/07)</t>
  </si>
  <si>
    <t>VII</t>
  </si>
  <si>
    <t>VIII</t>
  </si>
  <si>
    <t>IX</t>
  </si>
  <si>
    <t>X</t>
  </si>
  <si>
    <t>1.3.- Transportista Independiente L.I.T.S.A.</t>
  </si>
  <si>
    <t>GRAN MZA  LUJAN</t>
  </si>
  <si>
    <t>R2T4RO</t>
  </si>
  <si>
    <t>R6L5RS</t>
  </si>
  <si>
    <t>Hora programada</t>
  </si>
  <si>
    <t>Hora de Entrada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</si>
  <si>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</si>
  <si>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</si>
  <si>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</si>
  <si>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</si>
  <si>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</si>
  <si>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</si>
  <si>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</si>
  <si>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</si>
  <si>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</si>
  <si>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Correspondiente al mes de septiembre de 2007 (provisoria)</t>
  </si>
  <si>
    <t>RP</t>
  </si>
  <si>
    <t>2.1.3.- Transportista Independiente T.I.B.A.</t>
  </si>
  <si>
    <t>500/132/13,2</t>
  </si>
  <si>
    <t>OLAVARRIA 500</t>
  </si>
  <si>
    <t>T1OL</t>
  </si>
  <si>
    <t>Transportista Independiente T.I.B.A.</t>
  </si>
  <si>
    <t>XI</t>
  </si>
  <si>
    <t>Valores remuneratorios según Decretos PEN  1462/05 y 1460/05</t>
  </si>
  <si>
    <t>TOTAL DE PENALIZACIONES</t>
  </si>
  <si>
    <t xml:space="preserve">P - PROGRAMADA                  </t>
  </si>
  <si>
    <t xml:space="preserve">FM - Fuerza  Mayor                       </t>
  </si>
  <si>
    <t xml:space="preserve">P - PROGRAMADA                   </t>
  </si>
  <si>
    <t>RF</t>
  </si>
  <si>
    <t xml:space="preserve">F - FORZADA                       </t>
  </si>
  <si>
    <t xml:space="preserve">P - PROGRAMADA                 </t>
  </si>
  <si>
    <t xml:space="preserve">P - PROGRAMADA                    </t>
  </si>
  <si>
    <t xml:space="preserve">P - PROGRAMADA               </t>
  </si>
  <si>
    <t xml:space="preserve">P - PROGRAMADA                    RP - REDUCCIÓN PROGRAMADA                    </t>
  </si>
  <si>
    <t>F - FORZADA                                          RF - RESTANTE FORZADA ( proveniente de horas anteriores )</t>
  </si>
  <si>
    <t xml:space="preserve">F - FORZADA                    </t>
  </si>
  <si>
    <t xml:space="preserve">F - FORZADA                     </t>
  </si>
  <si>
    <t>Incendio</t>
  </si>
  <si>
    <t>1.2.- Incendio de Campos - Aplicación Punto 6.1.6 del Acta Acuerdo</t>
  </si>
  <si>
    <t>(*)</t>
  </si>
  <si>
    <t>(*) Aplicación de la NOTA S.E. N° 316/08 - 7/4/08</t>
  </si>
  <si>
    <t>RAMALLO - ACINDAR T 1 - ROSARIO OESTE 1</t>
  </si>
  <si>
    <t>RAMALLO - ACINDAR T 2 - ROSARIO OESTE 2</t>
  </si>
  <si>
    <t>RM* =</t>
  </si>
  <si>
    <t>RM*= Remuneración utilizada para el cálculo de Cs.</t>
  </si>
  <si>
    <t>2.1.1.- Transformación</t>
  </si>
  <si>
    <t>Art. 25</t>
  </si>
  <si>
    <t>Aplicación límite Art. 25</t>
  </si>
  <si>
    <t>ANEXO IV al Memorandum D.T.E.E. N°  1955 /2009</t>
  </si>
</sst>
</file>

<file path=xl/styles.xml><?xml version="1.0" encoding="utf-8"?>
<styleSheet xmlns="http://schemas.openxmlformats.org/spreadsheetml/2006/main">
  <numFmts count="6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#,##0.000000000"/>
  </numFmts>
  <fonts count="1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0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7"/>
      <name val="MS Sans Serif"/>
      <family val="0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sz val="11"/>
      <color indexed="52"/>
      <name val="MS Sans Serif"/>
      <family val="2"/>
    </font>
    <font>
      <sz val="10"/>
      <color indexed="5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1"/>
      <color indexed="13"/>
      <name val="MS Sans Serif"/>
      <family val="2"/>
    </font>
    <font>
      <b/>
      <sz val="10"/>
      <color indexed="5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sz val="12"/>
      <color indexed="13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2"/>
      <name val="MS Sans Serif"/>
      <family val="0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lightGray"/>
    </fill>
  </fills>
  <borders count="7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 vertical="top"/>
      <protection/>
    </xf>
    <xf numFmtId="0" fontId="32" fillId="0" borderId="0" xfId="0" applyFont="1" applyBorder="1" applyAlignment="1">
      <alignment/>
    </xf>
    <xf numFmtId="0" fontId="32" fillId="0" borderId="7" xfId="0" applyFont="1" applyBorder="1" applyAlignment="1">
      <alignment/>
    </xf>
    <xf numFmtId="0" fontId="32" fillId="0" borderId="0" xfId="0" applyFont="1" applyAlignment="1">
      <alignment/>
    </xf>
    <xf numFmtId="0" fontId="32" fillId="0" borderId="1" xfId="0" applyFont="1" applyFill="1" applyBorder="1" applyAlignment="1">
      <alignment/>
    </xf>
    <xf numFmtId="0" fontId="36" fillId="2" borderId="14" xfId="0" applyFont="1" applyFill="1" applyBorder="1" applyAlignment="1" applyProtection="1">
      <alignment horizontal="center" vertical="center"/>
      <protection/>
    </xf>
    <xf numFmtId="168" fontId="37" fillId="2" borderId="2" xfId="0" applyNumberFormat="1" applyFont="1" applyFill="1" applyBorder="1" applyAlignment="1" applyProtection="1">
      <alignment horizontal="center"/>
      <protection/>
    </xf>
    <xf numFmtId="168" fontId="37" fillId="2" borderId="3" xfId="0" applyNumberFormat="1" applyFont="1" applyFill="1" applyBorder="1" applyAlignment="1" applyProtection="1">
      <alignment horizontal="center"/>
      <protection/>
    </xf>
    <xf numFmtId="0" fontId="37" fillId="2" borderId="17" xfId="0" applyFont="1" applyFill="1" applyBorder="1" applyAlignment="1">
      <alignment/>
    </xf>
    <xf numFmtId="0" fontId="37" fillId="2" borderId="2" xfId="0" applyFont="1" applyFill="1" applyBorder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/>
    </xf>
    <xf numFmtId="0" fontId="43" fillId="3" borderId="14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 applyProtection="1">
      <alignment horizontal="center" vertical="center"/>
      <protection/>
    </xf>
    <xf numFmtId="0" fontId="47" fillId="3" borderId="14" xfId="0" applyFont="1" applyFill="1" applyBorder="1" applyAlignment="1">
      <alignment horizontal="center" vertical="center" wrapText="1"/>
    </xf>
    <xf numFmtId="0" fontId="43" fillId="5" borderId="14" xfId="0" applyFont="1" applyFill="1" applyBorder="1" applyAlignment="1">
      <alignment horizontal="center" vertical="center" wrapText="1"/>
    </xf>
    <xf numFmtId="174" fontId="0" fillId="0" borderId="8" xfId="0" applyNumberFormat="1" applyFont="1" applyBorder="1" applyAlignment="1">
      <alignment horizontal="centerContinuous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8" fillId="0" borderId="0" xfId="0" applyFont="1" applyAlignment="1">
      <alignment horizontal="right" vertical="top"/>
    </xf>
    <xf numFmtId="0" fontId="58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168" fontId="45" fillId="3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20" xfId="0" applyNumberFormat="1" applyFont="1" applyFill="1" applyBorder="1" applyAlignment="1" applyProtection="1">
      <alignment horizontal="center"/>
      <protection locked="0"/>
    </xf>
    <xf numFmtId="168" fontId="45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6" fillId="0" borderId="0" xfId="0" applyNumberFormat="1" applyFont="1" applyBorder="1" applyAlignment="1">
      <alignment horizontal="left"/>
    </xf>
    <xf numFmtId="0" fontId="56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5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8" xfId="0" applyFont="1" applyBorder="1" applyAlignment="1">
      <alignment horizontal="right" vertical="center"/>
    </xf>
    <xf numFmtId="0" fontId="4" fillId="0" borderId="21" xfId="0" applyFont="1" applyBorder="1" applyAlignment="1">
      <alignment/>
    </xf>
    <xf numFmtId="164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49" fillId="6" borderId="14" xfId="0" applyFont="1" applyFill="1" applyBorder="1" applyAlignment="1" applyProtection="1">
      <alignment horizontal="center" vertical="center" wrapText="1"/>
      <protection/>
    </xf>
    <xf numFmtId="0" fontId="43" fillId="4" borderId="14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 applyProtection="1">
      <alignment horizontal="centerContinuous" vertical="center" wrapText="1"/>
      <protection/>
    </xf>
    <xf numFmtId="0" fontId="43" fillId="3" borderId="9" xfId="0" applyFont="1" applyFill="1" applyBorder="1" applyAlignment="1" applyProtection="1">
      <alignment horizontal="centerContinuous" vertical="center" wrapText="1"/>
      <protection/>
    </xf>
    <xf numFmtId="0" fontId="67" fillId="7" borderId="8" xfId="0" applyFont="1" applyFill="1" applyBorder="1" applyAlignment="1" applyProtection="1">
      <alignment horizontal="centerContinuous" vertical="center" wrapText="1"/>
      <protection/>
    </xf>
    <xf numFmtId="0" fontId="43" fillId="8" borderId="14" xfId="0" applyFont="1" applyFill="1" applyBorder="1" applyAlignment="1" applyProtection="1">
      <alignment horizontal="centerContinuous" vertical="center" wrapText="1"/>
      <protection/>
    </xf>
    <xf numFmtId="0" fontId="0" fillId="0" borderId="1" xfId="0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4" fillId="6" borderId="17" xfId="0" applyFont="1" applyFill="1" applyBorder="1" applyAlignment="1">
      <alignment horizontal="center"/>
    </xf>
    <xf numFmtId="7" fontId="7" fillId="0" borderId="17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4" fillId="6" borderId="2" xfId="0" applyFont="1" applyFill="1" applyBorder="1" applyAlignment="1">
      <alignment horizontal="center"/>
    </xf>
    <xf numFmtId="0" fontId="7" fillId="0" borderId="4" xfId="0" applyFont="1" applyBorder="1" applyAlignment="1" applyProtection="1" quotePrefix="1">
      <alignment horizontal="center"/>
      <protection locked="0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4" xfId="0" applyNumberFormat="1" applyFont="1" applyBorder="1" applyAlignment="1" applyProtection="1">
      <alignment horizontal="center"/>
      <protection locked="0"/>
    </xf>
    <xf numFmtId="4" fontId="7" fillId="9" borderId="2" xfId="0" applyNumberFormat="1" applyFont="1" applyFill="1" applyBorder="1" applyAlignment="1" applyProtection="1" quotePrefix="1">
      <alignment horizontal="center"/>
      <protection/>
    </xf>
    <xf numFmtId="164" fontId="7" fillId="9" borderId="2" xfId="0" applyNumberFormat="1" applyFont="1" applyFill="1" applyBorder="1" applyAlignment="1" applyProtection="1" quotePrefix="1">
      <alignment horizontal="center"/>
      <protection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168" fontId="69" fillId="7" borderId="25" xfId="0" applyNumberFormat="1" applyFont="1" applyFill="1" applyBorder="1" applyAlignment="1" applyProtection="1" quotePrefix="1">
      <alignment horizontal="center"/>
      <protection/>
    </xf>
    <xf numFmtId="4" fontId="0" fillId="0" borderId="1" xfId="0" applyNumberFormat="1" applyFont="1" applyFill="1" applyBorder="1" applyAlignment="1">
      <alignment horizontal="center"/>
    </xf>
    <xf numFmtId="0" fontId="7" fillId="0" borderId="20" xfId="0" applyFont="1" applyBorder="1" applyAlignment="1" applyProtection="1" quotePrefix="1">
      <alignment horizontal="center"/>
      <protection locked="0"/>
    </xf>
    <xf numFmtId="168" fontId="7" fillId="9" borderId="3" xfId="0" applyNumberFormat="1" applyFont="1" applyFill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2" fontId="45" fillId="4" borderId="14" xfId="0" applyNumberFormat="1" applyFont="1" applyFill="1" applyBorder="1" applyAlignment="1" applyProtection="1">
      <alignment horizontal="center"/>
      <protection/>
    </xf>
    <xf numFmtId="168" fontId="45" fillId="3" borderId="14" xfId="0" applyNumberFormat="1" applyFont="1" applyFill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0" fontId="71" fillId="0" borderId="7" xfId="0" applyFont="1" applyBorder="1" applyAlignment="1">
      <alignment/>
    </xf>
    <xf numFmtId="0" fontId="32" fillId="0" borderId="0" xfId="0" applyFont="1" applyBorder="1" applyAlignment="1" quotePrefix="1">
      <alignment horizontal="center"/>
    </xf>
    <xf numFmtId="168" fontId="32" fillId="0" borderId="0" xfId="0" applyNumberFormat="1" applyFont="1" applyBorder="1" applyAlignment="1" applyProtection="1">
      <alignment horizontal="center"/>
      <protection/>
    </xf>
    <xf numFmtId="2" fontId="72" fillId="0" borderId="0" xfId="0" applyNumberFormat="1" applyFont="1" applyBorder="1" applyAlignment="1" applyProtection="1">
      <alignment horizontal="center"/>
      <protection/>
    </xf>
    <xf numFmtId="168" fontId="73" fillId="0" borderId="0" xfId="0" applyNumberFormat="1" applyFont="1" applyBorder="1" applyAlignment="1" applyProtection="1" quotePrefix="1">
      <alignment horizontal="center"/>
      <protection/>
    </xf>
    <xf numFmtId="168" fontId="32" fillId="0" borderId="0" xfId="0" applyNumberFormat="1" applyFont="1" applyFill="1" applyBorder="1" applyAlignment="1">
      <alignment horizontal="center"/>
    </xf>
    <xf numFmtId="7" fontId="35" fillId="0" borderId="0" xfId="0" applyNumberFormat="1" applyFont="1" applyFill="1" applyBorder="1" applyAlignment="1">
      <alignment horizontal="right"/>
    </xf>
    <xf numFmtId="4" fontId="71" fillId="0" borderId="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7" fillId="10" borderId="15" xfId="0" applyFont="1" applyFill="1" applyBorder="1" applyAlignment="1">
      <alignment/>
    </xf>
    <xf numFmtId="0" fontId="7" fillId="10" borderId="9" xfId="0" applyFont="1" applyFill="1" applyBorder="1" applyAlignment="1">
      <alignment/>
    </xf>
    <xf numFmtId="0" fontId="0" fillId="0" borderId="9" xfId="0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10" borderId="8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10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21" xfId="0" applyFont="1" applyBorder="1" applyAlignment="1">
      <alignment/>
    </xf>
    <xf numFmtId="0" fontId="27" fillId="0" borderId="14" xfId="22" applyFont="1" applyBorder="1" applyAlignment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68" fontId="36" fillId="2" borderId="14" xfId="0" applyNumberFormat="1" applyFont="1" applyFill="1" applyBorder="1" applyAlignment="1" applyProtection="1">
      <alignment horizontal="center" vertical="center"/>
      <protection/>
    </xf>
    <xf numFmtId="0" fontId="49" fillId="6" borderId="14" xfId="0" applyFont="1" applyFill="1" applyBorder="1" applyAlignment="1" applyProtection="1">
      <alignment horizontal="center" vertical="center"/>
      <protection/>
    </xf>
    <xf numFmtId="0" fontId="67" fillId="7" borderId="9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 applyProtection="1">
      <alignment horizontal="centerContinuous" vertical="center" wrapText="1"/>
      <protection/>
    </xf>
    <xf numFmtId="0" fontId="40" fillId="2" borderId="15" xfId="0" applyFont="1" applyFill="1" applyBorder="1" applyAlignment="1">
      <alignment horizontal="centerContinuous"/>
    </xf>
    <xf numFmtId="0" fontId="39" fillId="2" borderId="9" xfId="0" applyFont="1" applyFill="1" applyBorder="1" applyAlignment="1">
      <alignment horizontal="centerContinuous" vertical="center"/>
    </xf>
    <xf numFmtId="0" fontId="74" fillId="11" borderId="8" xfId="0" applyFont="1" applyFill="1" applyBorder="1" applyAlignment="1">
      <alignment horizontal="centerContinuous" vertical="center" wrapText="1"/>
    </xf>
    <xf numFmtId="0" fontId="75" fillId="11" borderId="15" xfId="0" applyFont="1" applyFill="1" applyBorder="1" applyAlignment="1">
      <alignment horizontal="centerContinuous"/>
    </xf>
    <xf numFmtId="0" fontId="74" fillId="11" borderId="9" xfId="0" applyFont="1" applyFill="1" applyBorder="1" applyAlignment="1">
      <alignment horizontal="centerContinuous" vertical="center"/>
    </xf>
    <xf numFmtId="0" fontId="76" fillId="8" borderId="14" xfId="0" applyFont="1" applyFill="1" applyBorder="1" applyAlignment="1">
      <alignment horizontal="center" vertical="center" wrapText="1"/>
    </xf>
    <xf numFmtId="0" fontId="77" fillId="12" borderId="14" xfId="0" applyFont="1" applyFill="1" applyBorder="1" applyAlignment="1">
      <alignment horizontal="center" vertical="center" wrapText="1"/>
    </xf>
    <xf numFmtId="0" fontId="78" fillId="13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4" fillId="6" borderId="17" xfId="0" applyFont="1" applyFill="1" applyBorder="1" applyAlignment="1">
      <alignment/>
    </xf>
    <xf numFmtId="0" fontId="45" fillId="4" borderId="17" xfId="0" applyFont="1" applyFill="1" applyBorder="1" applyAlignment="1">
      <alignment/>
    </xf>
    <xf numFmtId="0" fontId="69" fillId="7" borderId="17" xfId="0" applyFont="1" applyFill="1" applyBorder="1" applyAlignment="1">
      <alignment/>
    </xf>
    <xf numFmtId="168" fontId="38" fillId="2" borderId="26" xfId="0" applyNumberFormat="1" applyFont="1" applyFill="1" applyBorder="1" applyAlignment="1" applyProtection="1" quotePrefix="1">
      <alignment horizontal="center"/>
      <protection/>
    </xf>
    <xf numFmtId="168" fontId="38" fillId="2" borderId="27" xfId="0" applyNumberFormat="1" applyFont="1" applyFill="1" applyBorder="1" applyAlignment="1" applyProtection="1" quotePrefix="1">
      <alignment horizontal="center"/>
      <protection/>
    </xf>
    <xf numFmtId="4" fontId="38" fillId="2" borderId="22" xfId="0" applyNumberFormat="1" applyFont="1" applyFill="1" applyBorder="1" applyAlignment="1" applyProtection="1">
      <alignment horizontal="center"/>
      <protection/>
    </xf>
    <xf numFmtId="168" fontId="79" fillId="11" borderId="27" xfId="0" applyNumberFormat="1" applyFont="1" applyFill="1" applyBorder="1" applyAlignment="1" applyProtection="1" quotePrefix="1">
      <alignment horizontal="center"/>
      <protection/>
    </xf>
    <xf numFmtId="4" fontId="79" fillId="11" borderId="22" xfId="0" applyNumberFormat="1" applyFont="1" applyFill="1" applyBorder="1" applyAlignment="1" applyProtection="1">
      <alignment horizontal="center"/>
      <protection/>
    </xf>
    <xf numFmtId="0" fontId="80" fillId="8" borderId="17" xfId="0" applyFont="1" applyFill="1" applyBorder="1" applyAlignment="1">
      <alignment/>
    </xf>
    <xf numFmtId="0" fontId="81" fillId="12" borderId="17" xfId="0" applyFont="1" applyFill="1" applyBorder="1" applyAlignment="1">
      <alignment/>
    </xf>
    <xf numFmtId="7" fontId="28" fillId="13" borderId="17" xfId="0" applyNumberFormat="1" applyFont="1" applyFill="1" applyBorder="1" applyAlignment="1">
      <alignment/>
    </xf>
    <xf numFmtId="7" fontId="10" fillId="0" borderId="17" xfId="0" applyNumberFormat="1" applyFont="1" applyBorder="1" applyAlignment="1">
      <alignment horizontal="center"/>
    </xf>
    <xf numFmtId="0" fontId="54" fillId="6" borderId="2" xfId="0" applyFont="1" applyFill="1" applyBorder="1" applyAlignment="1">
      <alignment/>
    </xf>
    <xf numFmtId="22" fontId="7" fillId="0" borderId="4" xfId="0" applyNumberFormat="1" applyFont="1" applyBorder="1" applyAlignment="1">
      <alignment horizontal="center"/>
    </xf>
    <xf numFmtId="0" fontId="45" fillId="4" borderId="2" xfId="0" applyFont="1" applyFill="1" applyBorder="1" applyAlignment="1">
      <alignment/>
    </xf>
    <xf numFmtId="0" fontId="69" fillId="7" borderId="4" xfId="0" applyFont="1" applyFill="1" applyBorder="1" applyAlignment="1">
      <alignment/>
    </xf>
    <xf numFmtId="168" fontId="38" fillId="2" borderId="25" xfId="0" applyNumberFormat="1" applyFont="1" applyFill="1" applyBorder="1" applyAlignment="1" applyProtection="1" quotePrefix="1">
      <alignment horizontal="center"/>
      <protection/>
    </xf>
    <xf numFmtId="168" fontId="38" fillId="2" borderId="28" xfId="0" applyNumberFormat="1" applyFont="1" applyFill="1" applyBorder="1" applyAlignment="1" applyProtection="1" quotePrefix="1">
      <alignment horizontal="center"/>
      <protection/>
    </xf>
    <xf numFmtId="4" fontId="38" fillId="2" borderId="4" xfId="0" applyNumberFormat="1" applyFont="1" applyFill="1" applyBorder="1" applyAlignment="1" applyProtection="1">
      <alignment horizontal="center"/>
      <protection/>
    </xf>
    <xf numFmtId="168" fontId="79" fillId="11" borderId="28" xfId="0" applyNumberFormat="1" applyFont="1" applyFill="1" applyBorder="1" applyAlignment="1" applyProtection="1" quotePrefix="1">
      <alignment horizontal="center"/>
      <protection/>
    </xf>
    <xf numFmtId="4" fontId="79" fillId="11" borderId="4" xfId="0" applyNumberFormat="1" applyFont="1" applyFill="1" applyBorder="1" applyAlignment="1" applyProtection="1">
      <alignment horizontal="center"/>
      <protection/>
    </xf>
    <xf numFmtId="4" fontId="80" fillId="8" borderId="2" xfId="0" applyNumberFormat="1" applyFont="1" applyFill="1" applyBorder="1" applyAlignment="1" applyProtection="1">
      <alignment horizontal="center"/>
      <protection/>
    </xf>
    <xf numFmtId="4" fontId="81" fillId="12" borderId="2" xfId="0" applyNumberFormat="1" applyFont="1" applyFill="1" applyBorder="1" applyAlignment="1" applyProtection="1">
      <alignment horizontal="center"/>
      <protection/>
    </xf>
    <xf numFmtId="0" fontId="28" fillId="13" borderId="2" xfId="0" applyFont="1" applyFill="1" applyBorder="1" applyAlignment="1">
      <alignment/>
    </xf>
    <xf numFmtId="0" fontId="10" fillId="0" borderId="4" xfId="0" applyFont="1" applyBorder="1" applyAlignment="1">
      <alignment/>
    </xf>
    <xf numFmtId="0" fontId="37" fillId="2" borderId="2" xfId="0" applyFont="1" applyFill="1" applyBorder="1" applyAlignment="1" applyProtection="1">
      <alignment horizontal="center"/>
      <protection/>
    </xf>
    <xf numFmtId="174" fontId="54" fillId="6" borderId="2" xfId="0" applyNumberFormat="1" applyFont="1" applyFill="1" applyBorder="1" applyAlignment="1" applyProtection="1">
      <alignment horizontal="center"/>
      <protection/>
    </xf>
    <xf numFmtId="22" fontId="7" fillId="0" borderId="29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 quotePrefix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/>
    </xf>
    <xf numFmtId="2" fontId="45" fillId="4" borderId="2" xfId="0" applyNumberFormat="1" applyFont="1" applyFill="1" applyBorder="1" applyAlignment="1" applyProtection="1">
      <alignment horizontal="center"/>
      <protection locked="0"/>
    </xf>
    <xf numFmtId="2" fontId="69" fillId="7" borderId="4" xfId="0" applyNumberFormat="1" applyFont="1" applyFill="1" applyBorder="1" applyAlignment="1" applyProtection="1">
      <alignment horizontal="center"/>
      <protection locked="0"/>
    </xf>
    <xf numFmtId="168" fontId="38" fillId="2" borderId="25" xfId="0" applyNumberFormat="1" applyFont="1" applyFill="1" applyBorder="1" applyAlignment="1" applyProtection="1" quotePrefix="1">
      <alignment horizontal="center"/>
      <protection locked="0"/>
    </xf>
    <xf numFmtId="168" fontId="38" fillId="2" borderId="28" xfId="0" applyNumberFormat="1" applyFont="1" applyFill="1" applyBorder="1" applyAlignment="1" applyProtection="1" quotePrefix="1">
      <alignment horizontal="center"/>
      <protection locked="0"/>
    </xf>
    <xf numFmtId="4" fontId="38" fillId="2" borderId="4" xfId="0" applyNumberFormat="1" applyFont="1" applyFill="1" applyBorder="1" applyAlignment="1" applyProtection="1">
      <alignment horizontal="center"/>
      <protection locked="0"/>
    </xf>
    <xf numFmtId="168" fontId="79" fillId="11" borderId="28" xfId="0" applyNumberFormat="1" applyFont="1" applyFill="1" applyBorder="1" applyAlignment="1" applyProtection="1" quotePrefix="1">
      <alignment horizontal="center"/>
      <protection locked="0"/>
    </xf>
    <xf numFmtId="173" fontId="79" fillId="11" borderId="28" xfId="0" applyNumberFormat="1" applyFont="1" applyFill="1" applyBorder="1" applyAlignment="1" applyProtection="1" quotePrefix="1">
      <alignment horizontal="center"/>
      <protection locked="0"/>
    </xf>
    <xf numFmtId="4" fontId="79" fillId="11" borderId="4" xfId="0" applyNumberFormat="1" applyFont="1" applyFill="1" applyBorder="1" applyAlignment="1" applyProtection="1">
      <alignment horizontal="center"/>
      <protection locked="0"/>
    </xf>
    <xf numFmtId="4" fontId="82" fillId="8" borderId="2" xfId="0" applyNumberFormat="1" applyFont="1" applyFill="1" applyBorder="1" applyAlignment="1" applyProtection="1">
      <alignment horizontal="center"/>
      <protection locked="0"/>
    </xf>
    <xf numFmtId="4" fontId="83" fillId="12" borderId="2" xfId="0" applyNumberFormat="1" applyFont="1" applyFill="1" applyBorder="1" applyAlignment="1" applyProtection="1">
      <alignment horizontal="center"/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4" fontId="28" fillId="13" borderId="2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center"/>
    </xf>
    <xf numFmtId="164" fontId="7" fillId="0" borderId="3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0" fontId="37" fillId="2" borderId="3" xfId="0" applyFont="1" applyFill="1" applyBorder="1" applyAlignment="1" applyProtection="1">
      <alignment horizontal="center"/>
      <protection/>
    </xf>
    <xf numFmtId="168" fontId="54" fillId="6" borderId="3" xfId="0" applyNumberFormat="1" applyFont="1" applyFill="1" applyBorder="1" applyAlignment="1" applyProtection="1">
      <alignment horizontal="center"/>
      <protection/>
    </xf>
    <xf numFmtId="2" fontId="45" fillId="4" borderId="3" xfId="0" applyNumberFormat="1" applyFont="1" applyFill="1" applyBorder="1" applyAlignment="1" applyProtection="1">
      <alignment horizontal="center"/>
      <protection locked="0"/>
    </xf>
    <xf numFmtId="2" fontId="69" fillId="7" borderId="3" xfId="0" applyNumberFormat="1" applyFont="1" applyFill="1" applyBorder="1" applyAlignment="1" applyProtection="1">
      <alignment horizontal="center"/>
      <protection locked="0"/>
    </xf>
    <xf numFmtId="168" fontId="38" fillId="2" borderId="31" xfId="0" applyNumberFormat="1" applyFont="1" applyFill="1" applyBorder="1" applyAlignment="1" applyProtection="1" quotePrefix="1">
      <alignment horizontal="center"/>
      <protection locked="0"/>
    </xf>
    <xf numFmtId="168" fontId="38" fillId="2" borderId="32" xfId="0" applyNumberFormat="1" applyFont="1" applyFill="1" applyBorder="1" applyAlignment="1" applyProtection="1" quotePrefix="1">
      <alignment horizontal="center"/>
      <protection locked="0"/>
    </xf>
    <xf numFmtId="4" fontId="38" fillId="2" borderId="33" xfId="0" applyNumberFormat="1" applyFont="1" applyFill="1" applyBorder="1" applyAlignment="1" applyProtection="1">
      <alignment horizontal="center"/>
      <protection locked="0"/>
    </xf>
    <xf numFmtId="168" fontId="79" fillId="11" borderId="31" xfId="0" applyNumberFormat="1" applyFont="1" applyFill="1" applyBorder="1" applyAlignment="1" applyProtection="1" quotePrefix="1">
      <alignment horizontal="center"/>
      <protection locked="0"/>
    </xf>
    <xf numFmtId="168" fontId="79" fillId="11" borderId="32" xfId="0" applyNumberFormat="1" applyFont="1" applyFill="1" applyBorder="1" applyAlignment="1" applyProtection="1" quotePrefix="1">
      <alignment horizontal="center"/>
      <protection locked="0"/>
    </xf>
    <xf numFmtId="4" fontId="79" fillId="11" borderId="33" xfId="0" applyNumberFormat="1" applyFont="1" applyFill="1" applyBorder="1" applyAlignment="1" applyProtection="1">
      <alignment horizontal="center"/>
      <protection locked="0"/>
    </xf>
    <xf numFmtId="4" fontId="82" fillId="8" borderId="3" xfId="0" applyNumberFormat="1" applyFont="1" applyFill="1" applyBorder="1" applyAlignment="1" applyProtection="1">
      <alignment horizontal="center"/>
      <protection locked="0"/>
    </xf>
    <xf numFmtId="4" fontId="83" fillId="12" borderId="3" xfId="0" applyNumberFormat="1" applyFont="1" applyFill="1" applyBorder="1" applyAlignment="1" applyProtection="1">
      <alignment horizontal="center"/>
      <protection locked="0"/>
    </xf>
    <xf numFmtId="4" fontId="7" fillId="0" borderId="3" xfId="0" applyNumberFormat="1" applyFont="1" applyBorder="1" applyAlignment="1" applyProtection="1">
      <alignment horizontal="center"/>
      <protection locked="0"/>
    </xf>
    <xf numFmtId="2" fontId="28" fillId="13" borderId="3" xfId="0" applyNumberFormat="1" applyFont="1" applyFill="1" applyBorder="1" applyAlignment="1">
      <alignment horizontal="right"/>
    </xf>
    <xf numFmtId="2" fontId="10" fillId="0" borderId="34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69" fillId="7" borderId="14" xfId="0" applyNumberFormat="1" applyFont="1" applyFill="1" applyBorder="1" applyAlignment="1" applyProtection="1">
      <alignment horizontal="center"/>
      <protection/>
    </xf>
    <xf numFmtId="2" fontId="38" fillId="2" borderId="35" xfId="0" applyNumberFormat="1" applyFont="1" applyFill="1" applyBorder="1" applyAlignment="1" applyProtection="1">
      <alignment horizontal="center"/>
      <protection/>
    </xf>
    <xf numFmtId="2" fontId="38" fillId="2" borderId="36" xfId="0" applyNumberFormat="1" applyFont="1" applyFill="1" applyBorder="1" applyAlignment="1" applyProtection="1">
      <alignment horizontal="center"/>
      <protection/>
    </xf>
    <xf numFmtId="2" fontId="38" fillId="2" borderId="37" xfId="0" applyNumberFormat="1" applyFont="1" applyFill="1" applyBorder="1" applyAlignment="1" applyProtection="1">
      <alignment horizontal="center"/>
      <protection/>
    </xf>
    <xf numFmtId="2" fontId="79" fillId="11" borderId="35" xfId="0" applyNumberFormat="1" applyFont="1" applyFill="1" applyBorder="1" applyAlignment="1" applyProtection="1">
      <alignment horizontal="center"/>
      <protection/>
    </xf>
    <xf numFmtId="2" fontId="79" fillId="11" borderId="36" xfId="0" applyNumberFormat="1" applyFont="1" applyFill="1" applyBorder="1" applyAlignment="1" applyProtection="1">
      <alignment horizontal="center"/>
      <protection/>
    </xf>
    <xf numFmtId="2" fontId="79" fillId="11" borderId="37" xfId="0" applyNumberFormat="1" applyFont="1" applyFill="1" applyBorder="1" applyAlignment="1" applyProtection="1">
      <alignment horizontal="center"/>
      <protection/>
    </xf>
    <xf numFmtId="2" fontId="82" fillId="8" borderId="14" xfId="0" applyNumberFormat="1" applyFont="1" applyFill="1" applyBorder="1" applyAlignment="1" applyProtection="1">
      <alignment horizontal="center"/>
      <protection/>
    </xf>
    <xf numFmtId="2" fontId="83" fillId="12" borderId="14" xfId="0" applyNumberFormat="1" applyFont="1" applyFill="1" applyBorder="1" applyAlignment="1" applyProtection="1">
      <alignment horizontal="center"/>
      <protection/>
    </xf>
    <xf numFmtId="2" fontId="65" fillId="0" borderId="38" xfId="0" applyNumberFormat="1" applyFont="1" applyBorder="1" applyAlignment="1" applyProtection="1">
      <alignment horizontal="center"/>
      <protection/>
    </xf>
    <xf numFmtId="7" fontId="84" fillId="13" borderId="14" xfId="0" applyNumberFormat="1" applyFont="1" applyFill="1" applyBorder="1" applyAlignment="1" applyProtection="1">
      <alignment horizontal="right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164" fontId="73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165" fontId="32" fillId="0" borderId="0" xfId="0" applyNumberFormat="1" applyFont="1" applyBorder="1" applyAlignment="1" applyProtection="1">
      <alignment horizontal="center"/>
      <protection/>
    </xf>
    <xf numFmtId="173" fontId="32" fillId="0" borderId="0" xfId="0" applyNumberFormat="1" applyFont="1" applyBorder="1" applyAlignment="1" applyProtection="1" quotePrefix="1">
      <alignment horizontal="center"/>
      <protection/>
    </xf>
    <xf numFmtId="7" fontId="35" fillId="0" borderId="0" xfId="0" applyNumberFormat="1" applyFont="1" applyFill="1" applyBorder="1" applyAlignment="1" applyProtection="1">
      <alignment horizontal="right"/>
      <protection/>
    </xf>
    <xf numFmtId="4" fontId="32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85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3" fillId="5" borderId="14" xfId="0" applyFont="1" applyFill="1" applyBorder="1" applyAlignment="1" applyProtection="1">
      <alignment horizontal="center" vertical="center"/>
      <protection/>
    </xf>
    <xf numFmtId="0" fontId="86" fillId="8" borderId="14" xfId="0" applyFont="1" applyFill="1" applyBorder="1" applyAlignment="1">
      <alignment horizontal="center" vertical="center" wrapText="1"/>
    </xf>
    <xf numFmtId="0" fontId="87" fillId="7" borderId="14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 applyProtection="1">
      <alignment horizontal="centerContinuous" vertical="center" wrapText="1"/>
      <protection/>
    </xf>
    <xf numFmtId="0" fontId="41" fillId="6" borderId="9" xfId="0" applyFont="1" applyFill="1" applyBorder="1" applyAlignment="1">
      <alignment horizontal="centerContinuous" vertical="center"/>
    </xf>
    <xf numFmtId="0" fontId="47" fillId="14" borderId="14" xfId="0" applyFont="1" applyFill="1" applyBorder="1" applyAlignment="1">
      <alignment horizontal="center" vertical="center" wrapText="1"/>
    </xf>
    <xf numFmtId="0" fontId="42" fillId="8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164" fontId="7" fillId="0" borderId="39" xfId="0" applyNumberFormat="1" applyFont="1" applyFill="1" applyBorder="1" applyAlignment="1" applyProtection="1">
      <alignment horizontal="center"/>
      <protection/>
    </xf>
    <xf numFmtId="0" fontId="37" fillId="2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46" fillId="5" borderId="39" xfId="0" applyFont="1" applyFill="1" applyBorder="1" applyAlignment="1">
      <alignment horizontal="center"/>
    </xf>
    <xf numFmtId="0" fontId="88" fillId="8" borderId="39" xfId="0" applyFont="1" applyFill="1" applyBorder="1" applyAlignment="1">
      <alignment horizontal="center"/>
    </xf>
    <xf numFmtId="0" fontId="89" fillId="7" borderId="39" xfId="0" applyFont="1" applyFill="1" applyBorder="1" applyAlignment="1">
      <alignment horizontal="center"/>
    </xf>
    <xf numFmtId="0" fontId="38" fillId="2" borderId="26" xfId="0" applyFont="1" applyFill="1" applyBorder="1" applyAlignment="1">
      <alignment horizontal="center"/>
    </xf>
    <xf numFmtId="0" fontId="38" fillId="2" borderId="41" xfId="0" applyFont="1" applyFill="1" applyBorder="1" applyAlignment="1">
      <alignment horizontal="center"/>
    </xf>
    <xf numFmtId="0" fontId="90" fillId="6" borderId="42" xfId="0" applyFont="1" applyFill="1" applyBorder="1" applyAlignment="1">
      <alignment horizontal="center"/>
    </xf>
    <xf numFmtId="0" fontId="90" fillId="6" borderId="43" xfId="0" applyFont="1" applyFill="1" applyBorder="1" applyAlignment="1">
      <alignment horizontal="center"/>
    </xf>
    <xf numFmtId="0" fontId="48" fillId="14" borderId="39" xfId="0" applyFont="1" applyFill="1" applyBorder="1" applyAlignment="1">
      <alignment horizontal="center"/>
    </xf>
    <xf numFmtId="0" fontId="91" fillId="8" borderId="39" xfId="0" applyFont="1" applyFill="1" applyBorder="1" applyAlignment="1">
      <alignment horizontal="center"/>
    </xf>
    <xf numFmtId="7" fontId="10" fillId="0" borderId="40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64" fontId="7" fillId="0" borderId="19" xfId="0" applyNumberFormat="1" applyFont="1" applyFill="1" applyBorder="1" applyAlignment="1" applyProtection="1">
      <alignment horizontal="center"/>
      <protection/>
    </xf>
    <xf numFmtId="0" fontId="37" fillId="2" borderId="19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46" fillId="5" borderId="19" xfId="0" applyFont="1" applyFill="1" applyBorder="1" applyAlignment="1">
      <alignment horizontal="center"/>
    </xf>
    <xf numFmtId="0" fontId="88" fillId="8" borderId="19" xfId="0" applyFont="1" applyFill="1" applyBorder="1" applyAlignment="1">
      <alignment horizontal="center"/>
    </xf>
    <xf numFmtId="0" fontId="89" fillId="7" borderId="19" xfId="0" applyFont="1" applyFill="1" applyBorder="1" applyAlignment="1">
      <alignment horizontal="center"/>
    </xf>
    <xf numFmtId="0" fontId="38" fillId="2" borderId="45" xfId="0" applyFont="1" applyFill="1" applyBorder="1" applyAlignment="1">
      <alignment horizontal="center"/>
    </xf>
    <xf numFmtId="0" fontId="38" fillId="2" borderId="46" xfId="0" applyFont="1" applyFill="1" applyBorder="1" applyAlignment="1">
      <alignment horizontal="center"/>
    </xf>
    <xf numFmtId="0" fontId="90" fillId="6" borderId="45" xfId="0" applyFont="1" applyFill="1" applyBorder="1" applyAlignment="1">
      <alignment horizontal="center"/>
    </xf>
    <xf numFmtId="0" fontId="90" fillId="6" borderId="46" xfId="0" applyFont="1" applyFill="1" applyBorder="1" applyAlignment="1">
      <alignment horizontal="center"/>
    </xf>
    <xf numFmtId="0" fontId="48" fillId="14" borderId="19" xfId="0" applyFont="1" applyFill="1" applyBorder="1" applyAlignment="1">
      <alignment horizontal="center"/>
    </xf>
    <xf numFmtId="0" fontId="91" fillId="8" borderId="19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7" fillId="0" borderId="29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 locked="0"/>
    </xf>
    <xf numFmtId="1" fontId="7" fillId="0" borderId="46" xfId="0" applyNumberFormat="1" applyFont="1" applyBorder="1" applyAlignment="1" applyProtection="1" quotePrefix="1">
      <alignment horizontal="center"/>
      <protection locked="0"/>
    </xf>
    <xf numFmtId="174" fontId="37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6" fillId="5" borderId="2" xfId="0" applyNumberFormat="1" applyFont="1" applyFill="1" applyBorder="1" applyAlignment="1" applyProtection="1">
      <alignment horizontal="center"/>
      <protection/>
    </xf>
    <xf numFmtId="2" fontId="88" fillId="8" borderId="2" xfId="0" applyNumberFormat="1" applyFont="1" applyFill="1" applyBorder="1" applyAlignment="1">
      <alignment horizontal="center"/>
    </xf>
    <xf numFmtId="2" fontId="89" fillId="7" borderId="2" xfId="0" applyNumberFormat="1" applyFont="1" applyFill="1" applyBorder="1" applyAlignment="1">
      <alignment horizontal="center"/>
    </xf>
    <xf numFmtId="168" fontId="38" fillId="2" borderId="45" xfId="0" applyNumberFormat="1" applyFont="1" applyFill="1" applyBorder="1" applyAlignment="1" applyProtection="1" quotePrefix="1">
      <alignment horizontal="center"/>
      <protection/>
    </xf>
    <xf numFmtId="168" fontId="38" fillId="2" borderId="46" xfId="0" applyNumberFormat="1" applyFont="1" applyFill="1" applyBorder="1" applyAlignment="1" applyProtection="1" quotePrefix="1">
      <alignment horizontal="center"/>
      <protection/>
    </xf>
    <xf numFmtId="168" fontId="90" fillId="6" borderId="45" xfId="0" applyNumberFormat="1" applyFont="1" applyFill="1" applyBorder="1" applyAlignment="1" applyProtection="1" quotePrefix="1">
      <alignment horizontal="center"/>
      <protection/>
    </xf>
    <xf numFmtId="168" fontId="90" fillId="6" borderId="46" xfId="0" applyNumberFormat="1" applyFont="1" applyFill="1" applyBorder="1" applyAlignment="1" applyProtection="1" quotePrefix="1">
      <alignment horizontal="center"/>
      <protection/>
    </xf>
    <xf numFmtId="168" fontId="48" fillId="14" borderId="2" xfId="0" applyNumberFormat="1" applyFont="1" applyFill="1" applyBorder="1" applyAlignment="1" applyProtection="1" quotePrefix="1">
      <alignment horizontal="center"/>
      <protection/>
    </xf>
    <xf numFmtId="168" fontId="91" fillId="8" borderId="19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44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7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6" fillId="5" borderId="3" xfId="0" applyNumberFormat="1" applyFont="1" applyFill="1" applyBorder="1" applyAlignment="1" applyProtection="1">
      <alignment horizontal="center"/>
      <protection/>
    </xf>
    <xf numFmtId="2" fontId="88" fillId="8" borderId="3" xfId="0" applyNumberFormat="1" applyFont="1" applyFill="1" applyBorder="1" applyAlignment="1">
      <alignment horizontal="center"/>
    </xf>
    <xf numFmtId="2" fontId="89" fillId="7" borderId="3" xfId="0" applyNumberFormat="1" applyFont="1" applyFill="1" applyBorder="1" applyAlignment="1">
      <alignment horizontal="center"/>
    </xf>
    <xf numFmtId="168" fontId="38" fillId="2" borderId="48" xfId="0" applyNumberFormat="1" applyFont="1" applyFill="1" applyBorder="1" applyAlignment="1" applyProtection="1" quotePrefix="1">
      <alignment horizontal="center"/>
      <protection/>
    </xf>
    <xf numFmtId="168" fontId="38" fillId="2" borderId="49" xfId="0" applyNumberFormat="1" applyFont="1" applyFill="1" applyBorder="1" applyAlignment="1" applyProtection="1" quotePrefix="1">
      <alignment horizontal="center"/>
      <protection/>
    </xf>
    <xf numFmtId="168" fontId="90" fillId="6" borderId="31" xfId="0" applyNumberFormat="1" applyFont="1" applyFill="1" applyBorder="1" applyAlignment="1" applyProtection="1" quotePrefix="1">
      <alignment horizontal="center"/>
      <protection/>
    </xf>
    <xf numFmtId="168" fontId="90" fillId="6" borderId="33" xfId="0" applyNumberFormat="1" applyFont="1" applyFill="1" applyBorder="1" applyAlignment="1" applyProtection="1" quotePrefix="1">
      <alignment horizontal="center"/>
      <protection/>
    </xf>
    <xf numFmtId="168" fontId="48" fillId="14" borderId="3" xfId="0" applyNumberFormat="1" applyFont="1" applyFill="1" applyBorder="1" applyAlignment="1" applyProtection="1" quotePrefix="1">
      <alignment horizontal="center"/>
      <protection/>
    </xf>
    <xf numFmtId="168" fontId="91" fillId="8" borderId="3" xfId="0" applyNumberFormat="1" applyFont="1" applyFill="1" applyBorder="1" applyAlignment="1" applyProtection="1" quotePrefix="1">
      <alignment horizontal="center"/>
      <protection/>
    </xf>
    <xf numFmtId="168" fontId="70" fillId="0" borderId="20" xfId="0" applyNumberFormat="1" applyFont="1" applyFill="1" applyBorder="1" applyAlignment="1">
      <alignment horizontal="center"/>
    </xf>
    <xf numFmtId="168" fontId="28" fillId="0" borderId="50" xfId="0" applyNumberFormat="1" applyFont="1" applyFill="1" applyBorder="1" applyAlignment="1">
      <alignment horizontal="center"/>
    </xf>
    <xf numFmtId="4" fontId="88" fillId="8" borderId="14" xfId="0" applyNumberFormat="1" applyFont="1" applyFill="1" applyBorder="1" applyAlignment="1">
      <alignment horizontal="center"/>
    </xf>
    <xf numFmtId="4" fontId="89" fillId="7" borderId="14" xfId="0" applyNumberFormat="1" applyFont="1" applyFill="1" applyBorder="1" applyAlignment="1">
      <alignment horizontal="center"/>
    </xf>
    <xf numFmtId="4" fontId="38" fillId="2" borderId="35" xfId="0" applyNumberFormat="1" applyFont="1" applyFill="1" applyBorder="1" applyAlignment="1">
      <alignment horizontal="center"/>
    </xf>
    <xf numFmtId="4" fontId="38" fillId="2" borderId="9" xfId="0" applyNumberFormat="1" applyFont="1" applyFill="1" applyBorder="1" applyAlignment="1">
      <alignment horizontal="center"/>
    </xf>
    <xf numFmtId="4" fontId="90" fillId="6" borderId="35" xfId="0" applyNumberFormat="1" applyFont="1" applyFill="1" applyBorder="1" applyAlignment="1">
      <alignment horizontal="center"/>
    </xf>
    <xf numFmtId="4" fontId="90" fillId="6" borderId="37" xfId="0" applyNumberFormat="1" applyFont="1" applyFill="1" applyBorder="1" applyAlignment="1">
      <alignment horizontal="center"/>
    </xf>
    <xf numFmtId="4" fontId="48" fillId="14" borderId="14" xfId="0" applyNumberFormat="1" applyFont="1" applyFill="1" applyBorder="1" applyAlignment="1">
      <alignment horizontal="center"/>
    </xf>
    <xf numFmtId="4" fontId="91" fillId="8" borderId="14" xfId="0" applyNumberFormat="1" applyFont="1" applyFill="1" applyBorder="1" applyAlignment="1">
      <alignment horizontal="center"/>
    </xf>
    <xf numFmtId="7" fontId="92" fillId="0" borderId="14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32" fillId="0" borderId="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22" fontId="32" fillId="0" borderId="0" xfId="0" applyNumberFormat="1" applyFont="1" applyFill="1" applyBorder="1" applyAlignment="1">
      <alignment/>
    </xf>
    <xf numFmtId="4" fontId="93" fillId="0" borderId="0" xfId="0" applyNumberFormat="1" applyFont="1" applyFill="1" applyBorder="1" applyAlignment="1">
      <alignment horizontal="center"/>
    </xf>
    <xf numFmtId="7" fontId="94" fillId="0" borderId="0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85" fillId="0" borderId="0" xfId="0" applyFont="1" applyFill="1" applyAlignment="1">
      <alignment horizontal="centerContinuous"/>
    </xf>
    <xf numFmtId="0" fontId="0" fillId="0" borderId="8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46" fillId="5" borderId="14" xfId="0" applyNumberFormat="1" applyFont="1" applyFill="1" applyBorder="1" applyAlignment="1" applyProtection="1">
      <alignment horizontal="center" vertical="center"/>
      <protection/>
    </xf>
    <xf numFmtId="0" fontId="49" fillId="2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/>
    </xf>
    <xf numFmtId="164" fontId="7" fillId="0" borderId="51" xfId="0" applyNumberFormat="1" applyFont="1" applyFill="1" applyBorder="1" applyAlignment="1" applyProtection="1">
      <alignment horizontal="center"/>
      <protection/>
    </xf>
    <xf numFmtId="0" fontId="37" fillId="2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164" fontId="46" fillId="5" borderId="17" xfId="0" applyNumberFormat="1" applyFont="1" applyFill="1" applyBorder="1" applyAlignment="1" applyProtection="1">
      <alignment horizontal="center"/>
      <protection/>
    </xf>
    <xf numFmtId="7" fontId="29" fillId="2" borderId="39" xfId="0" applyNumberFormat="1" applyFont="1" applyFill="1" applyBorder="1" applyAlignment="1">
      <alignment horizontal="center"/>
    </xf>
    <xf numFmtId="7" fontId="10" fillId="0" borderId="51" xfId="0" applyNumberFormat="1" applyFont="1" applyFill="1" applyBorder="1" applyAlignment="1">
      <alignment horizontal="center"/>
    </xf>
    <xf numFmtId="164" fontId="46" fillId="5" borderId="19" xfId="0" applyNumberFormat="1" applyFont="1" applyFill="1" applyBorder="1" applyAlignment="1" applyProtection="1">
      <alignment horizontal="center"/>
      <protection/>
    </xf>
    <xf numFmtId="0" fontId="29" fillId="2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74" fontId="37" fillId="2" borderId="19" xfId="0" applyNumberFormat="1" applyFont="1" applyFill="1" applyBorder="1" applyAlignment="1" applyProtection="1">
      <alignment horizontal="center"/>
      <protection/>
    </xf>
    <xf numFmtId="4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center"/>
      <protection/>
    </xf>
    <xf numFmtId="168" fontId="7" fillId="0" borderId="19" xfId="0" applyNumberFormat="1" applyFont="1" applyFill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 quotePrefix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 locked="0"/>
    </xf>
    <xf numFmtId="164" fontId="46" fillId="5" borderId="19" xfId="0" applyNumberFormat="1" applyFont="1" applyFill="1" applyBorder="1" applyAlignment="1" applyProtection="1">
      <alignment horizontal="center"/>
      <protection locked="0"/>
    </xf>
    <xf numFmtId="2" fontId="88" fillId="8" borderId="2" xfId="0" applyNumberFormat="1" applyFont="1" applyFill="1" applyBorder="1" applyAlignment="1" applyProtection="1">
      <alignment horizontal="center"/>
      <protection locked="0"/>
    </xf>
    <xf numFmtId="2" fontId="89" fillId="7" borderId="2" xfId="0" applyNumberFormat="1" applyFont="1" applyFill="1" applyBorder="1" applyAlignment="1" applyProtection="1">
      <alignment horizontal="center"/>
      <protection locked="0"/>
    </xf>
    <xf numFmtId="168" fontId="38" fillId="2" borderId="45" xfId="0" applyNumberFormat="1" applyFont="1" applyFill="1" applyBorder="1" applyAlignment="1" applyProtection="1" quotePrefix="1">
      <alignment horizontal="center"/>
      <protection locked="0"/>
    </xf>
    <xf numFmtId="168" fontId="38" fillId="2" borderId="46" xfId="0" applyNumberFormat="1" applyFont="1" applyFill="1" applyBorder="1" applyAlignment="1" applyProtection="1" quotePrefix="1">
      <alignment horizontal="center"/>
      <protection locked="0"/>
    </xf>
    <xf numFmtId="168" fontId="90" fillId="6" borderId="45" xfId="0" applyNumberFormat="1" applyFont="1" applyFill="1" applyBorder="1" applyAlignment="1" applyProtection="1" quotePrefix="1">
      <alignment horizontal="center"/>
      <protection locked="0"/>
    </xf>
    <xf numFmtId="168" fontId="90" fillId="6" borderId="46" xfId="0" applyNumberFormat="1" applyFont="1" applyFill="1" applyBorder="1" applyAlignment="1" applyProtection="1" quotePrefix="1">
      <alignment horizontal="center"/>
      <protection locked="0"/>
    </xf>
    <xf numFmtId="168" fontId="48" fillId="14" borderId="2" xfId="0" applyNumberFormat="1" applyFont="1" applyFill="1" applyBorder="1" applyAlignment="1" applyProtection="1" quotePrefix="1">
      <alignment horizontal="center"/>
      <protection locked="0"/>
    </xf>
    <xf numFmtId="168" fontId="91" fillId="8" borderId="19" xfId="0" applyNumberFormat="1" applyFont="1" applyFill="1" applyBorder="1" applyAlignment="1" applyProtection="1" quotePrefix="1">
      <alignment horizontal="center"/>
      <protection locked="0"/>
    </xf>
    <xf numFmtId="168" fontId="7" fillId="0" borderId="44" xfId="0" applyNumberFormat="1" applyFont="1" applyFill="1" applyBorder="1" applyAlignment="1" applyProtection="1">
      <alignment horizontal="center"/>
      <protection locked="0"/>
    </xf>
    <xf numFmtId="4" fontId="29" fillId="2" borderId="19" xfId="0" applyNumberFormat="1" applyFont="1" applyFill="1" applyBorder="1" applyAlignment="1">
      <alignment horizontal="right"/>
    </xf>
    <xf numFmtId="4" fontId="29" fillId="0" borderId="19" xfId="0" applyNumberFormat="1" applyFont="1" applyFill="1" applyBorder="1" applyAlignment="1">
      <alignment horizontal="right"/>
    </xf>
    <xf numFmtId="164" fontId="46" fillId="5" borderId="47" xfId="0" applyNumberFormat="1" applyFont="1" applyFill="1" applyBorder="1" applyAlignment="1" applyProtection="1">
      <alignment horizontal="center"/>
      <protection locked="0"/>
    </xf>
    <xf numFmtId="2" fontId="88" fillId="8" borderId="3" xfId="0" applyNumberFormat="1" applyFont="1" applyFill="1" applyBorder="1" applyAlignment="1" applyProtection="1">
      <alignment horizontal="center"/>
      <protection locked="0"/>
    </xf>
    <xf numFmtId="2" fontId="89" fillId="7" borderId="3" xfId="0" applyNumberFormat="1" applyFont="1" applyFill="1" applyBorder="1" applyAlignment="1" applyProtection="1">
      <alignment horizontal="center"/>
      <protection locked="0"/>
    </xf>
    <xf numFmtId="168" fontId="38" fillId="2" borderId="48" xfId="0" applyNumberFormat="1" applyFont="1" applyFill="1" applyBorder="1" applyAlignment="1" applyProtection="1" quotePrefix="1">
      <alignment horizontal="center"/>
      <protection locked="0"/>
    </xf>
    <xf numFmtId="168" fontId="38" fillId="2" borderId="49" xfId="0" applyNumberFormat="1" applyFont="1" applyFill="1" applyBorder="1" applyAlignment="1" applyProtection="1" quotePrefix="1">
      <alignment horizontal="center"/>
      <protection locked="0"/>
    </xf>
    <xf numFmtId="168" fontId="90" fillId="6" borderId="31" xfId="0" applyNumberFormat="1" applyFont="1" applyFill="1" applyBorder="1" applyAlignment="1" applyProtection="1" quotePrefix="1">
      <alignment horizontal="center"/>
      <protection locked="0"/>
    </xf>
    <xf numFmtId="168" fontId="90" fillId="6" borderId="33" xfId="0" applyNumberFormat="1" applyFont="1" applyFill="1" applyBorder="1" applyAlignment="1" applyProtection="1" quotePrefix="1">
      <alignment horizontal="center"/>
      <protection locked="0"/>
    </xf>
    <xf numFmtId="168" fontId="48" fillId="14" borderId="3" xfId="0" applyNumberFormat="1" applyFont="1" applyFill="1" applyBorder="1" applyAlignment="1" applyProtection="1" quotePrefix="1">
      <alignment horizontal="center"/>
      <protection locked="0"/>
    </xf>
    <xf numFmtId="168" fontId="91" fillId="8" borderId="3" xfId="0" applyNumberFormat="1" applyFont="1" applyFill="1" applyBorder="1" applyAlignment="1" applyProtection="1" quotePrefix="1">
      <alignment horizontal="center"/>
      <protection locked="0"/>
    </xf>
    <xf numFmtId="168" fontId="70" fillId="0" borderId="20" xfId="0" applyNumberFormat="1" applyFont="1" applyFill="1" applyBorder="1" applyAlignment="1" applyProtection="1">
      <alignment horizontal="center"/>
      <protection locked="0"/>
    </xf>
    <xf numFmtId="168" fontId="29" fillId="2" borderId="34" xfId="0" applyNumberFormat="1" applyFont="1" applyFill="1" applyBorder="1" applyAlignment="1">
      <alignment horizontal="center"/>
    </xf>
    <xf numFmtId="168" fontId="28" fillId="0" borderId="34" xfId="0" applyNumberFormat="1" applyFont="1" applyFill="1" applyBorder="1" applyAlignment="1">
      <alignment horizontal="center"/>
    </xf>
    <xf numFmtId="164" fontId="46" fillId="0" borderId="0" xfId="0" applyNumberFormat="1" applyFont="1" applyFill="1" applyBorder="1" applyAlignment="1" applyProtection="1">
      <alignment horizontal="center"/>
      <protection/>
    </xf>
    <xf numFmtId="4" fontId="48" fillId="14" borderId="35" xfId="0" applyNumberFormat="1" applyFont="1" applyFill="1" applyBorder="1" applyAlignment="1">
      <alignment horizontal="center"/>
    </xf>
    <xf numFmtId="4" fontId="91" fillId="8" borderId="37" xfId="0" applyNumberFormat="1" applyFont="1" applyFill="1" applyBorder="1" applyAlignment="1">
      <alignment horizontal="center"/>
    </xf>
    <xf numFmtId="7" fontId="92" fillId="2" borderId="14" xfId="0" applyNumberFormat="1" applyFont="1" applyFill="1" applyBorder="1" applyAlignment="1">
      <alignment horizontal="right"/>
    </xf>
    <xf numFmtId="0" fontId="5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30" xfId="0" applyFont="1" applyBorder="1" applyAlignment="1">
      <alignment horizontal="center"/>
    </xf>
    <xf numFmtId="0" fontId="12" fillId="0" borderId="30" xfId="0" applyFont="1" applyBorder="1" applyAlignment="1" applyProtection="1">
      <alignment horizontal="center"/>
      <protection/>
    </xf>
    <xf numFmtId="164" fontId="9" fillId="0" borderId="30" xfId="0" applyNumberFormat="1" applyFont="1" applyBorder="1" applyAlignment="1" applyProtection="1">
      <alignment horizontal="center"/>
      <protection/>
    </xf>
    <xf numFmtId="168" fontId="7" fillId="0" borderId="30" xfId="0" applyNumberFormat="1" applyFont="1" applyBorder="1" applyAlignment="1" applyProtection="1">
      <alignment horizontal="center"/>
      <protection/>
    </xf>
    <xf numFmtId="164" fontId="7" fillId="0" borderId="30" xfId="0" applyNumberFormat="1" applyFont="1" applyBorder="1" applyAlignment="1" applyProtection="1">
      <alignment horizontal="center"/>
      <protection/>
    </xf>
    <xf numFmtId="2" fontId="65" fillId="0" borderId="30" xfId="0" applyNumberFormat="1" applyFont="1" applyBorder="1" applyAlignment="1">
      <alignment horizontal="center"/>
    </xf>
    <xf numFmtId="168" fontId="9" fillId="0" borderId="30" xfId="0" applyNumberFormat="1" applyFont="1" applyBorder="1" applyAlignment="1" applyProtection="1" quotePrefix="1">
      <alignment horizontal="center"/>
      <protection/>
    </xf>
    <xf numFmtId="168" fontId="7" fillId="0" borderId="30" xfId="0" applyNumberFormat="1" applyFont="1" applyBorder="1" applyAlignment="1">
      <alignment horizontal="center"/>
    </xf>
    <xf numFmtId="168" fontId="70" fillId="0" borderId="30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1" fillId="6" borderId="14" xfId="0" applyFont="1" applyFill="1" applyBorder="1" applyAlignment="1">
      <alignment horizontal="center" vertical="center" wrapText="1"/>
    </xf>
    <xf numFmtId="0" fontId="67" fillId="7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6" fillId="4" borderId="17" xfId="0" applyFont="1" applyFill="1" applyBorder="1" applyAlignment="1" applyProtection="1">
      <alignment horizontal="center"/>
      <protection/>
    </xf>
    <xf numFmtId="0" fontId="90" fillId="6" borderId="17" xfId="0" applyFont="1" applyFill="1" applyBorder="1" applyAlignment="1" applyProtection="1">
      <alignment horizontal="center"/>
      <protection/>
    </xf>
    <xf numFmtId="168" fontId="69" fillId="7" borderId="26" xfId="0" applyNumberFormat="1" applyFont="1" applyFill="1" applyBorder="1" applyAlignment="1" applyProtection="1" quotePrefix="1">
      <alignment horizontal="center"/>
      <protection/>
    </xf>
    <xf numFmtId="168" fontId="69" fillId="7" borderId="41" xfId="0" applyNumberFormat="1" applyFont="1" applyFill="1" applyBorder="1" applyAlignment="1" applyProtection="1" quotePrefix="1">
      <alignment horizontal="center"/>
      <protection/>
    </xf>
    <xf numFmtId="168" fontId="45" fillId="3" borderId="17" xfId="0" applyNumberFormat="1" applyFont="1" applyFill="1" applyBorder="1" applyAlignment="1" applyProtection="1" quotePrefix="1">
      <alignment horizontal="center"/>
      <protection/>
    </xf>
    <xf numFmtId="7" fontId="95" fillId="0" borderId="2" xfId="0" applyNumberFormat="1" applyFont="1" applyBorder="1" applyAlignment="1" applyProtection="1">
      <alignment/>
      <protection/>
    </xf>
    <xf numFmtId="0" fontId="12" fillId="0" borderId="24" xfId="0" applyFont="1" applyBorder="1" applyAlignment="1" applyProtection="1">
      <alignment horizontal="center"/>
      <protection/>
    </xf>
    <xf numFmtId="0" fontId="37" fillId="2" borderId="24" xfId="0" applyFont="1" applyFill="1" applyBorder="1" applyAlignment="1" applyProtection="1">
      <alignment horizontal="center"/>
      <protection/>
    </xf>
    <xf numFmtId="0" fontId="46" fillId="4" borderId="2" xfId="0" applyFont="1" applyFill="1" applyBorder="1" applyAlignment="1" applyProtection="1">
      <alignment horizontal="center"/>
      <protection/>
    </xf>
    <xf numFmtId="0" fontId="90" fillId="6" borderId="2" xfId="0" applyFont="1" applyFill="1" applyBorder="1" applyAlignment="1" applyProtection="1">
      <alignment horizontal="center"/>
      <protection/>
    </xf>
    <xf numFmtId="168" fontId="69" fillId="7" borderId="53" xfId="0" applyNumberFormat="1" applyFont="1" applyFill="1" applyBorder="1" applyAlignment="1" applyProtection="1" quotePrefix="1">
      <alignment horizontal="center"/>
      <protection/>
    </xf>
    <xf numFmtId="168" fontId="45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4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5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6" fillId="4" borderId="2" xfId="0" applyNumberFormat="1" applyFont="1" applyFill="1" applyBorder="1" applyAlignment="1" applyProtection="1">
      <alignment horizontal="center"/>
      <protection locked="0"/>
    </xf>
    <xf numFmtId="2" fontId="90" fillId="6" borderId="2" xfId="0" applyNumberFormat="1" applyFont="1" applyFill="1" applyBorder="1" applyAlignment="1" applyProtection="1">
      <alignment horizontal="center"/>
      <protection locked="0"/>
    </xf>
    <xf numFmtId="168" fontId="69" fillId="7" borderId="25" xfId="0" applyNumberFormat="1" applyFont="1" applyFill="1" applyBorder="1" applyAlignment="1" applyProtection="1" quotePrefix="1">
      <alignment horizontal="center"/>
      <protection locked="0"/>
    </xf>
    <xf numFmtId="168" fontId="69" fillId="7" borderId="53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8" fontId="7" fillId="0" borderId="20" xfId="0" applyNumberFormat="1" applyFont="1" applyBorder="1" applyAlignment="1" applyProtection="1">
      <alignment horizontal="center"/>
      <protection locked="0"/>
    </xf>
    <xf numFmtId="168" fontId="7" fillId="0" borderId="20" xfId="0" applyNumberFormat="1" applyFont="1" applyBorder="1" applyAlignment="1" applyProtection="1">
      <alignment horizontal="center"/>
      <protection/>
    </xf>
    <xf numFmtId="164" fontId="46" fillId="4" borderId="3" xfId="0" applyNumberFormat="1" applyFont="1" applyFill="1" applyBorder="1" applyAlignment="1" applyProtection="1">
      <alignment horizontal="center"/>
      <protection locked="0"/>
    </xf>
    <xf numFmtId="2" fontId="90" fillId="6" borderId="3" xfId="0" applyNumberFormat="1" applyFont="1" applyFill="1" applyBorder="1" applyAlignment="1" applyProtection="1">
      <alignment horizontal="center"/>
      <protection locked="0"/>
    </xf>
    <xf numFmtId="168" fontId="69" fillId="7" borderId="31" xfId="0" applyNumberFormat="1" applyFont="1" applyFill="1" applyBorder="1" applyAlignment="1" applyProtection="1" quotePrefix="1">
      <alignment horizontal="center"/>
      <protection locked="0"/>
    </xf>
    <xf numFmtId="168" fontId="69" fillId="7" borderId="33" xfId="0" applyNumberFormat="1" applyFont="1" applyFill="1" applyBorder="1" applyAlignment="1" applyProtection="1" quotePrefix="1">
      <alignment horizontal="center"/>
      <protection locked="0"/>
    </xf>
    <xf numFmtId="7" fontId="28" fillId="0" borderId="34" xfId="0" applyNumberFormat="1" applyFont="1" applyFill="1" applyBorder="1" applyAlignment="1">
      <alignment horizontal="right"/>
    </xf>
    <xf numFmtId="4" fontId="90" fillId="6" borderId="14" xfId="0" applyNumberFormat="1" applyFont="1" applyFill="1" applyBorder="1" applyAlignment="1">
      <alignment horizontal="center"/>
    </xf>
    <xf numFmtId="4" fontId="69" fillId="7" borderId="35" xfId="0" applyNumberFormat="1" applyFont="1" applyFill="1" applyBorder="1" applyAlignment="1">
      <alignment horizontal="center"/>
    </xf>
    <xf numFmtId="4" fontId="69" fillId="7" borderId="37" xfId="0" applyNumberFormat="1" applyFont="1" applyFill="1" applyBorder="1" applyAlignment="1">
      <alignment horizontal="center"/>
    </xf>
    <xf numFmtId="4" fontId="45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32" fillId="0" borderId="1" xfId="0" applyFont="1" applyBorder="1" applyAlignment="1">
      <alignment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96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2" fontId="65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 applyProtection="1" quotePrefix="1">
      <alignment horizontal="center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168" fontId="54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9" fillId="8" borderId="14" xfId="0" applyFont="1" applyFill="1" applyBorder="1" applyAlignment="1">
      <alignment horizontal="center" vertical="center" wrapText="1"/>
    </xf>
    <xf numFmtId="0" fontId="47" fillId="15" borderId="8" xfId="0" applyFont="1" applyFill="1" applyBorder="1" applyAlignment="1" applyProtection="1">
      <alignment horizontal="centerContinuous" vertical="center" wrapText="1"/>
      <protection/>
    </xf>
    <xf numFmtId="0" fontId="47" fillId="15" borderId="9" xfId="0" applyFont="1" applyFill="1" applyBorder="1" applyAlignment="1">
      <alignment horizontal="centerContinuous" vertical="center"/>
    </xf>
    <xf numFmtId="0" fontId="51" fillId="7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50" fillId="8" borderId="39" xfId="0" applyFont="1" applyFill="1" applyBorder="1" applyAlignment="1">
      <alignment horizontal="center"/>
    </xf>
    <xf numFmtId="0" fontId="48" fillId="15" borderId="26" xfId="0" applyFont="1" applyFill="1" applyBorder="1" applyAlignment="1">
      <alignment horizontal="center"/>
    </xf>
    <xf numFmtId="0" fontId="48" fillId="15" borderId="41" xfId="0" applyFont="1" applyFill="1" applyBorder="1" applyAlignment="1">
      <alignment horizontal="center"/>
    </xf>
    <xf numFmtId="0" fontId="52" fillId="7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7" fontId="29" fillId="0" borderId="39" xfId="0" applyNumberFormat="1" applyFont="1" applyFill="1" applyBorder="1" applyAlignment="1">
      <alignment horizontal="center"/>
    </xf>
    <xf numFmtId="0" fontId="12" fillId="0" borderId="29" xfId="0" applyFont="1" applyBorder="1" applyAlignment="1" applyProtection="1">
      <alignment horizontal="center"/>
      <protection/>
    </xf>
    <xf numFmtId="0" fontId="12" fillId="0" borderId="55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168" fontId="37" fillId="2" borderId="19" xfId="0" applyNumberFormat="1" applyFont="1" applyFill="1" applyBorder="1" applyAlignment="1" applyProtection="1">
      <alignment horizontal="center"/>
      <protection/>
    </xf>
    <xf numFmtId="22" fontId="7" fillId="0" borderId="45" xfId="0" applyNumberFormat="1" applyFont="1" applyBorder="1" applyAlignment="1">
      <alignment horizontal="center"/>
    </xf>
    <xf numFmtId="22" fontId="7" fillId="0" borderId="55" xfId="0" applyNumberFormat="1" applyFont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 quotePrefix="1">
      <alignment horizontal="center"/>
      <protection/>
    </xf>
    <xf numFmtId="164" fontId="7" fillId="0" borderId="19" xfId="0" applyNumberFormat="1" applyFont="1" applyFill="1" applyBorder="1" applyAlignment="1" applyProtection="1" quotePrefix="1">
      <alignment horizontal="center"/>
      <protection/>
    </xf>
    <xf numFmtId="168" fontId="7" fillId="0" borderId="44" xfId="0" applyNumberFormat="1" applyFont="1" applyBorder="1" applyAlignment="1" applyProtection="1">
      <alignment horizontal="center"/>
      <protection/>
    </xf>
    <xf numFmtId="168" fontId="7" fillId="0" borderId="19" xfId="0" applyNumberFormat="1" applyFont="1" applyBorder="1" applyAlignment="1" applyProtection="1">
      <alignment horizontal="center"/>
      <protection/>
    </xf>
    <xf numFmtId="164" fontId="37" fillId="2" borderId="29" xfId="0" applyNumberFormat="1" applyFont="1" applyFill="1" applyBorder="1" applyAlignment="1" applyProtection="1">
      <alignment horizontal="center"/>
      <protection/>
    </xf>
    <xf numFmtId="2" fontId="50" fillId="8" borderId="19" xfId="0" applyNumberFormat="1" applyFont="1" applyFill="1" applyBorder="1" applyAlignment="1">
      <alignment horizontal="center"/>
    </xf>
    <xf numFmtId="168" fontId="48" fillId="15" borderId="45" xfId="0" applyNumberFormat="1" applyFont="1" applyFill="1" applyBorder="1" applyAlignment="1" applyProtection="1" quotePrefix="1">
      <alignment horizontal="center"/>
      <protection/>
    </xf>
    <xf numFmtId="168" fontId="48" fillId="15" borderId="46" xfId="0" applyNumberFormat="1" applyFont="1" applyFill="1" applyBorder="1" applyAlignment="1" applyProtection="1" quotePrefix="1">
      <alignment horizontal="center"/>
      <protection/>
    </xf>
    <xf numFmtId="168" fontId="52" fillId="7" borderId="19" xfId="0" applyNumberFormat="1" applyFont="1" applyFill="1" applyBorder="1" applyAlignment="1" applyProtection="1" quotePrefix="1">
      <alignment horizontal="center"/>
      <protection/>
    </xf>
    <xf numFmtId="164" fontId="37" fillId="2" borderId="30" xfId="0" applyNumberFormat="1" applyFont="1" applyFill="1" applyBorder="1" applyAlignment="1" applyProtection="1">
      <alignment horizontal="center"/>
      <protection locked="0"/>
    </xf>
    <xf numFmtId="2" fontId="50" fillId="8" borderId="2" xfId="0" applyNumberFormat="1" applyFont="1" applyFill="1" applyBorder="1" applyAlignment="1" applyProtection="1">
      <alignment horizontal="center"/>
      <protection locked="0"/>
    </xf>
    <xf numFmtId="168" fontId="48" fillId="15" borderId="45" xfId="0" applyNumberFormat="1" applyFont="1" applyFill="1" applyBorder="1" applyAlignment="1" applyProtection="1" quotePrefix="1">
      <alignment horizontal="center"/>
      <protection locked="0"/>
    </xf>
    <xf numFmtId="168" fontId="48" fillId="15" borderId="46" xfId="0" applyNumberFormat="1" applyFont="1" applyFill="1" applyBorder="1" applyAlignment="1" applyProtection="1" quotePrefix="1">
      <alignment horizontal="center"/>
      <protection locked="0"/>
    </xf>
    <xf numFmtId="168" fontId="52" fillId="7" borderId="19" xfId="0" applyNumberFormat="1" applyFont="1" applyFill="1" applyBorder="1" applyAlignment="1" applyProtection="1" quotePrefix="1">
      <alignment horizontal="center"/>
      <protection locked="0"/>
    </xf>
    <xf numFmtId="2" fontId="7" fillId="0" borderId="56" xfId="0" applyNumberFormat="1" applyFont="1" applyFill="1" applyBorder="1" applyAlignment="1" applyProtection="1" quotePrefix="1">
      <alignment horizontal="center"/>
      <protection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64" fontId="37" fillId="2" borderId="21" xfId="0" applyNumberFormat="1" applyFont="1" applyFill="1" applyBorder="1" applyAlignment="1" applyProtection="1">
      <alignment horizontal="center"/>
      <protection locked="0"/>
    </xf>
    <xf numFmtId="2" fontId="50" fillId="8" borderId="3" xfId="0" applyNumberFormat="1" applyFont="1" applyFill="1" applyBorder="1" applyAlignment="1" applyProtection="1">
      <alignment horizontal="center"/>
      <protection locked="0"/>
    </xf>
    <xf numFmtId="168" fontId="48" fillId="15" borderId="48" xfId="0" applyNumberFormat="1" applyFont="1" applyFill="1" applyBorder="1" applyAlignment="1" applyProtection="1" quotePrefix="1">
      <alignment horizontal="center"/>
      <protection locked="0"/>
    </xf>
    <xf numFmtId="168" fontId="48" fillId="15" borderId="49" xfId="0" applyNumberFormat="1" applyFont="1" applyFill="1" applyBorder="1" applyAlignment="1" applyProtection="1" quotePrefix="1">
      <alignment horizontal="center"/>
      <protection locked="0"/>
    </xf>
    <xf numFmtId="168" fontId="52" fillId="7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34" xfId="0" applyNumberFormat="1" applyFont="1" applyFill="1" applyBorder="1" applyAlignment="1">
      <alignment horizontal="center"/>
    </xf>
    <xf numFmtId="4" fontId="50" fillId="8" borderId="14" xfId="0" applyNumberFormat="1" applyFont="1" applyFill="1" applyBorder="1" applyAlignment="1">
      <alignment horizontal="center"/>
    </xf>
    <xf numFmtId="4" fontId="48" fillId="15" borderId="35" xfId="0" applyNumberFormat="1" applyFont="1" applyFill="1" applyBorder="1" applyAlignment="1">
      <alignment horizontal="center"/>
    </xf>
    <xf numFmtId="4" fontId="48" fillId="15" borderId="9" xfId="0" applyNumberFormat="1" applyFont="1" applyFill="1" applyBorder="1" applyAlignment="1">
      <alignment horizontal="center"/>
    </xf>
    <xf numFmtId="4" fontId="52" fillId="7" borderId="14" xfId="0" applyNumberFormat="1" applyFont="1" applyFill="1" applyBorder="1" applyAlignment="1">
      <alignment horizontal="center"/>
    </xf>
    <xf numFmtId="0" fontId="7" fillId="0" borderId="57" xfId="0" applyFont="1" applyBorder="1" applyAlignment="1">
      <alignment/>
    </xf>
    <xf numFmtId="7" fontId="4" fillId="0" borderId="9" xfId="0" applyNumberFormat="1" applyFont="1" applyBorder="1" applyAlignment="1">
      <alignment horizontal="centerContinuous" vertical="center"/>
    </xf>
    <xf numFmtId="0" fontId="46" fillId="3" borderId="17" xfId="0" applyFont="1" applyFill="1" applyBorder="1" applyAlignment="1">
      <alignment horizontal="center"/>
    </xf>
    <xf numFmtId="0" fontId="46" fillId="8" borderId="17" xfId="0" applyFont="1" applyFill="1" applyBorder="1" applyAlignment="1">
      <alignment horizontal="center"/>
    </xf>
    <xf numFmtId="0" fontId="46" fillId="3" borderId="2" xfId="0" applyFont="1" applyFill="1" applyBorder="1" applyAlignment="1">
      <alignment horizontal="center"/>
    </xf>
    <xf numFmtId="0" fontId="46" fillId="8" borderId="2" xfId="0" applyFont="1" applyFill="1" applyBorder="1" applyAlignment="1">
      <alignment horizontal="center"/>
    </xf>
    <xf numFmtId="2" fontId="50" fillId="6" borderId="2" xfId="0" applyNumberFormat="1" applyFont="1" applyFill="1" applyBorder="1" applyAlignment="1" applyProtection="1">
      <alignment horizontal="center"/>
      <protection locked="0"/>
    </xf>
    <xf numFmtId="168" fontId="45" fillId="8" borderId="2" xfId="0" applyNumberFormat="1" applyFont="1" applyFill="1" applyBorder="1" applyAlignment="1" applyProtection="1" quotePrefix="1">
      <alignment horizontal="center"/>
      <protection locked="0"/>
    </xf>
    <xf numFmtId="168" fontId="7" fillId="9" borderId="2" xfId="0" applyNumberFormat="1" applyFont="1" applyFill="1" applyBorder="1" applyAlignment="1" applyProtection="1">
      <alignment horizontal="center"/>
      <protection locked="0"/>
    </xf>
    <xf numFmtId="2" fontId="54" fillId="6" borderId="3" xfId="0" applyNumberFormat="1" applyFont="1" applyFill="1" applyBorder="1" applyAlignment="1" applyProtection="1">
      <alignment horizontal="center"/>
      <protection locked="0"/>
    </xf>
    <xf numFmtId="168" fontId="46" fillId="3" borderId="3" xfId="0" applyNumberFormat="1" applyFont="1" applyFill="1" applyBorder="1" applyAlignment="1" applyProtection="1" quotePrefix="1">
      <alignment horizontal="center"/>
      <protection locked="0"/>
    </xf>
    <xf numFmtId="168" fontId="46" fillId="8" borderId="3" xfId="0" applyNumberFormat="1" applyFont="1" applyFill="1" applyBorder="1" applyAlignment="1" applyProtection="1" quotePrefix="1">
      <alignment horizontal="center"/>
      <protection locked="0"/>
    </xf>
    <xf numFmtId="168" fontId="70" fillId="9" borderId="3" xfId="0" applyNumberFormat="1" applyFont="1" applyFill="1" applyBorder="1" applyAlignment="1" applyProtection="1">
      <alignment horizontal="center"/>
      <protection locked="0"/>
    </xf>
    <xf numFmtId="4" fontId="7" fillId="0" borderId="58" xfId="0" applyNumberFormat="1" applyFont="1" applyFill="1" applyBorder="1" applyAlignment="1">
      <alignment horizontal="center"/>
    </xf>
    <xf numFmtId="2" fontId="50" fillId="6" borderId="14" xfId="0" applyNumberFormat="1" applyFont="1" applyFill="1" applyBorder="1" applyAlignment="1" applyProtection="1">
      <alignment horizontal="center"/>
      <protection/>
    </xf>
    <xf numFmtId="168" fontId="45" fillId="8" borderId="14" xfId="0" applyNumberFormat="1" applyFont="1" applyFill="1" applyBorder="1" applyAlignment="1" applyProtection="1" quotePrefix="1">
      <alignment horizontal="center"/>
      <protection/>
    </xf>
    <xf numFmtId="168" fontId="7" fillId="0" borderId="55" xfId="0" applyNumberFormat="1" applyFont="1" applyBorder="1" applyAlignment="1" applyProtection="1">
      <alignment horizontal="center"/>
      <protection/>
    </xf>
    <xf numFmtId="0" fontId="97" fillId="0" borderId="0" xfId="0" applyFont="1" applyAlignment="1">
      <alignment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29" xfId="0" applyNumberFormat="1" applyFont="1" applyBorder="1" applyAlignment="1">
      <alignment horizontal="center"/>
    </xf>
    <xf numFmtId="0" fontId="100" fillId="0" borderId="0" xfId="0" applyFont="1" applyFill="1" applyAlignment="1">
      <alignment/>
    </xf>
    <xf numFmtId="0" fontId="101" fillId="0" borderId="0" xfId="0" applyFont="1" applyAlignment="1">
      <alignment horizontal="centerContinuous"/>
    </xf>
    <xf numFmtId="0" fontId="100" fillId="0" borderId="0" xfId="0" applyFont="1" applyAlignment="1">
      <alignment horizontal="centerContinuous"/>
    </xf>
    <xf numFmtId="0" fontId="100" fillId="0" borderId="0" xfId="0" applyFont="1" applyAlignment="1">
      <alignment/>
    </xf>
    <xf numFmtId="0" fontId="23" fillId="0" borderId="0" xfId="0" applyFont="1" applyAlignment="1">
      <alignment/>
    </xf>
    <xf numFmtId="0" fontId="102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3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83" fontId="22" fillId="0" borderId="9" xfId="0" applyNumberFormat="1" applyFont="1" applyBorder="1" applyAlignment="1" applyProtection="1">
      <alignment horizontal="centerContinuous"/>
      <protection/>
    </xf>
    <xf numFmtId="0" fontId="49" fillId="11" borderId="14" xfId="0" applyFont="1" applyFill="1" applyBorder="1" applyAlignment="1">
      <alignment horizontal="center" vertical="center" wrapText="1"/>
    </xf>
    <xf numFmtId="0" fontId="104" fillId="3" borderId="8" xfId="0" applyFont="1" applyFill="1" applyBorder="1" applyAlignment="1" applyProtection="1">
      <alignment horizontal="centerContinuous" vertical="center" wrapText="1"/>
      <protection/>
    </xf>
    <xf numFmtId="0" fontId="105" fillId="3" borderId="15" xfId="0" applyFont="1" applyFill="1" applyBorder="1" applyAlignment="1">
      <alignment horizontal="centerContinuous"/>
    </xf>
    <xf numFmtId="0" fontId="104" fillId="3" borderId="9" xfId="0" applyFont="1" applyFill="1" applyBorder="1" applyAlignment="1">
      <alignment horizontal="centerContinuous" vertical="center"/>
    </xf>
    <xf numFmtId="0" fontId="43" fillId="16" borderId="8" xfId="0" applyFont="1" applyFill="1" applyBorder="1" applyAlignment="1">
      <alignment horizontal="centerContinuous" vertical="center" wrapText="1"/>
    </xf>
    <xf numFmtId="0" fontId="44" fillId="16" borderId="15" xfId="0" applyFont="1" applyFill="1" applyBorder="1" applyAlignment="1">
      <alignment horizontal="centerContinuous"/>
    </xf>
    <xf numFmtId="0" fontId="43" fillId="16" borderId="9" xfId="0" applyFont="1" applyFill="1" applyBorder="1" applyAlignment="1">
      <alignment horizontal="centerContinuous" vertical="center"/>
    </xf>
    <xf numFmtId="0" fontId="43" fillId="8" borderId="14" xfId="0" applyFont="1" applyFill="1" applyBorder="1" applyAlignment="1">
      <alignment horizontal="centerContinuous" vertical="center" wrapText="1"/>
    </xf>
    <xf numFmtId="0" fontId="43" fillId="17" borderId="14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/>
    </xf>
    <xf numFmtId="164" fontId="22" fillId="0" borderId="4" xfId="0" applyNumberFormat="1" applyFont="1" applyBorder="1" applyAlignment="1" applyProtection="1">
      <alignment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17" xfId="0" applyNumberFormat="1" applyFont="1" applyBorder="1" applyAlignment="1" applyProtection="1">
      <alignment horizontal="center"/>
      <protection/>
    </xf>
    <xf numFmtId="164" fontId="106" fillId="2" borderId="17" xfId="0" applyNumberFormat="1" applyFont="1" applyFill="1" applyBorder="1" applyAlignment="1" applyProtection="1">
      <alignment horizontal="center"/>
      <protection/>
    </xf>
    <xf numFmtId="0" fontId="107" fillId="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45" fillId="5" borderId="17" xfId="0" applyFont="1" applyFill="1" applyBorder="1" applyAlignment="1">
      <alignment horizontal="center"/>
    </xf>
    <xf numFmtId="0" fontId="50" fillId="11" borderId="17" xfId="0" applyFont="1" applyFill="1" applyBorder="1" applyAlignment="1">
      <alignment horizontal="center"/>
    </xf>
    <xf numFmtId="168" fontId="108" fillId="3" borderId="26" xfId="0" applyNumberFormat="1" applyFont="1" applyFill="1" applyBorder="1" applyAlignment="1" applyProtection="1" quotePrefix="1">
      <alignment horizontal="center"/>
      <protection/>
    </xf>
    <xf numFmtId="168" fontId="108" fillId="3" borderId="27" xfId="0" applyNumberFormat="1" applyFont="1" applyFill="1" applyBorder="1" applyAlignment="1" applyProtection="1" quotePrefix="1">
      <alignment horizontal="center"/>
      <protection/>
    </xf>
    <xf numFmtId="4" fontId="108" fillId="3" borderId="22" xfId="0" applyNumberFormat="1" applyFont="1" applyFill="1" applyBorder="1" applyAlignment="1" applyProtection="1">
      <alignment horizontal="center"/>
      <protection/>
    </xf>
    <xf numFmtId="168" fontId="45" fillId="16" borderId="26" xfId="0" applyNumberFormat="1" applyFont="1" applyFill="1" applyBorder="1" applyAlignment="1" applyProtection="1" quotePrefix="1">
      <alignment horizontal="center"/>
      <protection/>
    </xf>
    <xf numFmtId="168" fontId="45" fillId="16" borderId="27" xfId="0" applyNumberFormat="1" applyFont="1" applyFill="1" applyBorder="1" applyAlignment="1" applyProtection="1" quotePrefix="1">
      <alignment horizontal="center"/>
      <protection/>
    </xf>
    <xf numFmtId="4" fontId="45" fillId="16" borderId="22" xfId="0" applyNumberFormat="1" applyFont="1" applyFill="1" applyBorder="1" applyAlignment="1" applyProtection="1">
      <alignment horizontal="center"/>
      <protection/>
    </xf>
    <xf numFmtId="4" fontId="45" fillId="8" borderId="17" xfId="0" applyNumberFormat="1" applyFont="1" applyFill="1" applyBorder="1" applyAlignment="1" applyProtection="1">
      <alignment horizontal="center"/>
      <protection/>
    </xf>
    <xf numFmtId="4" fontId="45" fillId="17" borderId="17" xfId="0" applyNumberFormat="1" applyFont="1" applyFill="1" applyBorder="1" applyAlignment="1" applyProtection="1">
      <alignment horizontal="center"/>
      <protection/>
    </xf>
    <xf numFmtId="0" fontId="7" fillId="0" borderId="22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106" fillId="2" borderId="2" xfId="0" applyFont="1" applyFill="1" applyBorder="1" applyAlignment="1" applyProtection="1">
      <alignment horizontal="center"/>
      <protection/>
    </xf>
    <xf numFmtId="168" fontId="107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2" fontId="45" fillId="5" borderId="2" xfId="0" applyNumberFormat="1" applyFont="1" applyFill="1" applyBorder="1" applyAlignment="1" applyProtection="1">
      <alignment horizontal="center"/>
      <protection/>
    </xf>
    <xf numFmtId="2" fontId="50" fillId="11" borderId="2" xfId="0" applyNumberFormat="1" applyFont="1" applyFill="1" applyBorder="1" applyAlignment="1" applyProtection="1">
      <alignment horizontal="center"/>
      <protection/>
    </xf>
    <xf numFmtId="168" fontId="108" fillId="3" borderId="25" xfId="0" applyNumberFormat="1" applyFont="1" applyFill="1" applyBorder="1" applyAlignment="1" applyProtection="1" quotePrefix="1">
      <alignment horizontal="center"/>
      <protection/>
    </xf>
    <xf numFmtId="168" fontId="108" fillId="3" borderId="28" xfId="0" applyNumberFormat="1" applyFont="1" applyFill="1" applyBorder="1" applyAlignment="1" applyProtection="1" quotePrefix="1">
      <alignment horizontal="center"/>
      <protection/>
    </xf>
    <xf numFmtId="4" fontId="108" fillId="3" borderId="4" xfId="0" applyNumberFormat="1" applyFont="1" applyFill="1" applyBorder="1" applyAlignment="1" applyProtection="1">
      <alignment horizontal="center"/>
      <protection/>
    </xf>
    <xf numFmtId="168" fontId="45" fillId="16" borderId="25" xfId="0" applyNumberFormat="1" applyFont="1" applyFill="1" applyBorder="1" applyAlignment="1" applyProtection="1" quotePrefix="1">
      <alignment horizontal="center"/>
      <protection/>
    </xf>
    <xf numFmtId="168" fontId="45" fillId="16" borderId="28" xfId="0" applyNumberFormat="1" applyFont="1" applyFill="1" applyBorder="1" applyAlignment="1" applyProtection="1" quotePrefix="1">
      <alignment horizontal="center"/>
      <protection/>
    </xf>
    <xf numFmtId="4" fontId="45" fillId="16" borderId="4" xfId="0" applyNumberFormat="1" applyFont="1" applyFill="1" applyBorder="1" applyAlignment="1" applyProtection="1">
      <alignment horizontal="center"/>
      <protection/>
    </xf>
    <xf numFmtId="4" fontId="45" fillId="8" borderId="2" xfId="0" applyNumberFormat="1" applyFont="1" applyFill="1" applyBorder="1" applyAlignment="1" applyProtection="1">
      <alignment horizontal="center"/>
      <protection/>
    </xf>
    <xf numFmtId="4" fontId="45" fillId="17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64" fontId="109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65" fontId="22" fillId="0" borderId="3" xfId="0" applyNumberFormat="1" applyFont="1" applyBorder="1" applyAlignment="1" applyProtection="1">
      <alignment horizontal="center"/>
      <protection/>
    </xf>
    <xf numFmtId="165" fontId="106" fillId="2" borderId="3" xfId="0" applyNumberFormat="1" applyFont="1" applyFill="1" applyBorder="1" applyAlignment="1" applyProtection="1">
      <alignment horizontal="center"/>
      <protection/>
    </xf>
    <xf numFmtId="168" fontId="107" fillId="4" borderId="3" xfId="0" applyNumberFormat="1" applyFont="1" applyFill="1" applyBorder="1" applyAlignment="1" applyProtection="1">
      <alignment horizontal="center"/>
      <protection/>
    </xf>
    <xf numFmtId="168" fontId="22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45" fillId="5" borderId="3" xfId="0" applyNumberFormat="1" applyFont="1" applyFill="1" applyBorder="1" applyAlignment="1" applyProtection="1">
      <alignment horizontal="center"/>
      <protection/>
    </xf>
    <xf numFmtId="2" fontId="50" fillId="11" borderId="3" xfId="0" applyNumberFormat="1" applyFont="1" applyFill="1" applyBorder="1" applyAlignment="1" applyProtection="1">
      <alignment horizontal="center"/>
      <protection/>
    </xf>
    <xf numFmtId="168" fontId="108" fillId="3" borderId="31" xfId="0" applyNumberFormat="1" applyFont="1" applyFill="1" applyBorder="1" applyAlignment="1" applyProtection="1" quotePrefix="1">
      <alignment horizontal="center"/>
      <protection/>
    </xf>
    <xf numFmtId="168" fontId="108" fillId="3" borderId="59" xfId="0" applyNumberFormat="1" applyFont="1" applyFill="1" applyBorder="1" applyAlignment="1" applyProtection="1" quotePrefix="1">
      <alignment horizontal="center"/>
      <protection/>
    </xf>
    <xf numFmtId="4" fontId="108" fillId="3" borderId="20" xfId="0" applyNumberFormat="1" applyFont="1" applyFill="1" applyBorder="1" applyAlignment="1" applyProtection="1">
      <alignment horizontal="center"/>
      <protection/>
    </xf>
    <xf numFmtId="168" fontId="45" fillId="16" borderId="31" xfId="0" applyNumberFormat="1" applyFont="1" applyFill="1" applyBorder="1" applyAlignment="1" applyProtection="1" quotePrefix="1">
      <alignment horizontal="center"/>
      <protection/>
    </xf>
    <xf numFmtId="168" fontId="45" fillId="16" borderId="59" xfId="0" applyNumberFormat="1" applyFont="1" applyFill="1" applyBorder="1" applyAlignment="1" applyProtection="1" quotePrefix="1">
      <alignment horizontal="center"/>
      <protection/>
    </xf>
    <xf numFmtId="4" fontId="45" fillId="16" borderId="20" xfId="0" applyNumberFormat="1" applyFont="1" applyFill="1" applyBorder="1" applyAlignment="1" applyProtection="1">
      <alignment horizontal="center"/>
      <protection/>
    </xf>
    <xf numFmtId="4" fontId="45" fillId="8" borderId="3" xfId="0" applyNumberFormat="1" applyFont="1" applyFill="1" applyBorder="1" applyAlignment="1" applyProtection="1">
      <alignment horizontal="center"/>
      <protection/>
    </xf>
    <xf numFmtId="4" fontId="45" fillId="17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8" fillId="0" borderId="3" xfId="0" applyNumberFormat="1" applyFont="1" applyFill="1" applyBorder="1" applyAlignment="1">
      <alignment horizontal="center"/>
    </xf>
    <xf numFmtId="164" fontId="109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107" fillId="5" borderId="14" xfId="0" applyNumberFormat="1" applyFont="1" applyFill="1" applyBorder="1" applyAlignment="1" applyProtection="1">
      <alignment horizontal="center"/>
      <protection/>
    </xf>
    <xf numFmtId="2" fontId="92" fillId="11" borderId="14" xfId="0" applyNumberFormat="1" applyFont="1" applyFill="1" applyBorder="1" applyAlignment="1" applyProtection="1">
      <alignment horizontal="center"/>
      <protection/>
    </xf>
    <xf numFmtId="2" fontId="110" fillId="3" borderId="14" xfId="0" applyNumberFormat="1" applyFont="1" applyFill="1" applyBorder="1" applyAlignment="1" applyProtection="1">
      <alignment horizontal="center"/>
      <protection/>
    </xf>
    <xf numFmtId="2" fontId="107" fillId="16" borderId="14" xfId="0" applyNumberFormat="1" applyFont="1" applyFill="1" applyBorder="1" applyAlignment="1" applyProtection="1">
      <alignment horizontal="center"/>
      <protection/>
    </xf>
    <xf numFmtId="2" fontId="107" fillId="8" borderId="14" xfId="0" applyNumberFormat="1" applyFont="1" applyFill="1" applyBorder="1" applyAlignment="1" applyProtection="1">
      <alignment horizontal="center"/>
      <protection/>
    </xf>
    <xf numFmtId="2" fontId="107" fillId="17" borderId="14" xfId="0" applyNumberFormat="1" applyFont="1" applyFill="1" applyBorder="1" applyAlignment="1" applyProtection="1">
      <alignment horizontal="center"/>
      <protection/>
    </xf>
    <xf numFmtId="2" fontId="22" fillId="0" borderId="40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107" fillId="0" borderId="15" xfId="0" applyNumberFormat="1" applyFont="1" applyFill="1" applyBorder="1" applyAlignment="1" applyProtection="1">
      <alignment horizontal="center"/>
      <protection/>
    </xf>
    <xf numFmtId="2" fontId="92" fillId="0" borderId="15" xfId="0" applyNumberFormat="1" applyFont="1" applyFill="1" applyBorder="1" applyAlignment="1" applyProtection="1">
      <alignment horizontal="center"/>
      <protection/>
    </xf>
    <xf numFmtId="2" fontId="110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6" fillId="18" borderId="14" xfId="0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3" fillId="19" borderId="14" xfId="0" applyFont="1" applyFill="1" applyBorder="1" applyAlignment="1">
      <alignment horizontal="center" vertical="center" wrapText="1"/>
    </xf>
    <xf numFmtId="0" fontId="43" fillId="20" borderId="8" xfId="0" applyFont="1" applyFill="1" applyBorder="1" applyAlignment="1" applyProtection="1">
      <alignment horizontal="centerContinuous" vertical="center" wrapText="1"/>
      <protection/>
    </xf>
    <xf numFmtId="0" fontId="43" fillId="20" borderId="9" xfId="0" applyFont="1" applyFill="1" applyBorder="1" applyAlignment="1">
      <alignment horizontal="centerContinuous" vertical="center"/>
    </xf>
    <xf numFmtId="0" fontId="43" fillId="3" borderId="14" xfId="0" applyFont="1" applyFill="1" applyBorder="1" applyAlignment="1">
      <alignment horizontal="centerContinuous" vertical="center" wrapText="1"/>
    </xf>
    <xf numFmtId="0" fontId="43" fillId="18" borderId="60" xfId="0" applyFont="1" applyFill="1" applyBorder="1" applyAlignment="1">
      <alignment vertical="center" wrapText="1"/>
    </xf>
    <xf numFmtId="0" fontId="43" fillId="18" borderId="16" xfId="0" applyFont="1" applyFill="1" applyBorder="1" applyAlignment="1">
      <alignment vertical="center" wrapText="1"/>
    </xf>
    <xf numFmtId="0" fontId="43" fillId="18" borderId="40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111" fillId="2" borderId="2" xfId="0" applyFont="1" applyFill="1" applyBorder="1" applyAlignment="1">
      <alignment horizontal="center"/>
    </xf>
    <xf numFmtId="0" fontId="111" fillId="18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46" fillId="19" borderId="17" xfId="0" applyFont="1" applyFill="1" applyBorder="1" applyAlignment="1">
      <alignment horizontal="center"/>
    </xf>
    <xf numFmtId="0" fontId="46" fillId="20" borderId="26" xfId="0" applyFont="1" applyFill="1" applyBorder="1" applyAlignment="1">
      <alignment horizontal="center"/>
    </xf>
    <xf numFmtId="0" fontId="46" fillId="20" borderId="41" xfId="0" applyFont="1" applyFill="1" applyBorder="1" applyAlignment="1">
      <alignment horizontal="left"/>
    </xf>
    <xf numFmtId="0" fontId="46" fillId="3" borderId="17" xfId="0" applyFont="1" applyFill="1" applyBorder="1" applyAlignment="1">
      <alignment horizontal="left"/>
    </xf>
    <xf numFmtId="0" fontId="46" fillId="18" borderId="54" xfId="0" applyFont="1" applyFill="1" applyBorder="1" applyAlignment="1">
      <alignment horizontal="left"/>
    </xf>
    <xf numFmtId="0" fontId="46" fillId="18" borderId="0" xfId="0" applyFont="1" applyFill="1" applyBorder="1" applyAlignment="1">
      <alignment horizontal="left"/>
    </xf>
    <xf numFmtId="0" fontId="46" fillId="18" borderId="5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1" fontId="7" fillId="0" borderId="46" xfId="0" applyNumberFormat="1" applyFont="1" applyBorder="1" applyAlignment="1" applyProtection="1" quotePrefix="1">
      <alignment horizontal="center"/>
      <protection/>
    </xf>
    <xf numFmtId="168" fontId="111" fillId="2" borderId="2" xfId="0" applyNumberFormat="1" applyFont="1" applyFill="1" applyBorder="1" applyAlignment="1" applyProtection="1">
      <alignment horizontal="center"/>
      <protection/>
    </xf>
    <xf numFmtId="168" fontId="111" fillId="18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8" fontId="7" fillId="0" borderId="24" xfId="0" applyNumberFormat="1" applyFont="1" applyBorder="1" applyAlignment="1" applyProtection="1">
      <alignment horizontal="centerContinuous"/>
      <protection/>
    </xf>
    <xf numFmtId="168" fontId="7" fillId="0" borderId="4" xfId="0" applyNumberFormat="1" applyFont="1" applyBorder="1" applyAlignment="1" applyProtection="1">
      <alignment horizontal="centerContinuous"/>
      <protection/>
    </xf>
    <xf numFmtId="164" fontId="37" fillId="2" borderId="2" xfId="0" applyNumberFormat="1" applyFont="1" applyFill="1" applyBorder="1" applyAlignment="1" applyProtection="1">
      <alignment horizontal="center"/>
      <protection/>
    </xf>
    <xf numFmtId="2" fontId="45" fillId="19" borderId="2" xfId="0" applyNumberFormat="1" applyFont="1" applyFill="1" applyBorder="1" applyAlignment="1">
      <alignment horizontal="center"/>
    </xf>
    <xf numFmtId="168" fontId="45" fillId="20" borderId="45" xfId="0" applyNumberFormat="1" applyFont="1" applyFill="1" applyBorder="1" applyAlignment="1" applyProtection="1" quotePrefix="1">
      <alignment horizontal="center"/>
      <protection/>
    </xf>
    <xf numFmtId="168" fontId="45" fillId="20" borderId="46" xfId="0" applyNumberFormat="1" applyFont="1" applyFill="1" applyBorder="1" applyAlignment="1" applyProtection="1" quotePrefix="1">
      <alignment horizontal="center"/>
      <protection/>
    </xf>
    <xf numFmtId="168" fontId="45" fillId="18" borderId="54" xfId="0" applyNumberFormat="1" applyFont="1" applyFill="1" applyBorder="1" applyAlignment="1" applyProtection="1" quotePrefix="1">
      <alignment horizontal="center"/>
      <protection/>
    </xf>
    <xf numFmtId="168" fontId="45" fillId="18" borderId="0" xfId="0" applyNumberFormat="1" applyFont="1" applyFill="1" applyBorder="1" applyAlignment="1" applyProtection="1" quotePrefix="1">
      <alignment horizontal="center"/>
      <protection/>
    </xf>
    <xf numFmtId="168" fontId="45" fillId="18" borderId="52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47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164" fontId="7" fillId="0" borderId="47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 quotePrefix="1">
      <alignment horizontal="center"/>
      <protection/>
    </xf>
    <xf numFmtId="168" fontId="111" fillId="2" borderId="3" xfId="0" applyNumberFormat="1" applyFont="1" applyFill="1" applyBorder="1" applyAlignment="1" applyProtection="1">
      <alignment horizontal="center"/>
      <protection/>
    </xf>
    <xf numFmtId="168" fontId="111" fillId="18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Continuous"/>
      <protection/>
    </xf>
    <xf numFmtId="168" fontId="7" fillId="0" borderId="20" xfId="0" applyNumberFormat="1" applyFont="1" applyBorder="1" applyAlignment="1" applyProtection="1">
      <alignment horizontal="centerContinuous"/>
      <protection/>
    </xf>
    <xf numFmtId="164" fontId="37" fillId="2" borderId="3" xfId="0" applyNumberFormat="1" applyFont="1" applyFill="1" applyBorder="1" applyAlignment="1" applyProtection="1">
      <alignment horizontal="center"/>
      <protection/>
    </xf>
    <xf numFmtId="2" fontId="46" fillId="19" borderId="3" xfId="0" applyNumberFormat="1" applyFont="1" applyFill="1" applyBorder="1" applyAlignment="1">
      <alignment horizontal="center"/>
    </xf>
    <xf numFmtId="168" fontId="46" fillId="20" borderId="48" xfId="0" applyNumberFormat="1" applyFont="1" applyFill="1" applyBorder="1" applyAlignment="1" applyProtection="1" quotePrefix="1">
      <alignment horizontal="center"/>
      <protection/>
    </xf>
    <xf numFmtId="168" fontId="46" fillId="20" borderId="49" xfId="0" applyNumberFormat="1" applyFont="1" applyFill="1" applyBorder="1" applyAlignment="1" applyProtection="1" quotePrefix="1">
      <alignment horizontal="center"/>
      <protection/>
    </xf>
    <xf numFmtId="168" fontId="46" fillId="3" borderId="3" xfId="0" applyNumberFormat="1" applyFont="1" applyFill="1" applyBorder="1" applyAlignment="1" applyProtection="1" quotePrefix="1">
      <alignment horizontal="center"/>
      <protection/>
    </xf>
    <xf numFmtId="168" fontId="46" fillId="18" borderId="18" xfId="0" applyNumberFormat="1" applyFont="1" applyFill="1" applyBorder="1" applyAlignment="1" applyProtection="1" quotePrefix="1">
      <alignment horizontal="center"/>
      <protection/>
    </xf>
    <xf numFmtId="168" fontId="46" fillId="18" borderId="21" xfId="0" applyNumberFormat="1" applyFont="1" applyFill="1" applyBorder="1" applyAlignment="1" applyProtection="1" quotePrefix="1">
      <alignment horizontal="center"/>
      <protection/>
    </xf>
    <xf numFmtId="168" fontId="46" fillId="18" borderId="20" xfId="0" applyNumberFormat="1" applyFont="1" applyFill="1" applyBorder="1" applyAlignment="1" applyProtection="1" quotePrefix="1">
      <alignment horizontal="center"/>
      <protection/>
    </xf>
    <xf numFmtId="168" fontId="7" fillId="0" borderId="20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5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7" fillId="0" borderId="0" xfId="0" applyNumberFormat="1" applyFont="1" applyBorder="1" applyAlignment="1" applyProtection="1">
      <alignment horizontal="left"/>
      <protection/>
    </xf>
    <xf numFmtId="168" fontId="57" fillId="0" borderId="0" xfId="0" applyNumberFormat="1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165" fontId="57" fillId="0" borderId="0" xfId="0" applyNumberFormat="1" applyFont="1" applyBorder="1" applyAlignment="1" applyProtection="1">
      <alignment horizontal="center"/>
      <protection/>
    </xf>
    <xf numFmtId="173" fontId="57" fillId="0" borderId="0" xfId="0" applyNumberFormat="1" applyFont="1" applyBorder="1" applyAlignment="1" applyProtection="1" quotePrefix="1">
      <alignment horizontal="center"/>
      <protection/>
    </xf>
    <xf numFmtId="0" fontId="57" fillId="0" borderId="0" xfId="0" applyFont="1" applyAlignment="1">
      <alignment/>
    </xf>
    <xf numFmtId="2" fontId="57" fillId="0" borderId="0" xfId="0" applyNumberFormat="1" applyFont="1" applyBorder="1" applyAlignment="1" applyProtection="1">
      <alignment horizontal="center"/>
      <protection/>
    </xf>
    <xf numFmtId="168" fontId="57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1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113" fillId="0" borderId="0" xfId="0" applyNumberFormat="1" applyFont="1" applyBorder="1" applyAlignment="1" applyProtection="1">
      <alignment horizontal="center"/>
      <protection/>
    </xf>
    <xf numFmtId="168" fontId="109" fillId="0" borderId="0" xfId="0" applyNumberFormat="1" applyFont="1" applyBorder="1" applyAlignment="1" applyProtection="1" quotePrefix="1">
      <alignment horizontal="center"/>
      <protection/>
    </xf>
    <xf numFmtId="4" fontId="109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70" fontId="22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7" fillId="0" borderId="0" xfId="0" applyNumberFormat="1" applyFont="1" applyBorder="1" applyAlignment="1" applyProtection="1">
      <alignment horizontal="centerContinuous"/>
      <protection/>
    </xf>
    <xf numFmtId="168" fontId="57" fillId="0" borderId="0" xfId="0" applyNumberFormat="1" applyFont="1" applyBorder="1" applyAlignment="1" applyProtection="1" quotePrefix="1">
      <alignment horizontal="left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168" fontId="57" fillId="0" borderId="0" xfId="0" applyNumberFormat="1" applyFont="1" applyBorder="1" applyAlignment="1" applyProtection="1" quotePrefix="1">
      <alignment horizontal="right"/>
      <protection/>
    </xf>
    <xf numFmtId="7" fontId="22" fillId="0" borderId="30" xfId="0" applyNumberFormat="1" applyFont="1" applyBorder="1" applyAlignment="1">
      <alignment horizontal="centerContinuous"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97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114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115" fillId="0" borderId="0" xfId="0" applyNumberFormat="1" applyFont="1" applyBorder="1" applyAlignment="1" applyProtection="1">
      <alignment horizontal="center" vertical="center"/>
      <protection/>
    </xf>
    <xf numFmtId="168" fontId="116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7" fillId="0" borderId="0" xfId="0" applyNumberFormat="1" applyFont="1" applyBorder="1" applyAlignment="1" applyProtection="1">
      <alignment horizontal="center"/>
      <protection/>
    </xf>
    <xf numFmtId="7" fontId="57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applyProtection="1">
      <alignment horizontal="left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7" fontId="57" fillId="0" borderId="30" xfId="0" applyNumberFormat="1" applyFont="1" applyFill="1" applyBorder="1" applyAlignment="1">
      <alignment horizontal="center"/>
    </xf>
    <xf numFmtId="0" fontId="58" fillId="0" borderId="0" xfId="0" applyFont="1" applyAlignment="1">
      <alignment horizontal="right" vertical="top"/>
    </xf>
    <xf numFmtId="1" fontId="0" fillId="0" borderId="62" xfId="0" applyNumberFormat="1" applyBorder="1" applyAlignment="1">
      <alignment horizontal="center"/>
    </xf>
    <xf numFmtId="0" fontId="10" fillId="0" borderId="63" xfId="0" applyFont="1" applyBorder="1" applyAlignment="1">
      <alignment horizontal="centerContinuous"/>
    </xf>
    <xf numFmtId="0" fontId="10" fillId="0" borderId="64" xfId="0" applyFont="1" applyBorder="1" applyAlignment="1">
      <alignment horizontal="centerContinuous"/>
    </xf>
    <xf numFmtId="174" fontId="10" fillId="0" borderId="65" xfId="0" applyNumberFormat="1" applyFont="1" applyBorder="1" applyAlignment="1">
      <alignment horizontal="center"/>
    </xf>
    <xf numFmtId="1" fontId="10" fillId="0" borderId="65" xfId="0" applyNumberFormat="1" applyFont="1" applyBorder="1" applyAlignment="1">
      <alignment horizontal="center"/>
    </xf>
    <xf numFmtId="0" fontId="10" fillId="0" borderId="66" xfId="0" applyFont="1" applyBorder="1" applyAlignment="1">
      <alignment horizontal="centerContinuous"/>
    </xf>
    <xf numFmtId="0" fontId="10" fillId="0" borderId="67" xfId="0" applyFont="1" applyBorder="1" applyAlignment="1">
      <alignment horizontal="centerContinuous"/>
    </xf>
    <xf numFmtId="174" fontId="10" fillId="0" borderId="68" xfId="0" applyNumberFormat="1" applyFont="1" applyBorder="1" applyAlignment="1">
      <alignment horizontal="center"/>
    </xf>
    <xf numFmtId="1" fontId="10" fillId="0" borderId="68" xfId="0" applyNumberFormat="1" applyFont="1" applyBorder="1" applyAlignment="1">
      <alignment horizontal="center"/>
    </xf>
    <xf numFmtId="0" fontId="10" fillId="0" borderId="69" xfId="0" applyFont="1" applyBorder="1" applyAlignment="1">
      <alignment horizontal="centerContinuous"/>
    </xf>
    <xf numFmtId="0" fontId="10" fillId="0" borderId="70" xfId="0" applyFont="1" applyBorder="1" applyAlignment="1">
      <alignment horizontal="centerContinuous"/>
    </xf>
    <xf numFmtId="174" fontId="10" fillId="0" borderId="71" xfId="0" applyNumberFormat="1" applyFont="1" applyFill="1" applyBorder="1" applyAlignment="1">
      <alignment horizontal="center"/>
    </xf>
    <xf numFmtId="1" fontId="10" fillId="0" borderId="71" xfId="0" applyNumberFormat="1" applyFont="1" applyFill="1" applyBorder="1" applyAlignment="1">
      <alignment horizontal="center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107" fillId="0" borderId="21" xfId="0" applyNumberFormat="1" applyFont="1" applyFill="1" applyBorder="1" applyAlignment="1" applyProtection="1">
      <alignment horizontal="center"/>
      <protection/>
    </xf>
    <xf numFmtId="2" fontId="92" fillId="0" borderId="21" xfId="0" applyNumberFormat="1" applyFont="1" applyFill="1" applyBorder="1" applyAlignment="1" applyProtection="1">
      <alignment horizontal="center"/>
      <protection/>
    </xf>
    <xf numFmtId="2" fontId="110" fillId="0" borderId="21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168" fontId="7" fillId="0" borderId="3" xfId="0" applyNumberFormat="1" applyFont="1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 quotePrefix="1">
      <alignment horizontal="center"/>
      <protection/>
    </xf>
    <xf numFmtId="22" fontId="7" fillId="0" borderId="25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46" fillId="4" borderId="2" xfId="0" applyNumberFormat="1" applyFont="1" applyFill="1" applyBorder="1" applyAlignment="1" applyProtection="1">
      <alignment horizontal="center"/>
      <protection/>
    </xf>
    <xf numFmtId="2" fontId="90" fillId="6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2" fillId="0" borderId="72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 quotePrefix="1">
      <alignment horizontal="center"/>
      <protection/>
    </xf>
    <xf numFmtId="168" fontId="37" fillId="2" borderId="47" xfId="0" applyNumberFormat="1" applyFont="1" applyFill="1" applyBorder="1" applyAlignment="1" applyProtection="1">
      <alignment horizontal="center"/>
      <protection/>
    </xf>
    <xf numFmtId="22" fontId="7" fillId="0" borderId="48" xfId="0" applyNumberFormat="1" applyFont="1" applyBorder="1" applyAlignment="1">
      <alignment horizontal="center"/>
    </xf>
    <xf numFmtId="22" fontId="7" fillId="0" borderId="47" xfId="0" applyNumberFormat="1" applyFont="1" applyBorder="1" applyAlignment="1" applyProtection="1">
      <alignment horizontal="center"/>
      <protection/>
    </xf>
    <xf numFmtId="2" fontId="7" fillId="0" borderId="47" xfId="0" applyNumberFormat="1" applyFont="1" applyFill="1" applyBorder="1" applyAlignment="1" applyProtection="1" quotePrefix="1">
      <alignment horizontal="center"/>
      <protection/>
    </xf>
    <xf numFmtId="164" fontId="7" fillId="0" borderId="47" xfId="0" applyNumberFormat="1" applyFont="1" applyFill="1" applyBorder="1" applyAlignment="1" applyProtection="1" quotePrefix="1">
      <alignment horizontal="center"/>
      <protection/>
    </xf>
    <xf numFmtId="168" fontId="7" fillId="0" borderId="73" xfId="0" applyNumberFormat="1" applyFont="1" applyBorder="1" applyAlignment="1" applyProtection="1">
      <alignment horizontal="center"/>
      <protection/>
    </xf>
    <xf numFmtId="168" fontId="7" fillId="0" borderId="72" xfId="0" applyNumberFormat="1" applyFont="1" applyBorder="1" applyAlignment="1" applyProtection="1">
      <alignment horizontal="center"/>
      <protection/>
    </xf>
    <xf numFmtId="164" fontId="46" fillId="4" borderId="47" xfId="0" applyNumberFormat="1" applyFont="1" applyFill="1" applyBorder="1" applyAlignment="1" applyProtection="1">
      <alignment horizontal="center"/>
      <protection/>
    </xf>
    <xf numFmtId="2" fontId="90" fillId="6" borderId="47" xfId="0" applyNumberFormat="1" applyFont="1" applyFill="1" applyBorder="1" applyAlignment="1">
      <alignment horizontal="center"/>
    </xf>
    <xf numFmtId="168" fontId="69" fillId="7" borderId="48" xfId="0" applyNumberFormat="1" applyFont="1" applyFill="1" applyBorder="1" applyAlignment="1" applyProtection="1" quotePrefix="1">
      <alignment horizontal="center"/>
      <protection/>
    </xf>
    <xf numFmtId="168" fontId="69" fillId="7" borderId="49" xfId="0" applyNumberFormat="1" applyFont="1" applyFill="1" applyBorder="1" applyAlignment="1" applyProtection="1" quotePrefix="1">
      <alignment horizontal="center"/>
      <protection/>
    </xf>
    <xf numFmtId="168" fontId="45" fillId="3" borderId="47" xfId="0" applyNumberFormat="1" applyFont="1" applyFill="1" applyBorder="1" applyAlignment="1" applyProtection="1" quotePrefix="1">
      <alignment horizontal="center"/>
      <protection/>
    </xf>
    <xf numFmtId="168" fontId="7" fillId="0" borderId="47" xfId="0" applyNumberFormat="1" applyFont="1" applyBorder="1" applyAlignment="1">
      <alignment horizontal="center"/>
    </xf>
    <xf numFmtId="4" fontId="29" fillId="0" borderId="47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10" fillId="0" borderId="0" xfId="0" applyNumberFormat="1" applyFont="1" applyBorder="1" applyAlignment="1" applyProtection="1">
      <alignment horizontal="center"/>
      <protection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98" fillId="21" borderId="14" xfId="0" applyNumberFormat="1" applyFont="1" applyFill="1" applyBorder="1" applyAlignment="1" applyProtection="1">
      <alignment horizontal="center" vertical="center"/>
      <protection/>
    </xf>
    <xf numFmtId="0" fontId="63" fillId="4" borderId="14" xfId="0" applyFont="1" applyFill="1" applyBorder="1" applyAlignment="1" applyProtection="1">
      <alignment horizontal="center" vertical="center"/>
      <protection/>
    </xf>
    <xf numFmtId="0" fontId="67" fillId="7" borderId="14" xfId="0" applyFont="1" applyFill="1" applyBorder="1" applyAlignment="1">
      <alignment horizontal="center" vertical="center" wrapText="1"/>
    </xf>
    <xf numFmtId="0" fontId="51" fillId="22" borderId="8" xfId="0" applyFont="1" applyFill="1" applyBorder="1" applyAlignment="1">
      <alignment horizontal="centerContinuous" vertical="center" wrapText="1"/>
    </xf>
    <xf numFmtId="0" fontId="117" fillId="22" borderId="15" xfId="0" applyFont="1" applyFill="1" applyBorder="1" applyAlignment="1">
      <alignment horizontal="centerContinuous"/>
    </xf>
    <xf numFmtId="0" fontId="51" fillId="22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99" fillId="21" borderId="2" xfId="0" applyFont="1" applyFill="1" applyBorder="1" applyAlignment="1">
      <alignment/>
    </xf>
    <xf numFmtId="0" fontId="64" fillId="4" borderId="2" xfId="0" applyFont="1" applyFill="1" applyBorder="1" applyAlignment="1">
      <alignment/>
    </xf>
    <xf numFmtId="0" fontId="118" fillId="3" borderId="2" xfId="0" applyFont="1" applyFill="1" applyBorder="1" applyAlignment="1">
      <alignment/>
    </xf>
    <xf numFmtId="0" fontId="68" fillId="7" borderId="4" xfId="0" applyFont="1" applyFill="1" applyBorder="1" applyAlignment="1">
      <alignment/>
    </xf>
    <xf numFmtId="168" fontId="9" fillId="2" borderId="25" xfId="0" applyNumberFormat="1" applyFont="1" applyFill="1" applyBorder="1" applyAlignment="1" applyProtection="1" quotePrefix="1">
      <alignment horizontal="center"/>
      <protection/>
    </xf>
    <xf numFmtId="168" fontId="9" fillId="2" borderId="28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119" fillId="22" borderId="25" xfId="0" applyNumberFormat="1" applyFont="1" applyFill="1" applyBorder="1" applyAlignment="1" applyProtection="1" quotePrefix="1">
      <alignment horizontal="center"/>
      <protection/>
    </xf>
    <xf numFmtId="168" fontId="119" fillId="22" borderId="28" xfId="0" applyNumberFormat="1" applyFont="1" applyFill="1" applyBorder="1" applyAlignment="1" applyProtection="1" quotePrefix="1">
      <alignment horizontal="center"/>
      <protection/>
    </xf>
    <xf numFmtId="4" fontId="119" fillId="22" borderId="4" xfId="0" applyNumberFormat="1" applyFont="1" applyFill="1" applyBorder="1" applyAlignment="1" applyProtection="1">
      <alignment horizontal="center"/>
      <protection/>
    </xf>
    <xf numFmtId="0" fontId="99" fillId="21" borderId="2" xfId="0" applyFont="1" applyFill="1" applyBorder="1" applyAlignment="1" applyProtection="1">
      <alignment horizontal="center"/>
      <protection/>
    </xf>
    <xf numFmtId="174" fontId="64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9" xfId="0" applyNumberFormat="1" applyFont="1" applyFill="1" applyBorder="1" applyAlignment="1" applyProtection="1">
      <alignment horizontal="center"/>
      <protection locked="0"/>
    </xf>
    <xf numFmtId="2" fontId="48" fillId="3" borderId="2" xfId="0" applyNumberFormat="1" applyFont="1" applyFill="1" applyBorder="1" applyAlignment="1" applyProtection="1">
      <alignment horizontal="center"/>
      <protection locked="0"/>
    </xf>
    <xf numFmtId="2" fontId="69" fillId="7" borderId="4" xfId="0" applyNumberFormat="1" applyFont="1" applyFill="1" applyBorder="1" applyAlignment="1" applyProtection="1">
      <alignment horizontal="center"/>
      <protection locked="0"/>
    </xf>
    <xf numFmtId="168" fontId="52" fillId="22" borderId="25" xfId="0" applyNumberFormat="1" applyFont="1" applyFill="1" applyBorder="1" applyAlignment="1" applyProtection="1" quotePrefix="1">
      <alignment horizontal="center"/>
      <protection locked="0"/>
    </xf>
    <xf numFmtId="168" fontId="52" fillId="22" borderId="28" xfId="0" applyNumberFormat="1" applyFont="1" applyFill="1" applyBorder="1" applyAlignment="1" applyProtection="1" quotePrefix="1">
      <alignment horizontal="center"/>
      <protection locked="0"/>
    </xf>
    <xf numFmtId="4" fontId="52" fillId="22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4" applyFont="1" applyFill="1" applyBorder="1" applyAlignment="1" applyProtection="1">
      <alignment horizontal="center"/>
      <protection locked="0"/>
    </xf>
    <xf numFmtId="164" fontId="7" fillId="0" borderId="2" xfId="24" applyNumberFormat="1" applyFont="1" applyFill="1" applyBorder="1" applyAlignment="1" applyProtection="1">
      <alignment horizontal="center"/>
      <protection locked="0"/>
    </xf>
    <xf numFmtId="22" fontId="7" fillId="0" borderId="4" xfId="24" applyNumberFormat="1" applyFont="1" applyFill="1" applyBorder="1" applyAlignment="1" applyProtection="1">
      <alignment horizontal="center"/>
      <protection locked="0"/>
    </xf>
    <xf numFmtId="22" fontId="7" fillId="0" borderId="24" xfId="24" applyNumberFormat="1" applyFont="1" applyFill="1" applyBorder="1" applyAlignment="1" applyProtection="1">
      <alignment horizontal="center"/>
      <protection locked="0"/>
    </xf>
    <xf numFmtId="0" fontId="99" fillId="21" borderId="3" xfId="0" applyFont="1" applyFill="1" applyBorder="1" applyAlignment="1" applyProtection="1">
      <alignment horizontal="center"/>
      <protection/>
    </xf>
    <xf numFmtId="174" fontId="64" fillId="4" borderId="3" xfId="0" applyNumberFormat="1" applyFont="1" applyFill="1" applyBorder="1" applyAlignment="1" applyProtection="1">
      <alignment horizontal="center"/>
      <protection/>
    </xf>
    <xf numFmtId="2" fontId="118" fillId="3" borderId="3" xfId="0" applyNumberFormat="1" applyFont="1" applyFill="1" applyBorder="1" applyAlignment="1" applyProtection="1">
      <alignment horizontal="center"/>
      <protection locked="0"/>
    </xf>
    <xf numFmtId="2" fontId="69" fillId="7" borderId="3" xfId="0" applyNumberFormat="1" applyFont="1" applyFill="1" applyBorder="1" applyAlignment="1" applyProtection="1">
      <alignment horizontal="center"/>
      <protection locked="0"/>
    </xf>
    <xf numFmtId="168" fontId="52" fillId="22" borderId="31" xfId="0" applyNumberFormat="1" applyFont="1" applyFill="1" applyBorder="1" applyAlignment="1" applyProtection="1" quotePrefix="1">
      <alignment horizontal="center"/>
      <protection locked="0"/>
    </xf>
    <xf numFmtId="168" fontId="52" fillId="22" borderId="32" xfId="0" applyNumberFormat="1" applyFont="1" applyFill="1" applyBorder="1" applyAlignment="1" applyProtection="1" quotePrefix="1">
      <alignment horizontal="center"/>
      <protection locked="0"/>
    </xf>
    <xf numFmtId="4" fontId="52" fillId="22" borderId="33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8" fillId="3" borderId="14" xfId="0" applyNumberFormat="1" applyFont="1" applyFill="1" applyBorder="1" applyAlignment="1" applyProtection="1">
      <alignment horizontal="center"/>
      <protection/>
    </xf>
    <xf numFmtId="2" fontId="69" fillId="7" borderId="14" xfId="0" applyNumberFormat="1" applyFont="1" applyFill="1" applyBorder="1" applyAlignment="1" applyProtection="1">
      <alignment horizontal="center"/>
      <protection/>
    </xf>
    <xf numFmtId="2" fontId="38" fillId="2" borderId="14" xfId="0" applyNumberFormat="1" applyFont="1" applyFill="1" applyBorder="1" applyAlignment="1" applyProtection="1">
      <alignment horizontal="center"/>
      <protection/>
    </xf>
    <xf numFmtId="2" fontId="52" fillId="22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99" fillId="0" borderId="17" xfId="0" applyFont="1" applyFill="1" applyBorder="1" applyAlignment="1">
      <alignment/>
    </xf>
    <xf numFmtId="0" fontId="64" fillId="0" borderId="17" xfId="0" applyFont="1" applyFill="1" applyBorder="1" applyAlignment="1">
      <alignment/>
    </xf>
    <xf numFmtId="0" fontId="118" fillId="0" borderId="17" xfId="0" applyFont="1" applyFill="1" applyBorder="1" applyAlignment="1">
      <alignment/>
    </xf>
    <xf numFmtId="0" fontId="68" fillId="0" borderId="17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19" fillId="0" borderId="26" xfId="0" applyFont="1" applyFill="1" applyBorder="1" applyAlignment="1">
      <alignment/>
    </xf>
    <xf numFmtId="0" fontId="119" fillId="0" borderId="74" xfId="0" applyFont="1" applyFill="1" applyBorder="1" applyAlignment="1">
      <alignment/>
    </xf>
    <xf numFmtId="0" fontId="119" fillId="0" borderId="41" xfId="0" applyFont="1" applyFill="1" applyBorder="1" applyAlignment="1">
      <alignment/>
    </xf>
    <xf numFmtId="0" fontId="80" fillId="0" borderId="17" xfId="0" applyFont="1" applyFill="1" applyBorder="1" applyAlignment="1">
      <alignment/>
    </xf>
    <xf numFmtId="0" fontId="81" fillId="0" borderId="17" xfId="0" applyFont="1" applyFill="1" applyBorder="1" applyAlignment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17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4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170" fontId="7" fillId="0" borderId="17" xfId="0" applyNumberFormat="1" applyFont="1" applyBorder="1" applyAlignment="1">
      <alignment/>
    </xf>
    <xf numFmtId="0" fontId="7" fillId="0" borderId="2" xfId="21" applyFont="1" applyBorder="1" applyAlignment="1" applyProtection="1">
      <alignment horizontal="center"/>
      <protection locked="0"/>
    </xf>
    <xf numFmtId="0" fontId="12" fillId="0" borderId="44" xfId="0" applyFont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17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 applyProtection="1">
      <alignment horizontal="center"/>
      <protection/>
    </xf>
    <xf numFmtId="1" fontId="7" fillId="0" borderId="46" xfId="0" applyNumberFormat="1" applyFont="1" applyBorder="1" applyAlignment="1" applyProtection="1">
      <alignment horizontal="center"/>
      <protection locked="0"/>
    </xf>
    <xf numFmtId="0" fontId="22" fillId="0" borderId="15" xfId="0" applyFont="1" applyBorder="1" applyAlignment="1">
      <alignment/>
    </xf>
    <xf numFmtId="0" fontId="7" fillId="0" borderId="9" xfId="0" applyFont="1" applyFill="1" applyBorder="1" applyAlignment="1" applyProtection="1">
      <alignment horizontal="center"/>
      <protection/>
    </xf>
    <xf numFmtId="0" fontId="22" fillId="0" borderId="9" xfId="0" applyFont="1" applyBorder="1" applyAlignment="1">
      <alignment horizontal="left"/>
    </xf>
    <xf numFmtId="4" fontId="7" fillId="0" borderId="14" xfId="0" applyNumberFormat="1" applyFont="1" applyFill="1" applyBorder="1" applyAlignment="1">
      <alignment horizontal="center"/>
    </xf>
    <xf numFmtId="0" fontId="27" fillId="0" borderId="14" xfId="0" applyFont="1" applyFill="1" applyBorder="1" applyAlignment="1" applyProtection="1" quotePrefix="1">
      <alignment horizontal="centerContinuous" vertical="center" wrapText="1"/>
      <protection/>
    </xf>
    <xf numFmtId="0" fontId="27" fillId="0" borderId="14" xfId="0" applyFont="1" applyFill="1" applyBorder="1" applyAlignment="1">
      <alignment horizontal="centerContinuous" vertical="center" wrapText="1"/>
    </xf>
    <xf numFmtId="164" fontId="7" fillId="0" borderId="22" xfId="0" applyNumberFormat="1" applyFont="1" applyFill="1" applyBorder="1" applyAlignment="1" applyProtection="1">
      <alignment horizontal="centerContinuous"/>
      <protection/>
    </xf>
    <xf numFmtId="168" fontId="57" fillId="0" borderId="0" xfId="0" applyNumberFormat="1" applyFont="1" applyBorder="1" applyAlignment="1" applyProtection="1">
      <alignment horizontal="left"/>
      <protection/>
    </xf>
    <xf numFmtId="183" fontId="0" fillId="0" borderId="0" xfId="0" applyNumberFormat="1" applyAlignment="1">
      <alignment/>
    </xf>
    <xf numFmtId="0" fontId="7" fillId="0" borderId="30" xfId="0" applyFont="1" applyFill="1" applyBorder="1" applyAlignment="1">
      <alignment horizontal="center"/>
    </xf>
    <xf numFmtId="164" fontId="7" fillId="0" borderId="4" xfId="0" applyNumberFormat="1" applyFont="1" applyFill="1" applyBorder="1" applyAlignment="1" applyProtection="1">
      <alignment horizontal="centerContinuous"/>
      <protection/>
    </xf>
    <xf numFmtId="0" fontId="7" fillId="0" borderId="24" xfId="0" applyFont="1" applyFill="1" applyBorder="1" applyAlignment="1">
      <alignment horizontal="center"/>
    </xf>
    <xf numFmtId="0" fontId="37" fillId="2" borderId="2" xfId="0" applyFont="1" applyFill="1" applyBorder="1" applyAlignment="1">
      <alignment horizontal="center"/>
    </xf>
    <xf numFmtId="0" fontId="46" fillId="19" borderId="2" xfId="0" applyFont="1" applyFill="1" applyBorder="1" applyAlignment="1">
      <alignment horizontal="center"/>
    </xf>
    <xf numFmtId="0" fontId="46" fillId="20" borderId="25" xfId="0" applyFont="1" applyFill="1" applyBorder="1" applyAlignment="1">
      <alignment horizontal="center"/>
    </xf>
    <xf numFmtId="0" fontId="46" fillId="20" borderId="53" xfId="0" applyFont="1" applyFill="1" applyBorder="1" applyAlignment="1">
      <alignment horizontal="left"/>
    </xf>
    <xf numFmtId="0" fontId="46" fillId="3" borderId="2" xfId="0" applyFont="1" applyFill="1" applyBorder="1" applyAlignment="1">
      <alignment horizontal="left"/>
    </xf>
    <xf numFmtId="183" fontId="22" fillId="0" borderId="0" xfId="0" applyNumberFormat="1" applyFont="1" applyBorder="1" applyAlignment="1" applyProtection="1">
      <alignment horizontal="center"/>
      <protection/>
    </xf>
    <xf numFmtId="0" fontId="122" fillId="0" borderId="0" xfId="0" applyFont="1" applyAlignment="1">
      <alignment/>
    </xf>
    <xf numFmtId="0" fontId="122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7" fillId="0" borderId="55" xfId="0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0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1" fillId="0" borderId="0" xfId="0" applyFont="1" applyAlignment="1">
      <alignment/>
    </xf>
    <xf numFmtId="0" fontId="121" fillId="0" borderId="0" xfId="0" applyFont="1" applyAlignment="1">
      <alignment horizontal="centerContinuous"/>
    </xf>
    <xf numFmtId="0" fontId="122" fillId="0" borderId="0" xfId="0" applyFont="1" applyAlignment="1">
      <alignment horizontal="centerContinuous"/>
    </xf>
    <xf numFmtId="0" fontId="1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6" xfId="0" applyFont="1" applyBorder="1" applyAlignment="1">
      <alignment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" fontId="27" fillId="0" borderId="14" xfId="0" applyNumberFormat="1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3" fillId="0" borderId="7" xfId="0" applyFont="1" applyBorder="1" applyAlignment="1">
      <alignment vertical="center"/>
    </xf>
    <xf numFmtId="0" fontId="123" fillId="0" borderId="24" xfId="0" applyFont="1" applyBorder="1" applyAlignment="1">
      <alignment vertical="center"/>
    </xf>
    <xf numFmtId="0" fontId="123" fillId="0" borderId="2" xfId="0" applyFont="1" applyBorder="1" applyAlignment="1">
      <alignment vertical="center"/>
    </xf>
    <xf numFmtId="0" fontId="123" fillId="23" borderId="2" xfId="0" applyFont="1" applyFill="1" applyBorder="1" applyAlignment="1">
      <alignment vertical="center"/>
    </xf>
    <xf numFmtId="0" fontId="123" fillId="0" borderId="1" xfId="0" applyFont="1" applyBorder="1" applyAlignment="1">
      <alignment vertical="center"/>
    </xf>
    <xf numFmtId="0" fontId="123" fillId="1" borderId="25" xfId="0" applyFont="1" applyFill="1" applyBorder="1" applyAlignment="1">
      <alignment horizontal="center" vertical="center"/>
    </xf>
    <xf numFmtId="0" fontId="123" fillId="1" borderId="2" xfId="0" applyFont="1" applyFill="1" applyBorder="1" applyAlignment="1">
      <alignment horizontal="center" vertical="center"/>
    </xf>
    <xf numFmtId="0" fontId="123" fillId="23" borderId="19" xfId="0" applyFont="1" applyFill="1" applyBorder="1" applyAlignment="1">
      <alignment horizontal="center" vertical="center"/>
    </xf>
    <xf numFmtId="0" fontId="123" fillId="0" borderId="45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123" fillId="1" borderId="45" xfId="0" applyFont="1" applyFill="1" applyBorder="1" applyAlignment="1">
      <alignment horizontal="center" vertical="center"/>
    </xf>
    <xf numFmtId="0" fontId="123" fillId="1" borderId="19" xfId="0" applyFont="1" applyFill="1" applyBorder="1" applyAlignment="1">
      <alignment horizontal="center" vertical="center"/>
    </xf>
    <xf numFmtId="0" fontId="123" fillId="0" borderId="48" xfId="0" applyFont="1" applyBorder="1" applyAlignment="1">
      <alignment horizontal="center" vertical="center"/>
    </xf>
    <xf numFmtId="0" fontId="123" fillId="0" borderId="47" xfId="0" applyFont="1" applyBorder="1" applyAlignment="1">
      <alignment horizontal="center" vertical="center"/>
    </xf>
    <xf numFmtId="0" fontId="123" fillId="23" borderId="47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vertical="center"/>
    </xf>
    <xf numFmtId="0" fontId="124" fillId="0" borderId="0" xfId="0" applyFont="1" applyFill="1" applyBorder="1" applyAlignment="1">
      <alignment horizontal="right" vertical="center"/>
    </xf>
    <xf numFmtId="170" fontId="124" fillId="0" borderId="14" xfId="0" applyNumberFormat="1" applyFont="1" applyFill="1" applyBorder="1" applyAlignment="1">
      <alignment horizontal="center" vertical="center"/>
    </xf>
    <xf numFmtId="0" fontId="123" fillId="0" borderId="8" xfId="0" applyFont="1" applyFill="1" applyBorder="1" applyAlignment="1">
      <alignment horizontal="center" vertical="center"/>
    </xf>
    <xf numFmtId="0" fontId="123" fillId="0" borderId="15" xfId="0" applyFont="1" applyFill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/>
    </xf>
    <xf numFmtId="0" fontId="123" fillId="0" borderId="0" xfId="0" applyFont="1" applyBorder="1" applyAlignment="1">
      <alignment horizontal="right" vertical="center"/>
    </xf>
    <xf numFmtId="0" fontId="124" fillId="0" borderId="0" xfId="0" applyFont="1" applyBorder="1" applyAlignment="1">
      <alignment horizontal="right" vertical="center"/>
    </xf>
    <xf numFmtId="0" fontId="123" fillId="0" borderId="14" xfId="0" applyFont="1" applyBorder="1" applyAlignment="1">
      <alignment horizontal="center" vertical="center"/>
    </xf>
    <xf numFmtId="2" fontId="124" fillId="23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3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5" fillId="23" borderId="62" xfId="0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Continuous"/>
    </xf>
    <xf numFmtId="164" fontId="0" fillId="0" borderId="9" xfId="0" applyNumberFormat="1" applyFont="1" applyFill="1" applyBorder="1" applyAlignment="1" applyProtection="1">
      <alignment horizontal="center"/>
      <protection/>
    </xf>
    <xf numFmtId="0" fontId="7" fillId="9" borderId="19" xfId="0" applyFont="1" applyFill="1" applyBorder="1" applyAlignment="1">
      <alignment horizontal="center"/>
    </xf>
    <xf numFmtId="164" fontId="46" fillId="5" borderId="2" xfId="0" applyNumberFormat="1" applyFont="1" applyFill="1" applyBorder="1" applyAlignment="1" applyProtection="1">
      <alignment horizontal="center"/>
      <protection locked="0"/>
    </xf>
    <xf numFmtId="168" fontId="7" fillId="0" borderId="4" xfId="0" applyNumberFormat="1" applyFont="1" applyFill="1" applyBorder="1" applyAlignment="1" applyProtection="1">
      <alignment horizontal="center"/>
      <protection locked="0"/>
    </xf>
    <xf numFmtId="164" fontId="46" fillId="5" borderId="3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>
      <alignment/>
    </xf>
    <xf numFmtId="7" fontId="18" fillId="0" borderId="0" xfId="0" applyNumberFormat="1" applyFont="1" applyBorder="1" applyAlignment="1" applyProtection="1">
      <alignment horizontal="left"/>
      <protection/>
    </xf>
    <xf numFmtId="0" fontId="48" fillId="15" borderId="42" xfId="0" applyFont="1" applyFill="1" applyBorder="1" applyAlignment="1">
      <alignment horizontal="center"/>
    </xf>
    <xf numFmtId="0" fontId="48" fillId="15" borderId="43" xfId="0" applyFont="1" applyFill="1" applyBorder="1" applyAlignment="1">
      <alignment horizontal="center"/>
    </xf>
    <xf numFmtId="164" fontId="37" fillId="2" borderId="29" xfId="0" applyNumberFormat="1" applyFont="1" applyFill="1" applyBorder="1" applyAlignment="1" applyProtection="1">
      <alignment horizontal="center"/>
      <protection locked="0"/>
    </xf>
    <xf numFmtId="223" fontId="126" fillId="0" borderId="0" xfId="0" applyNumberFormat="1" applyFont="1" applyAlignment="1">
      <alignment/>
    </xf>
    <xf numFmtId="2" fontId="50" fillId="8" borderId="19" xfId="0" applyNumberFormat="1" applyFont="1" applyFill="1" applyBorder="1" applyAlignment="1" applyProtection="1">
      <alignment horizontal="center"/>
      <protection locked="0"/>
    </xf>
    <xf numFmtId="2" fontId="89" fillId="7" borderId="19" xfId="0" applyNumberFormat="1" applyFont="1" applyFill="1" applyBorder="1" applyAlignment="1">
      <alignment horizontal="center"/>
    </xf>
    <xf numFmtId="168" fontId="70" fillId="0" borderId="0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55" xfId="0" applyFont="1" applyBorder="1" applyAlignment="1" applyProtection="1" quotePrefix="1">
      <alignment horizontal="center"/>
      <protection locked="0"/>
    </xf>
    <xf numFmtId="0" fontId="7" fillId="0" borderId="44" xfId="0" applyFont="1" applyBorder="1" applyAlignment="1" applyProtection="1" quotePrefix="1">
      <alignment horizontal="center"/>
      <protection locked="0"/>
    </xf>
    <xf numFmtId="7" fontId="10" fillId="0" borderId="30" xfId="0" applyNumberFormat="1" applyFont="1" applyFill="1" applyBorder="1" applyAlignment="1">
      <alignment horizontal="center"/>
    </xf>
    <xf numFmtId="7" fontId="10" fillId="0" borderId="0" xfId="0" applyNumberFormat="1" applyFont="1" applyFill="1" applyBorder="1" applyAlignment="1">
      <alignment horizontal="center"/>
    </xf>
    <xf numFmtId="0" fontId="12" fillId="0" borderId="72" xfId="0" applyFont="1" applyBorder="1" applyAlignment="1" applyProtection="1">
      <alignment horizontal="center"/>
      <protection/>
    </xf>
    <xf numFmtId="0" fontId="12" fillId="0" borderId="73" xfId="0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12" fillId="0" borderId="55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EDENOR9604" xfId="22"/>
    <cellStyle name="Normal_líneas" xfId="23"/>
    <cellStyle name="Normal_TRAN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9525</xdr:rowOff>
    </xdr:from>
    <xdr:to>
      <xdr:col>1</xdr:col>
      <xdr:colOff>257175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5143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3409950"/>
          <a:ext cx="2847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247650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048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IGLES~1\CONFIG~1\Temp\notesB91BDD\F0907NERc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907"/>
      <sheetName val="LI-09 (1)"/>
      <sheetName val="TR-09 (1)"/>
      <sheetName val="SA-09 (1)"/>
      <sheetName val="RE-09 (3)"/>
      <sheetName val="RE-09 (4)"/>
      <sheetName val="RE-09 (1)"/>
      <sheetName val="RE-09 (2)"/>
      <sheetName val="RE-YACY-09 (1)"/>
      <sheetName val="LI-LITSA-09 (1)"/>
      <sheetName val="TR-LITSA-09 (1)"/>
      <sheetName val="SA-TIBA-09 (1)"/>
      <sheetName val="SA-ENECOR-09 (1)"/>
      <sheetName val="SA-09 (2)"/>
      <sheetName val="SU (YACYLEC)"/>
      <sheetName val="SUP-LITSA"/>
      <sheetName val="SUP-TIBA"/>
      <sheetName val="SUP-ENECOR"/>
      <sheetName val="DATO"/>
    </sheetNames>
    <sheetDataSet>
      <sheetData sheetId="0">
        <row r="2">
          <cell r="B2" t="str">
            <v>ANEXO a la Resolución D.T.E.E. N°          /</v>
          </cell>
        </row>
        <row r="14">
          <cell r="B14" t="str">
            <v>Desde el 01 al 30 de septiembre de 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FD15">
            <v>38930</v>
          </cell>
          <cell r="FE15">
            <v>38961</v>
          </cell>
          <cell r="FF15">
            <v>38991</v>
          </cell>
          <cell r="FG15">
            <v>39022</v>
          </cell>
          <cell r="FH15">
            <v>39052</v>
          </cell>
          <cell r="FI15">
            <v>39083</v>
          </cell>
          <cell r="FJ15">
            <v>39114</v>
          </cell>
          <cell r="FK15">
            <v>39142</v>
          </cell>
          <cell r="FL15">
            <v>39173</v>
          </cell>
          <cell r="FM15">
            <v>39203</v>
          </cell>
          <cell r="FN15">
            <v>39234</v>
          </cell>
          <cell r="FO15">
            <v>39264</v>
          </cell>
          <cell r="FP15">
            <v>39295</v>
          </cell>
          <cell r="FQ15">
            <v>39326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FE17">
            <v>1</v>
          </cell>
          <cell r="FK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FE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FL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FE24">
            <v>1</v>
          </cell>
          <cell r="FP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FK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FM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FM44">
            <v>1</v>
          </cell>
          <cell r="FO44">
            <v>1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FP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FD46" t="str">
            <v>XXXX</v>
          </cell>
          <cell r="FE46" t="str">
            <v>XXXX</v>
          </cell>
          <cell r="FF46" t="str">
            <v>XXXX</v>
          </cell>
          <cell r="FG46" t="str">
            <v>XXXX</v>
          </cell>
          <cell r="FH46" t="str">
            <v>XXXX</v>
          </cell>
          <cell r="FI46" t="str">
            <v>XXXX</v>
          </cell>
          <cell r="FJ46" t="str">
            <v>XXXX</v>
          </cell>
          <cell r="FK46" t="str">
            <v>XXXX</v>
          </cell>
          <cell r="FM46" t="str">
            <v>XXXX</v>
          </cell>
          <cell r="FN46" t="str">
            <v>XXXX</v>
          </cell>
          <cell r="FO46" t="str">
            <v>XXXX</v>
          </cell>
          <cell r="FP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FG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FG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  <cell r="FO52">
            <v>1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FD54" t="str">
            <v>XXXX</v>
          </cell>
          <cell r="FE54" t="str">
            <v>XXXX</v>
          </cell>
          <cell r="FF54" t="str">
            <v>XXXX</v>
          </cell>
          <cell r="FG54" t="str">
            <v>XXXX</v>
          </cell>
          <cell r="FH54" t="str">
            <v>XXXX</v>
          </cell>
          <cell r="FI54" t="str">
            <v>XXXX</v>
          </cell>
          <cell r="FJ54" t="str">
            <v>XXXX</v>
          </cell>
          <cell r="FK54" t="str">
            <v>XXXX</v>
          </cell>
          <cell r="FM54" t="str">
            <v>XXXX</v>
          </cell>
          <cell r="FN54" t="str">
            <v>XXXX</v>
          </cell>
          <cell r="FO54" t="str">
            <v>XXXX</v>
          </cell>
          <cell r="FP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  <cell r="FP55">
            <v>2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FD57" t="str">
            <v>XXXX</v>
          </cell>
          <cell r="FE57" t="str">
            <v>XXXX</v>
          </cell>
          <cell r="FF57" t="str">
            <v>XXXX</v>
          </cell>
          <cell r="FG57" t="str">
            <v>XXXX</v>
          </cell>
          <cell r="FH57" t="str">
            <v>XXXX</v>
          </cell>
          <cell r="FI57" t="str">
            <v>XXXX</v>
          </cell>
          <cell r="FJ57" t="str">
            <v>XXXX</v>
          </cell>
          <cell r="FK57" t="str">
            <v>XXXX</v>
          </cell>
          <cell r="FL57" t="str">
            <v>XXXX</v>
          </cell>
          <cell r="FM57" t="str">
            <v>XXXX</v>
          </cell>
          <cell r="FN57" t="str">
            <v>XXXX</v>
          </cell>
          <cell r="FO57" t="str">
            <v>XXXX</v>
          </cell>
          <cell r="FP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FG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FF62">
            <v>1</v>
          </cell>
          <cell r="FG62">
            <v>2</v>
          </cell>
          <cell r="FI62">
            <v>1</v>
          </cell>
          <cell r="FM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  <cell r="FO63">
            <v>1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FD65">
            <v>2</v>
          </cell>
          <cell r="FK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  <cell r="FD66">
            <v>1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  <cell r="FM68">
            <v>1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FH69">
            <v>1</v>
          </cell>
          <cell r="FI69">
            <v>1</v>
          </cell>
          <cell r="FO69">
            <v>2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FN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FH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FH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FH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  <cell r="FH77">
            <v>1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FK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FD87" t="str">
            <v>XXXX</v>
          </cell>
          <cell r="FE87" t="str">
            <v>XXXX</v>
          </cell>
          <cell r="FF87" t="str">
            <v>XXXX</v>
          </cell>
          <cell r="FG87" t="str">
            <v>XXXX</v>
          </cell>
          <cell r="FH87" t="str">
            <v>XXXX</v>
          </cell>
          <cell r="FI87" t="str">
            <v>XXXX</v>
          </cell>
          <cell r="FJ87" t="str">
            <v>XXXX</v>
          </cell>
          <cell r="FK87" t="str">
            <v>XXXX</v>
          </cell>
          <cell r="FL87" t="str">
            <v>XXXX</v>
          </cell>
          <cell r="FM87" t="str">
            <v>XXXX</v>
          </cell>
          <cell r="FN87" t="str">
            <v>XXXX</v>
          </cell>
          <cell r="FO87" t="str">
            <v>XXXX</v>
          </cell>
          <cell r="FP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FD100">
            <v>0.43</v>
          </cell>
          <cell r="FE100">
            <v>0.43</v>
          </cell>
          <cell r="FF100">
            <v>0.46</v>
          </cell>
          <cell r="FG100">
            <v>0.41</v>
          </cell>
          <cell r="FH100">
            <v>0.44</v>
          </cell>
          <cell r="FI100">
            <v>0.46</v>
          </cell>
          <cell r="FJ100">
            <v>0.44</v>
          </cell>
          <cell r="FK100">
            <v>0.38</v>
          </cell>
          <cell r="FL100">
            <v>0.37</v>
          </cell>
          <cell r="FM100">
            <v>0.38</v>
          </cell>
          <cell r="FN100">
            <v>0.38</v>
          </cell>
          <cell r="FO100">
            <v>0.35</v>
          </cell>
          <cell r="FP100">
            <v>0.37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55"/>
  <sheetViews>
    <sheetView tabSelected="1" zoomScale="75" zoomScaleNormal="75" workbookViewId="0" topLeftCell="C1">
      <selection activeCell="A11" sqref="A11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20.28125" style="5" customWidth="1"/>
    <col min="10" max="10" width="30.57421875" style="5" bestFit="1" customWidth="1"/>
    <col min="11" max="11" width="12.28125" style="5" customWidth="1"/>
    <col min="12" max="12" width="15.7109375" style="5" customWidth="1"/>
    <col min="13" max="14" width="11.421875" style="5" customWidth="1"/>
    <col min="15" max="15" width="14.140625" style="5" customWidth="1"/>
    <col min="16" max="16" width="11.421875" style="5" customWidth="1"/>
    <col min="17" max="17" width="14.7109375" style="5" customWidth="1"/>
    <col min="18" max="18" width="11.421875" style="5" customWidth="1"/>
    <col min="19" max="19" width="12.00390625" style="5" customWidth="1"/>
    <col min="20" max="16384" width="11.421875" style="5" customWidth="1"/>
  </cols>
  <sheetData>
    <row r="1" spans="1:12" s="19" customFormat="1" ht="26.25">
      <c r="A1" s="1034"/>
      <c r="B1" s="20"/>
      <c r="E1" s="55"/>
      <c r="L1" s="158"/>
    </row>
    <row r="2" spans="2:11" s="19" customFormat="1" ht="26.25">
      <c r="B2" s="20" t="s">
        <v>321</v>
      </c>
      <c r="C2" s="21"/>
      <c r="D2" s="22"/>
      <c r="E2" s="22"/>
      <c r="F2" s="22"/>
      <c r="G2" s="22"/>
      <c r="H2" s="22"/>
      <c r="I2" s="22"/>
      <c r="J2" s="22"/>
      <c r="K2" s="22"/>
    </row>
    <row r="3" spans="3:20" ht="12.75">
      <c r="C3"/>
      <c r="D3" s="23"/>
      <c r="E3" s="23"/>
      <c r="F3" s="23"/>
      <c r="G3" s="23"/>
      <c r="H3" s="23"/>
      <c r="I3" s="23"/>
      <c r="J3" s="23"/>
      <c r="K3" s="23"/>
      <c r="Q3" s="4"/>
      <c r="R3" s="4"/>
      <c r="S3" s="4"/>
      <c r="T3" s="4"/>
    </row>
    <row r="4" spans="1:20" s="26" customFormat="1" ht="11.25">
      <c r="A4" s="24" t="s">
        <v>2</v>
      </c>
      <c r="B4" s="25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26" customFormat="1" ht="11.25">
      <c r="A5" s="24" t="s">
        <v>3</v>
      </c>
      <c r="B5" s="2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2:20" s="19" customFormat="1" ht="11.25" customHeight="1">
      <c r="B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s="30" customFormat="1" ht="21">
      <c r="B7" s="84" t="s">
        <v>52</v>
      </c>
      <c r="C7" s="187"/>
      <c r="D7" s="188"/>
      <c r="E7" s="188"/>
      <c r="F7" s="189"/>
      <c r="G7" s="189"/>
      <c r="H7" s="189"/>
      <c r="I7" s="189"/>
      <c r="J7" s="189"/>
      <c r="K7" s="189"/>
      <c r="L7" s="31"/>
      <c r="M7" s="31"/>
      <c r="N7" s="31"/>
      <c r="O7" s="31"/>
      <c r="P7" s="31"/>
      <c r="Q7" s="31"/>
      <c r="R7" s="31"/>
      <c r="S7" s="31"/>
      <c r="T7" s="31"/>
    </row>
    <row r="8" spans="9:20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s="30" customFormat="1" ht="21">
      <c r="B9" s="84" t="s">
        <v>51</v>
      </c>
      <c r="C9" s="187"/>
      <c r="D9" s="188"/>
      <c r="E9" s="188"/>
      <c r="F9" s="188"/>
      <c r="G9" s="188"/>
      <c r="H9" s="188"/>
      <c r="I9" s="189"/>
      <c r="J9" s="189"/>
      <c r="K9" s="189"/>
      <c r="L9" s="31"/>
      <c r="M9" s="31"/>
      <c r="N9" s="31"/>
      <c r="O9" s="31"/>
      <c r="P9" s="31"/>
      <c r="Q9" s="31"/>
      <c r="R9" s="31"/>
      <c r="S9" s="31"/>
      <c r="T9" s="31"/>
    </row>
    <row r="10" spans="4:20" ht="12.75">
      <c r="D10" s="32"/>
      <c r="E10" s="3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s="30" customFormat="1" ht="20.25">
      <c r="B11" s="84" t="s">
        <v>297</v>
      </c>
      <c r="C11" s="190"/>
      <c r="D11" s="191"/>
      <c r="E11" s="191"/>
      <c r="F11" s="188"/>
      <c r="G11" s="188"/>
      <c r="H11" s="188"/>
      <c r="I11" s="189"/>
      <c r="J11" s="189"/>
      <c r="K11" s="189"/>
      <c r="L11" s="31"/>
      <c r="M11" s="31"/>
      <c r="N11" s="31"/>
      <c r="O11" s="31"/>
      <c r="P11" s="31"/>
      <c r="Q11" s="31"/>
      <c r="R11" s="31"/>
      <c r="S11" s="31"/>
      <c r="T11" s="31"/>
    </row>
    <row r="12" spans="4:20" s="33" customFormat="1" ht="16.5" thickBot="1">
      <c r="D12" s="3"/>
      <c r="E12" s="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2:20" s="33" customFormat="1" ht="16.5" thickTop="1">
      <c r="B13" s="1014"/>
      <c r="C13" s="35"/>
      <c r="D13" s="35"/>
      <c r="E13" s="1015"/>
      <c r="F13" s="35"/>
      <c r="G13" s="35"/>
      <c r="H13" s="35"/>
      <c r="I13" s="35"/>
      <c r="J13" s="35"/>
      <c r="K13" s="36"/>
      <c r="L13" s="34"/>
      <c r="M13" s="34"/>
      <c r="N13" s="34"/>
      <c r="O13" s="34"/>
      <c r="P13" s="34"/>
      <c r="Q13" s="34"/>
      <c r="R13" s="34"/>
      <c r="S13" s="34"/>
      <c r="T13" s="34"/>
    </row>
    <row r="14" spans="2:20" s="37" customFormat="1" ht="19.5">
      <c r="B14" s="38" t="s">
        <v>179</v>
      </c>
      <c r="C14" s="39"/>
      <c r="D14" s="40"/>
      <c r="E14" s="1016"/>
      <c r="F14" s="41"/>
      <c r="G14" s="41"/>
      <c r="H14" s="41"/>
      <c r="I14" s="42"/>
      <c r="J14" s="42"/>
      <c r="K14" s="43"/>
      <c r="L14" s="44"/>
      <c r="M14" s="44"/>
      <c r="N14" s="44"/>
      <c r="O14" s="44"/>
      <c r="P14" s="44"/>
      <c r="Q14" s="44"/>
      <c r="R14" s="44"/>
      <c r="S14" s="44"/>
      <c r="T14" s="44"/>
    </row>
    <row r="15" spans="2:20" s="37" customFormat="1" ht="13.5" customHeight="1">
      <c r="B15" s="45"/>
      <c r="C15" s="46"/>
      <c r="D15" s="181"/>
      <c r="E15" s="185"/>
      <c r="F15" s="47"/>
      <c r="G15" s="47"/>
      <c r="H15" s="47"/>
      <c r="I15" s="44"/>
      <c r="J15" s="44"/>
      <c r="K15" s="48"/>
      <c r="L15" s="44"/>
      <c r="M15" s="44"/>
      <c r="N15" s="44"/>
      <c r="O15" s="44"/>
      <c r="P15" s="44"/>
      <c r="Q15" s="44"/>
      <c r="R15" s="44"/>
      <c r="S15" s="44"/>
      <c r="T15" s="44"/>
    </row>
    <row r="16" spans="2:20" s="37" customFormat="1" ht="19.5">
      <c r="B16" s="45"/>
      <c r="C16" s="49" t="s">
        <v>4</v>
      </c>
      <c r="D16" s="181" t="s">
        <v>0</v>
      </c>
      <c r="E16" s="185"/>
      <c r="F16" s="47"/>
      <c r="G16" s="47"/>
      <c r="H16" s="47"/>
      <c r="I16" s="50"/>
      <c r="J16" s="50" t="s">
        <v>320</v>
      </c>
      <c r="K16" s="48"/>
      <c r="L16" s="44"/>
      <c r="M16" s="44"/>
      <c r="N16" s="44"/>
      <c r="O16" s="44"/>
      <c r="P16" s="44"/>
      <c r="Q16" s="44"/>
      <c r="R16" s="44"/>
      <c r="S16" s="44"/>
      <c r="T16" s="44"/>
    </row>
    <row r="17" spans="2:20" s="37" customFormat="1" ht="19.5">
      <c r="B17" s="45"/>
      <c r="C17" s="49"/>
      <c r="D17" s="181">
        <v>11</v>
      </c>
      <c r="E17" s="182" t="s">
        <v>5</v>
      </c>
      <c r="F17" s="47"/>
      <c r="G17" s="47"/>
      <c r="H17" s="47"/>
      <c r="I17" s="50">
        <f>'LI-09 (1)'!AC42</f>
        <v>15391.32</v>
      </c>
      <c r="J17" s="50">
        <f>'LI-09 (1)'!AD42</f>
        <v>9951.026374452686</v>
      </c>
      <c r="K17" s="48"/>
      <c r="L17" s="44"/>
      <c r="M17" s="44"/>
      <c r="N17" s="44"/>
      <c r="O17" s="44"/>
      <c r="P17" s="44"/>
      <c r="Q17" s="44"/>
      <c r="R17" s="44"/>
      <c r="S17" s="44"/>
      <c r="T17" s="44"/>
    </row>
    <row r="18" spans="2:20" s="37" customFormat="1" ht="19.5">
      <c r="B18" s="45"/>
      <c r="C18" s="49"/>
      <c r="D18" s="181">
        <v>12</v>
      </c>
      <c r="E18" s="182" t="s">
        <v>310</v>
      </c>
      <c r="F18" s="47"/>
      <c r="G18" s="47"/>
      <c r="H18" s="47"/>
      <c r="I18" s="50">
        <f>Incendio!AC24</f>
        <v>2753.05</v>
      </c>
      <c r="J18" s="50">
        <f>Incendio!AD24</f>
        <v>1779.944370463294</v>
      </c>
      <c r="K18" s="48"/>
      <c r="L18" s="44"/>
      <c r="M18" s="44"/>
      <c r="N18" s="44"/>
      <c r="O18" s="44"/>
      <c r="P18" s="44"/>
      <c r="Q18" s="44"/>
      <c r="R18" s="44"/>
      <c r="S18" s="44"/>
      <c r="T18" s="44"/>
    </row>
    <row r="19" spans="2:20" s="37" customFormat="1" ht="19.5">
      <c r="B19" s="45"/>
      <c r="C19" s="49"/>
      <c r="D19" s="181">
        <v>13</v>
      </c>
      <c r="E19" s="182" t="s">
        <v>54</v>
      </c>
      <c r="F19" s="47"/>
      <c r="G19" s="47"/>
      <c r="H19" s="47"/>
      <c r="I19" s="50">
        <f>'LI-LITSA-09 (1)'!AD43</f>
        <v>753.13</v>
      </c>
      <c r="J19" s="50">
        <f>I19</f>
        <v>753.13</v>
      </c>
      <c r="K19" s="48"/>
      <c r="L19" s="44"/>
      <c r="M19" s="44"/>
      <c r="N19" s="44"/>
      <c r="O19" s="44"/>
      <c r="P19" s="44"/>
      <c r="Q19" s="44"/>
      <c r="R19" s="44"/>
      <c r="S19" s="44"/>
      <c r="T19" s="44"/>
    </row>
    <row r="20" spans="2:20" ht="12.75" customHeight="1">
      <c r="B20" s="51"/>
      <c r="C20" s="52"/>
      <c r="D20" s="181"/>
      <c r="E20" s="1017"/>
      <c r="F20" s="53"/>
      <c r="G20" s="53"/>
      <c r="H20" s="53"/>
      <c r="I20" s="54"/>
      <c r="J20" s="54"/>
      <c r="K20" s="6"/>
      <c r="L20" s="4"/>
      <c r="M20" s="4"/>
      <c r="N20" s="4"/>
      <c r="O20" s="4"/>
      <c r="P20" s="4"/>
      <c r="Q20" s="4"/>
      <c r="R20" s="4"/>
      <c r="S20" s="4"/>
      <c r="T20" s="4"/>
    </row>
    <row r="21" spans="2:20" s="37" customFormat="1" ht="19.5">
      <c r="B21" s="45"/>
      <c r="C21" s="49" t="s">
        <v>6</v>
      </c>
      <c r="D21" s="184" t="s">
        <v>7</v>
      </c>
      <c r="E21" s="185"/>
      <c r="F21" s="47"/>
      <c r="G21" s="47"/>
      <c r="H21" s="47"/>
      <c r="I21" s="50"/>
      <c r="J21" s="50"/>
      <c r="K21" s="48"/>
      <c r="L21" s="44"/>
      <c r="M21" s="44"/>
      <c r="N21" s="44"/>
      <c r="O21" s="44"/>
      <c r="P21" s="44"/>
      <c r="Q21" s="44"/>
      <c r="R21" s="44"/>
      <c r="S21" s="44"/>
      <c r="T21" s="44"/>
    </row>
    <row r="22" spans="2:20" s="37" customFormat="1" ht="19.5">
      <c r="B22" s="45"/>
      <c r="C22" s="49"/>
      <c r="D22" s="181">
        <v>21</v>
      </c>
      <c r="E22" s="182" t="s">
        <v>8</v>
      </c>
      <c r="F22" s="47"/>
      <c r="G22" s="47"/>
      <c r="H22" s="47"/>
      <c r="I22" s="50"/>
      <c r="J22" s="50"/>
      <c r="K22" s="48"/>
      <c r="L22" s="44"/>
      <c r="M22" s="44"/>
      <c r="N22" s="44"/>
      <c r="O22" s="44"/>
      <c r="P22" s="44"/>
      <c r="Q22" s="44"/>
      <c r="R22" s="44"/>
      <c r="S22" s="44"/>
      <c r="T22" s="44"/>
    </row>
    <row r="23" spans="2:20" s="37" customFormat="1" ht="19.5">
      <c r="B23" s="45"/>
      <c r="C23" s="49"/>
      <c r="D23" s="181"/>
      <c r="E23" s="183">
        <v>211</v>
      </c>
      <c r="F23" s="55" t="s">
        <v>5</v>
      </c>
      <c r="G23" s="47"/>
      <c r="H23" s="47"/>
      <c r="I23" s="50">
        <f>'TR-09 (1)'!AA42</f>
        <v>161631.4</v>
      </c>
      <c r="J23" s="50">
        <f>'TR-09 (1)'!AB42</f>
        <v>104500.3738470342</v>
      </c>
      <c r="K23" s="48"/>
      <c r="L23" s="44"/>
      <c r="M23" s="44"/>
      <c r="N23" s="44"/>
      <c r="O23" s="44"/>
      <c r="P23" s="44"/>
      <c r="Q23" s="44"/>
      <c r="R23" s="44"/>
      <c r="S23" s="44"/>
      <c r="T23" s="44"/>
    </row>
    <row r="24" spans="2:20" s="37" customFormat="1" ht="19.5">
      <c r="B24" s="45"/>
      <c r="C24" s="49"/>
      <c r="D24" s="181"/>
      <c r="E24" s="183">
        <v>212</v>
      </c>
      <c r="F24" s="55" t="s">
        <v>54</v>
      </c>
      <c r="G24" s="47"/>
      <c r="H24" s="47"/>
      <c r="I24" s="50">
        <f>'TR-LITSA-09 (1)'!AA43</f>
        <v>1220.1</v>
      </c>
      <c r="J24" s="50">
        <f>I24</f>
        <v>1220.1</v>
      </c>
      <c r="K24" s="48"/>
      <c r="L24" s="44"/>
      <c r="M24" s="44"/>
      <c r="N24" s="44"/>
      <c r="O24" s="44"/>
      <c r="P24" s="44"/>
      <c r="Q24" s="44"/>
      <c r="R24" s="44"/>
      <c r="S24" s="44"/>
      <c r="T24" s="44"/>
    </row>
    <row r="25" spans="2:20" s="37" customFormat="1" ht="19.5">
      <c r="B25" s="45"/>
      <c r="C25" s="49"/>
      <c r="D25" s="181"/>
      <c r="E25" s="183">
        <v>213</v>
      </c>
      <c r="F25" s="55" t="s">
        <v>294</v>
      </c>
      <c r="G25" s="47"/>
      <c r="H25" s="47"/>
      <c r="I25" s="50">
        <f>'TRAFO-TIBA'!AA41</f>
        <v>452.66</v>
      </c>
      <c r="J25" s="50">
        <f>I25</f>
        <v>452.66</v>
      </c>
      <c r="K25" s="48"/>
      <c r="L25" s="44"/>
      <c r="M25" s="44"/>
      <c r="N25" s="44"/>
      <c r="O25" s="44"/>
      <c r="P25" s="44"/>
      <c r="Q25" s="44"/>
      <c r="R25" s="44"/>
      <c r="S25" s="44"/>
      <c r="T25" s="44"/>
    </row>
    <row r="26" spans="2:20" s="37" customFormat="1" ht="19.5">
      <c r="B26" s="45"/>
      <c r="C26" s="49"/>
      <c r="D26" s="181">
        <v>22</v>
      </c>
      <c r="E26" s="182" t="s">
        <v>9</v>
      </c>
      <c r="F26" s="47"/>
      <c r="G26" s="47"/>
      <c r="H26" s="47"/>
      <c r="I26" s="50"/>
      <c r="J26" s="50"/>
      <c r="K26" s="48"/>
      <c r="L26" s="44"/>
      <c r="M26" s="44"/>
      <c r="N26" s="44"/>
      <c r="O26" s="44"/>
      <c r="P26" s="44"/>
      <c r="Q26" s="44"/>
      <c r="R26" s="44"/>
      <c r="S26" s="44"/>
      <c r="T26" s="44"/>
    </row>
    <row r="27" spans="2:20" s="37" customFormat="1" ht="19.5">
      <c r="B27" s="45"/>
      <c r="C27" s="49"/>
      <c r="D27" s="181"/>
      <c r="E27" s="183">
        <v>221</v>
      </c>
      <c r="F27" s="55" t="s">
        <v>5</v>
      </c>
      <c r="G27" s="47"/>
      <c r="H27" s="47"/>
      <c r="I27" s="50">
        <f>'SA-09 (2)'!T45</f>
        <v>121016.6</v>
      </c>
      <c r="J27" s="50">
        <f>'SA-09 (2)'!U45</f>
        <v>78241.47875608521</v>
      </c>
      <c r="K27" s="48"/>
      <c r="L27" s="44"/>
      <c r="M27" s="44"/>
      <c r="N27" s="44"/>
      <c r="O27" s="44"/>
      <c r="P27" s="44"/>
      <c r="Q27" s="44"/>
      <c r="R27" s="44"/>
      <c r="S27" s="44"/>
      <c r="T27" s="44"/>
    </row>
    <row r="28" spans="2:20" s="37" customFormat="1" ht="19.5">
      <c r="B28" s="45"/>
      <c r="C28" s="49"/>
      <c r="D28" s="181"/>
      <c r="E28" s="183">
        <v>222</v>
      </c>
      <c r="F28" s="55" t="s">
        <v>56</v>
      </c>
      <c r="G28" s="47"/>
      <c r="H28" s="47"/>
      <c r="I28" s="50">
        <f>'SA-TIBA-09 (1)'!T43</f>
        <v>10211.93</v>
      </c>
      <c r="J28" s="50">
        <f>I28</f>
        <v>10211.93</v>
      </c>
      <c r="K28" s="48"/>
      <c r="L28" s="44"/>
      <c r="M28" s="44"/>
      <c r="N28" s="44"/>
      <c r="O28" s="44"/>
      <c r="P28" s="44"/>
      <c r="Q28" s="44"/>
      <c r="R28" s="44"/>
      <c r="S28" s="44"/>
      <c r="T28" s="44"/>
    </row>
    <row r="29" spans="2:20" s="37" customFormat="1" ht="19.5">
      <c r="B29" s="45"/>
      <c r="C29" s="49"/>
      <c r="D29" s="181"/>
      <c r="E29" s="183">
        <v>223</v>
      </c>
      <c r="F29" s="55" t="s">
        <v>55</v>
      </c>
      <c r="G29" s="47"/>
      <c r="H29" s="47"/>
      <c r="I29" s="50">
        <f>'SA-ENECOR-09 (1)'!T43</f>
        <v>1110.85</v>
      </c>
      <c r="J29" s="50">
        <f>I29</f>
        <v>1110.85</v>
      </c>
      <c r="K29" s="48"/>
      <c r="L29" s="44"/>
      <c r="M29" s="44"/>
      <c r="N29" s="44"/>
      <c r="O29" s="44"/>
      <c r="P29" s="44"/>
      <c r="Q29" s="44"/>
      <c r="R29" s="44"/>
      <c r="S29" s="44"/>
      <c r="T29" s="44"/>
    </row>
    <row r="30" spans="2:20" ht="12.75" customHeight="1">
      <c r="B30" s="51"/>
      <c r="C30" s="52"/>
      <c r="D30" s="181"/>
      <c r="E30" s="1017"/>
      <c r="F30" s="53"/>
      <c r="G30" s="53"/>
      <c r="H30" s="53"/>
      <c r="I30" s="54"/>
      <c r="J30" s="54"/>
      <c r="K30" s="6"/>
      <c r="L30" s="4"/>
      <c r="M30" s="4"/>
      <c r="N30" s="4"/>
      <c r="O30" s="4"/>
      <c r="P30" s="4"/>
      <c r="Q30" s="4"/>
      <c r="R30" s="4"/>
      <c r="S30" s="4"/>
      <c r="T30" s="4"/>
    </row>
    <row r="31" spans="2:20" s="37" customFormat="1" ht="19.5">
      <c r="B31" s="45"/>
      <c r="C31" s="49" t="s">
        <v>10</v>
      </c>
      <c r="D31" s="184" t="s">
        <v>57</v>
      </c>
      <c r="E31" s="185"/>
      <c r="F31" s="47"/>
      <c r="G31" s="47"/>
      <c r="H31" s="47"/>
      <c r="I31" s="50"/>
      <c r="J31" s="50"/>
      <c r="K31" s="48"/>
      <c r="L31" s="44"/>
      <c r="M31" s="44"/>
      <c r="N31" s="44"/>
      <c r="O31" s="44"/>
      <c r="P31" s="44"/>
      <c r="Q31" s="44"/>
      <c r="R31" s="44"/>
      <c r="S31" s="44"/>
      <c r="T31" s="44"/>
    </row>
    <row r="32" spans="2:20" s="37" customFormat="1" ht="19.5">
      <c r="B32" s="45"/>
      <c r="C32" s="49"/>
      <c r="D32" s="181">
        <v>31</v>
      </c>
      <c r="E32" s="182" t="s">
        <v>5</v>
      </c>
      <c r="F32" s="47"/>
      <c r="G32" s="47"/>
      <c r="H32" s="47"/>
      <c r="I32" s="50">
        <f>'RE-09 (2)'!V51</f>
        <v>71189.77</v>
      </c>
      <c r="J32" s="50">
        <f>'RE-09 (2)'!W51</f>
        <v>46026.68499343686</v>
      </c>
      <c r="K32" s="48"/>
      <c r="L32" s="44"/>
      <c r="M32" s="44"/>
      <c r="N32" s="44"/>
      <c r="O32" s="44"/>
      <c r="P32" s="44"/>
      <c r="Q32" s="44"/>
      <c r="R32" s="44"/>
      <c r="S32" s="44"/>
      <c r="T32" s="44"/>
    </row>
    <row r="33" spans="2:20" s="37" customFormat="1" ht="19.5">
      <c r="B33" s="45"/>
      <c r="C33" s="49"/>
      <c r="D33" s="181">
        <v>32</v>
      </c>
      <c r="E33" s="182" t="s">
        <v>53</v>
      </c>
      <c r="F33" s="47"/>
      <c r="G33" s="47"/>
      <c r="H33" s="47"/>
      <c r="I33" s="50">
        <f>'RE-YACY-09 (1)'!Q39</f>
        <v>19873.5495</v>
      </c>
      <c r="J33" s="50">
        <f>I33</f>
        <v>19873.5495</v>
      </c>
      <c r="K33" s="48"/>
      <c r="L33" s="44"/>
      <c r="M33" s="44"/>
      <c r="N33" s="44"/>
      <c r="O33" s="44"/>
      <c r="P33" s="44"/>
      <c r="Q33" s="44"/>
      <c r="R33" s="44"/>
      <c r="S33" s="44"/>
      <c r="T33" s="44"/>
    </row>
    <row r="34" spans="2:20" s="37" customFormat="1" ht="12.75" customHeight="1">
      <c r="B34" s="45"/>
      <c r="C34" s="49"/>
      <c r="D34" s="181"/>
      <c r="E34" s="182"/>
      <c r="F34" s="47"/>
      <c r="G34" s="47"/>
      <c r="H34" s="47"/>
      <c r="I34" s="50"/>
      <c r="J34" s="50"/>
      <c r="K34" s="48"/>
      <c r="L34" s="44"/>
      <c r="M34" s="44"/>
      <c r="N34" s="44"/>
      <c r="O34" s="44"/>
      <c r="P34" s="44"/>
      <c r="Q34" s="44"/>
      <c r="R34" s="44"/>
      <c r="S34" s="44"/>
      <c r="T34" s="44"/>
    </row>
    <row r="35" spans="2:20" s="37" customFormat="1" ht="19.5">
      <c r="B35" s="45"/>
      <c r="C35" s="49" t="s">
        <v>58</v>
      </c>
      <c r="D35" s="184" t="s">
        <v>59</v>
      </c>
      <c r="E35" s="185"/>
      <c r="F35" s="47"/>
      <c r="G35" s="47"/>
      <c r="H35" s="47"/>
      <c r="I35" s="50"/>
      <c r="J35" s="50"/>
      <c r="K35" s="48"/>
      <c r="L35" s="44"/>
      <c r="M35" s="44"/>
      <c r="N35" s="44"/>
      <c r="O35" s="44"/>
      <c r="P35" s="44"/>
      <c r="Q35" s="44"/>
      <c r="R35" s="44"/>
      <c r="S35" s="44"/>
      <c r="T35" s="44"/>
    </row>
    <row r="36" spans="2:20" s="37" customFormat="1" ht="19.5">
      <c r="B36" s="45"/>
      <c r="C36" s="49"/>
      <c r="D36" s="181">
        <v>41</v>
      </c>
      <c r="E36" s="182" t="s">
        <v>53</v>
      </c>
      <c r="F36" s="47"/>
      <c r="G36" s="47"/>
      <c r="H36" s="47"/>
      <c r="I36" s="50">
        <f>'SU (YACYLEC)'!K49</f>
        <v>17.268747260257875</v>
      </c>
      <c r="J36" s="50">
        <f>I36</f>
        <v>17.268747260257875</v>
      </c>
      <c r="K36" s="48"/>
      <c r="L36" s="44"/>
      <c r="M36" s="44"/>
      <c r="N36" s="44"/>
      <c r="O36" s="44"/>
      <c r="P36" s="44"/>
      <c r="Q36" s="44"/>
      <c r="R36" s="44"/>
      <c r="S36" s="44"/>
      <c r="T36" s="44"/>
    </row>
    <row r="37" spans="2:20" s="37" customFormat="1" ht="19.5">
      <c r="B37" s="45"/>
      <c r="C37" s="49"/>
      <c r="D37" s="181">
        <v>42</v>
      </c>
      <c r="E37" s="182" t="s">
        <v>54</v>
      </c>
      <c r="F37" s="47"/>
      <c r="G37" s="47"/>
      <c r="H37" s="47"/>
      <c r="I37" s="50">
        <f>'SUP-LITSA'!K67</f>
        <v>789.2921995890475</v>
      </c>
      <c r="J37" s="50">
        <f>I37</f>
        <v>789.2921995890475</v>
      </c>
      <c r="K37" s="48"/>
      <c r="L37" s="44"/>
      <c r="M37" s="44"/>
      <c r="N37" s="44"/>
      <c r="O37" s="44"/>
      <c r="P37" s="44"/>
      <c r="Q37" s="44"/>
      <c r="R37" s="44"/>
      <c r="S37" s="44"/>
      <c r="T37" s="44"/>
    </row>
    <row r="38" spans="2:20" s="37" customFormat="1" ht="19.5">
      <c r="B38" s="45"/>
      <c r="C38" s="49"/>
      <c r="D38" s="181">
        <v>43</v>
      </c>
      <c r="E38" s="182" t="s">
        <v>60</v>
      </c>
      <c r="F38" s="47"/>
      <c r="G38" s="47"/>
      <c r="H38" s="47"/>
      <c r="I38" s="50">
        <f>'SUP-TIBA'!J64</f>
        <v>2668.9472062382047</v>
      </c>
      <c r="J38" s="50">
        <f>I38</f>
        <v>2668.9472062382047</v>
      </c>
      <c r="K38" s="48"/>
      <c r="L38" s="44"/>
      <c r="M38" s="44"/>
      <c r="N38" s="44"/>
      <c r="O38" s="44"/>
      <c r="P38" s="44"/>
      <c r="Q38" s="44"/>
      <c r="R38" s="44"/>
      <c r="S38" s="44"/>
      <c r="T38" s="44"/>
    </row>
    <row r="39" spans="2:20" s="37" customFormat="1" ht="19.5">
      <c r="B39" s="45"/>
      <c r="C39" s="49"/>
      <c r="D39" s="181">
        <v>44</v>
      </c>
      <c r="E39" s="182" t="s">
        <v>55</v>
      </c>
      <c r="F39" s="47"/>
      <c r="G39" s="47"/>
      <c r="H39" s="47"/>
      <c r="I39" s="50">
        <f>'SUP-ENECOR'!J62</f>
        <v>1849.64848</v>
      </c>
      <c r="J39" s="50">
        <f>I39</f>
        <v>1849.64848</v>
      </c>
      <c r="K39" s="48"/>
      <c r="L39" s="44"/>
      <c r="M39" s="44"/>
      <c r="N39" s="44"/>
      <c r="O39" s="44"/>
      <c r="P39" s="44"/>
      <c r="Q39" s="44"/>
      <c r="R39" s="44"/>
      <c r="S39" s="44"/>
      <c r="T39" s="44"/>
    </row>
    <row r="40" spans="2:20" s="37" customFormat="1" ht="20.25" thickBot="1">
      <c r="B40" s="45"/>
      <c r="C40" s="46"/>
      <c r="D40" s="181"/>
      <c r="E40" s="185"/>
      <c r="F40" s="47"/>
      <c r="G40" s="47"/>
      <c r="H40" s="47"/>
      <c r="I40" s="44"/>
      <c r="J40" s="44"/>
      <c r="K40" s="48"/>
      <c r="L40" s="44"/>
      <c r="M40" s="44"/>
      <c r="N40" s="44"/>
      <c r="O40" s="44"/>
      <c r="P40" s="44"/>
      <c r="Q40" s="44"/>
      <c r="R40" s="44"/>
      <c r="S40" s="44"/>
      <c r="T40" s="44"/>
    </row>
    <row r="41" spans="2:20" s="37" customFormat="1" ht="20.25" thickBot="1" thickTop="1">
      <c r="B41" s="45"/>
      <c r="C41" s="49"/>
      <c r="D41" s="49"/>
      <c r="H41" s="56" t="s">
        <v>11</v>
      </c>
      <c r="I41" s="57">
        <f>SUM(I16:I39)</f>
        <v>410929.5161330875</v>
      </c>
      <c r="J41" s="57">
        <f>SUM(J17:J39)</f>
        <v>279446.88447455975</v>
      </c>
      <c r="K41" s="48"/>
      <c r="L41" s="44"/>
      <c r="M41" s="44"/>
      <c r="N41" s="44"/>
      <c r="O41" s="44"/>
      <c r="P41" s="44"/>
      <c r="Q41" s="44"/>
      <c r="R41" s="44"/>
      <c r="S41" s="44"/>
      <c r="T41" s="44"/>
    </row>
    <row r="42" spans="2:20" s="37" customFormat="1" ht="9.75" customHeight="1" thickTop="1">
      <c r="B42" s="45"/>
      <c r="C42" s="49"/>
      <c r="D42" s="49"/>
      <c r="F42" s="180"/>
      <c r="G42" s="129"/>
      <c r="H42" s="129"/>
      <c r="K42" s="48"/>
      <c r="L42" s="44"/>
      <c r="M42" s="44"/>
      <c r="N42" s="44"/>
      <c r="O42" s="44"/>
      <c r="P42" s="44"/>
      <c r="Q42" s="44"/>
      <c r="R42" s="44"/>
      <c r="S42" s="44"/>
      <c r="T42" s="44"/>
    </row>
    <row r="43" spans="2:20" s="37" customFormat="1" ht="18.75">
      <c r="B43" s="45"/>
      <c r="C43" s="186" t="s">
        <v>296</v>
      </c>
      <c r="D43" s="49"/>
      <c r="F43" s="180"/>
      <c r="G43" s="129"/>
      <c r="H43" s="129"/>
      <c r="K43" s="48"/>
      <c r="L43" s="44"/>
      <c r="M43" s="44"/>
      <c r="N43" s="44"/>
      <c r="O43" s="44"/>
      <c r="P43" s="44"/>
      <c r="Q43" s="44"/>
      <c r="R43" s="44"/>
      <c r="S43" s="44"/>
      <c r="T43" s="44"/>
    </row>
    <row r="44" spans="2:20" s="33" customFormat="1" ht="10.5" customHeight="1" thickBot="1">
      <c r="B44" s="58"/>
      <c r="C44" s="59"/>
      <c r="D44" s="59"/>
      <c r="E44" s="60"/>
      <c r="F44" s="60"/>
      <c r="G44" s="60"/>
      <c r="H44" s="60"/>
      <c r="I44" s="60"/>
      <c r="J44" s="60"/>
      <c r="K44" s="61"/>
      <c r="L44" s="34"/>
      <c r="M44" s="34"/>
      <c r="N44" s="62"/>
      <c r="O44" s="63"/>
      <c r="P44" s="63"/>
      <c r="Q44" s="64"/>
      <c r="R44" s="65"/>
      <c r="S44" s="34"/>
      <c r="T44" s="34"/>
    </row>
    <row r="45" spans="4:20" ht="13.5" thickTop="1">
      <c r="D45" s="4"/>
      <c r="F45" s="4"/>
      <c r="G45" s="4"/>
      <c r="H45" s="4"/>
      <c r="I45" s="4"/>
      <c r="J45" s="4"/>
      <c r="K45" s="4"/>
      <c r="L45" s="4"/>
      <c r="M45" s="4"/>
      <c r="N45" s="15"/>
      <c r="O45" s="66"/>
      <c r="P45" s="66"/>
      <c r="Q45" s="4"/>
      <c r="R45" s="67"/>
      <c r="S45" s="4"/>
      <c r="T45" s="4"/>
    </row>
    <row r="46" spans="4:20" ht="12.75">
      <c r="D46" s="4"/>
      <c r="F46" s="4"/>
      <c r="G46" s="4"/>
      <c r="H46" s="4"/>
      <c r="I46" s="4"/>
      <c r="J46" s="4"/>
      <c r="K46" s="4"/>
      <c r="L46" s="4"/>
      <c r="M46" s="4"/>
      <c r="N46" s="4"/>
      <c r="O46" s="68"/>
      <c r="P46" s="68"/>
      <c r="Q46" s="69"/>
      <c r="R46" s="67"/>
      <c r="S46" s="4"/>
      <c r="T46" s="4"/>
    </row>
    <row r="47" spans="4:20" ht="12.7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8"/>
      <c r="P47" s="68"/>
      <c r="Q47" s="69"/>
      <c r="R47" s="67"/>
      <c r="S47" s="4"/>
      <c r="T47" s="4"/>
    </row>
    <row r="48" spans="4:20" ht="12.75">
      <c r="D48" s="4"/>
      <c r="E48" s="4"/>
      <c r="M48" s="4"/>
      <c r="N48" s="4"/>
      <c r="O48" s="4"/>
      <c r="P48" s="4"/>
      <c r="Q48" s="4"/>
      <c r="R48" s="4"/>
      <c r="S48" s="4"/>
      <c r="T48" s="4"/>
    </row>
    <row r="49" spans="4:20" ht="12.75">
      <c r="D49" s="4"/>
      <c r="E49" s="4"/>
      <c r="Q49" s="4"/>
      <c r="R49" s="4"/>
      <c r="S49" s="4"/>
      <c r="T49" s="4"/>
    </row>
    <row r="50" spans="4:20" ht="12.75">
      <c r="D50" s="4"/>
      <c r="E50" s="4"/>
      <c r="Q50" s="4"/>
      <c r="R50" s="4"/>
      <c r="S50" s="4"/>
      <c r="T50" s="4"/>
    </row>
    <row r="51" spans="4:20" ht="12.75">
      <c r="D51" s="4"/>
      <c r="E51" s="4"/>
      <c r="Q51" s="4"/>
      <c r="R51" s="4"/>
      <c r="S51" s="4"/>
      <c r="T51" s="4"/>
    </row>
    <row r="52" spans="4:20" ht="12.75">
      <c r="D52" s="4"/>
      <c r="E52" s="4"/>
      <c r="Q52" s="4"/>
      <c r="R52" s="4"/>
      <c r="S52" s="4"/>
      <c r="T52" s="4"/>
    </row>
    <row r="53" spans="4:20" ht="12.75">
      <c r="D53" s="4"/>
      <c r="E53" s="4"/>
      <c r="Q53" s="4"/>
      <c r="R53" s="4"/>
      <c r="S53" s="4"/>
      <c r="T53" s="4"/>
    </row>
    <row r="54" spans="17:20" ht="12.75">
      <c r="Q54" s="4"/>
      <c r="R54" s="4"/>
      <c r="S54" s="4"/>
      <c r="T54" s="4"/>
    </row>
    <row r="55" spans="17:20" ht="12.75">
      <c r="Q55" s="4"/>
      <c r="R55" s="4"/>
      <c r="S55" s="4"/>
      <c r="T55" s="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E46"/>
  <sheetViews>
    <sheetView zoomScale="75" zoomScaleNormal="75" workbookViewId="0" topLeftCell="C10">
      <selection activeCell="AD22" sqref="AD22:AD2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2.00390625" style="0" customWidth="1"/>
    <col min="5" max="5" width="8.7109375" style="0" customWidth="1"/>
    <col min="6" max="6" width="8.421875" style="0" customWidth="1"/>
    <col min="7" max="7" width="3.8515625" style="0" customWidth="1"/>
    <col min="8" max="8" width="10.421875" style="0" hidden="1" customWidth="1"/>
    <col min="9" max="9" width="11.7109375" style="0" hidden="1" customWidth="1"/>
    <col min="10" max="11" width="15.7109375" style="0" customWidth="1"/>
    <col min="12" max="14" width="9.7109375" style="0" customWidth="1"/>
    <col min="15" max="15" width="6.00390625" style="0" customWidth="1"/>
    <col min="16" max="16" width="5.421875" style="0" customWidth="1"/>
    <col min="17" max="17" width="6.00390625" style="0" customWidth="1"/>
    <col min="18" max="18" width="15.140625" style="0" hidden="1" customWidth="1"/>
    <col min="19" max="19" width="17.28125" style="0" hidden="1" customWidth="1"/>
    <col min="20" max="20" width="12.7109375" style="0" hidden="1" customWidth="1"/>
    <col min="21" max="21" width="13.7109375" style="0" hidden="1" customWidth="1"/>
    <col min="22" max="22" width="13.00390625" style="0" hidden="1" customWidth="1"/>
    <col min="23" max="23" width="14.8515625" style="0" hidden="1" customWidth="1"/>
    <col min="24" max="24" width="12.7109375" style="0" hidden="1" customWidth="1"/>
    <col min="25" max="25" width="14.00390625" style="0" hidden="1" customWidth="1"/>
    <col min="26" max="27" width="14.140625" style="0" hidden="1" customWidth="1"/>
    <col min="28" max="28" width="8.7109375" style="0" customWidth="1"/>
    <col min="29" max="29" width="15.00390625" style="0" hidden="1" customWidth="1"/>
    <col min="30" max="31" width="15.7109375" style="0" customWidth="1"/>
    <col min="32" max="32" width="17.8515625" style="0" customWidth="1"/>
    <col min="33" max="33" width="15.00390625" style="0" customWidth="1"/>
    <col min="34" max="34" width="14.28125" style="0" customWidth="1"/>
    <col min="35" max="35" width="14.003906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="19" customFormat="1" ht="31.5" customHeight="1">
      <c r="AE1" s="158"/>
    </row>
    <row r="2" spans="1:31" s="19" customFormat="1" ht="26.25">
      <c r="A2" s="92"/>
      <c r="B2" s="20" t="str">
        <f>+'TOT-0907'!B2</f>
        <v>ANEXO IV al Memorandum D.T.E.E. N°  1955 /2009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="5" customFormat="1" ht="12.75">
      <c r="A3" s="91"/>
    </row>
    <row r="4" spans="1:2" s="26" customFormat="1" ht="11.25">
      <c r="A4" s="24" t="s">
        <v>2</v>
      </c>
      <c r="B4" s="128"/>
    </row>
    <row r="5" spans="1:2" s="26" customFormat="1" ht="11.25">
      <c r="A5" s="24" t="s">
        <v>3</v>
      </c>
      <c r="B5" s="128"/>
    </row>
    <row r="6" s="5" customFormat="1" ht="13.5" thickBot="1"/>
    <row r="7" spans="2:31" s="5" customFormat="1" ht="13.5" thickTop="1">
      <c r="B7" s="70"/>
      <c r="C7" s="71"/>
      <c r="D7" s="71"/>
      <c r="E7" s="259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95"/>
    </row>
    <row r="8" spans="2:31" s="37" customFormat="1" ht="20.25">
      <c r="B8" s="45"/>
      <c r="C8" s="44"/>
      <c r="D8" s="260" t="s">
        <v>61</v>
      </c>
      <c r="E8" s="44"/>
      <c r="F8" s="44"/>
      <c r="G8" s="44"/>
      <c r="H8" s="44"/>
      <c r="N8" s="44"/>
      <c r="O8" s="44"/>
      <c r="P8" s="261"/>
      <c r="Q8" s="261"/>
      <c r="R8" s="44"/>
      <c r="S8" s="44"/>
      <c r="T8" s="44"/>
      <c r="U8" s="44"/>
      <c r="V8" s="44"/>
      <c r="W8" s="44"/>
      <c r="X8" s="44"/>
      <c r="Y8" s="44"/>
      <c r="Z8" s="31"/>
      <c r="AA8" s="31"/>
      <c r="AB8" s="44"/>
      <c r="AC8" s="44"/>
      <c r="AD8"/>
      <c r="AE8" s="262"/>
    </row>
    <row r="9" spans="2:31" s="5" customFormat="1" ht="12.75">
      <c r="B9" s="5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8"/>
    </row>
    <row r="10" spans="2:31" s="37" customFormat="1" ht="20.25">
      <c r="B10" s="45"/>
      <c r="C10" s="44"/>
      <c r="D10" s="260" t="s">
        <v>273</v>
      </c>
      <c r="E10" s="44"/>
      <c r="F10" s="44"/>
      <c r="G10" s="44"/>
      <c r="H10" s="44"/>
      <c r="N10" s="44"/>
      <c r="O10" s="44"/>
      <c r="P10" s="261"/>
      <c r="Q10" s="261"/>
      <c r="R10" s="44"/>
      <c r="S10" s="44"/>
      <c r="T10" s="44"/>
      <c r="U10" s="44"/>
      <c r="V10" s="44"/>
      <c r="W10" s="44"/>
      <c r="X10" s="44"/>
      <c r="Y10" s="44"/>
      <c r="Z10" s="31"/>
      <c r="AA10" s="31"/>
      <c r="AB10" s="44"/>
      <c r="AC10" s="44"/>
      <c r="AD10"/>
      <c r="AE10" s="262"/>
    </row>
    <row r="11" spans="2:31" s="5" customFormat="1" ht="12.75">
      <c r="B11" s="51"/>
      <c r="C11" s="4"/>
      <c r="D11" s="4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8"/>
    </row>
    <row r="12" spans="2:31" s="37" customFormat="1" ht="21">
      <c r="B12" s="38" t="str">
        <f>'TOT-0907'!B14</f>
        <v>Desde el 01 al 30 de septiembre de 2007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263"/>
      <c r="O12" s="263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1"/>
      <c r="AA12" s="31"/>
      <c r="AB12" s="41"/>
      <c r="AC12" s="41"/>
      <c r="AD12" s="41"/>
      <c r="AE12" s="151"/>
    </row>
    <row r="13" spans="2:31" s="5" customFormat="1" ht="16.5" customHeight="1" thickBot="1">
      <c r="B13" s="51"/>
      <c r="C13" s="4"/>
      <c r="D13" s="4"/>
      <c r="E13" s="67"/>
      <c r="F13" s="67"/>
      <c r="G13" s="4"/>
      <c r="H13" s="4"/>
      <c r="I13" s="4"/>
      <c r="J13" s="264"/>
      <c r="K13" s="4"/>
      <c r="L13" s="4"/>
      <c r="M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8"/>
    </row>
    <row r="14" spans="2:31" s="5" customFormat="1" ht="16.5" customHeight="1" thickBot="1" thickTop="1">
      <c r="B14" s="51"/>
      <c r="C14" s="4"/>
      <c r="D14" s="4"/>
      <c r="E14" s="67"/>
      <c r="F14" s="67"/>
      <c r="G14" s="4"/>
      <c r="H14" s="4"/>
      <c r="I14" s="4"/>
      <c r="J14" s="264"/>
      <c r="K14" s="4"/>
      <c r="L14" s="4"/>
      <c r="M14" s="1149" t="s">
        <v>65</v>
      </c>
      <c r="N14" s="1150"/>
      <c r="O14" s="1150"/>
      <c r="P14" s="1150"/>
      <c r="Q14" s="1151"/>
      <c r="R14" s="265" t="b">
        <f>AND(Q15&lt;=0.82,Q16&lt;=1.17)</f>
        <v>1</v>
      </c>
      <c r="S14" s="265" t="b">
        <f>AND(Q15&gt;=1.17,Q16&gt;=1.7)</f>
        <v>0</v>
      </c>
      <c r="T14" s="266">
        <f>((Q16/1.17)+(Q15/0.82))*0.852446393-1.454892785</f>
        <v>-1.454892785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18"/>
    </row>
    <row r="15" spans="2:31" s="5" customFormat="1" ht="16.5" customHeight="1" thickBot="1" thickTop="1">
      <c r="B15" s="51"/>
      <c r="C15" s="4"/>
      <c r="D15" s="83" t="s">
        <v>66</v>
      </c>
      <c r="E15" s="150">
        <v>89.969</v>
      </c>
      <c r="F15" s="267"/>
      <c r="G15" s="4"/>
      <c r="H15" s="4"/>
      <c r="I15" s="4"/>
      <c r="J15"/>
      <c r="K15"/>
      <c r="L15" s="4"/>
      <c r="M15" s="268" t="s">
        <v>67</v>
      </c>
      <c r="N15" s="269"/>
      <c r="O15" s="269"/>
      <c r="P15" s="269"/>
      <c r="Q15" s="270">
        <v>0</v>
      </c>
      <c r="R15" s="271"/>
      <c r="S15" s="265"/>
      <c r="T15" s="266"/>
      <c r="U15" s="4"/>
      <c r="V15" s="4"/>
      <c r="W15" s="4"/>
      <c r="X15" s="4"/>
      <c r="Y15" s="4"/>
      <c r="Z15" s="41"/>
      <c r="AA15" s="41"/>
      <c r="AB15" s="4"/>
      <c r="AC15" s="4"/>
      <c r="AD15" s="4"/>
      <c r="AE15" s="18"/>
    </row>
    <row r="16" spans="2:31" s="5" customFormat="1" ht="16.5" customHeight="1" thickBot="1" thickTop="1">
      <c r="B16" s="51"/>
      <c r="C16" s="4"/>
      <c r="D16" s="83" t="s">
        <v>68</v>
      </c>
      <c r="E16" s="150">
        <v>74.974</v>
      </c>
      <c r="F16" s="267"/>
      <c r="G16" s="4"/>
      <c r="H16" s="4"/>
      <c r="I16" s="4"/>
      <c r="J16" s="154" t="s">
        <v>69</v>
      </c>
      <c r="K16" s="272">
        <f>4*Q17</f>
        <v>1</v>
      </c>
      <c r="L16" s="4"/>
      <c r="M16" s="268" t="s">
        <v>70</v>
      </c>
      <c r="N16" s="269"/>
      <c r="O16" s="269"/>
      <c r="P16" s="269"/>
      <c r="Q16" s="270">
        <v>0</v>
      </c>
      <c r="R16" s="271"/>
      <c r="S16" s="265"/>
      <c r="T16" s="266"/>
      <c r="U16" s="4"/>
      <c r="V16" s="118"/>
      <c r="W16" s="118"/>
      <c r="X16" s="118"/>
      <c r="Y16" s="118"/>
      <c r="Z16" s="4"/>
      <c r="AA16" s="4"/>
      <c r="AB16" s="118"/>
      <c r="AE16" s="18"/>
    </row>
    <row r="17" spans="2:31" s="5" customFormat="1" ht="16.5" customHeight="1" thickBot="1" thickTop="1">
      <c r="B17" s="51"/>
      <c r="C17" s="4"/>
      <c r="D17" s="273"/>
      <c r="E17" s="274"/>
      <c r="F17" s="275"/>
      <c r="G17" s="4"/>
      <c r="H17" s="4"/>
      <c r="I17" s="4"/>
      <c r="J17" s="154"/>
      <c r="K17" s="272"/>
      <c r="L17" s="4"/>
      <c r="M17" s="268" t="s">
        <v>71</v>
      </c>
      <c r="N17" s="269"/>
      <c r="O17" s="269"/>
      <c r="P17" s="269"/>
      <c r="Q17" s="270">
        <f>IF(R14=TRUE,0.25,IF(S14=TRUE,1,T14))</f>
        <v>0.25</v>
      </c>
      <c r="R17" s="276"/>
      <c r="S17" s="276"/>
      <c r="T17" s="276"/>
      <c r="U17" s="4"/>
      <c r="V17" s="118"/>
      <c r="W17" s="118"/>
      <c r="X17" s="118"/>
      <c r="Y17" s="118"/>
      <c r="Z17" s="4"/>
      <c r="AA17" s="4"/>
      <c r="AB17" s="118"/>
      <c r="AE17" s="18"/>
    </row>
    <row r="18" spans="2:31" s="5" customFormat="1" ht="16.5" customHeight="1" thickBot="1" thickTop="1">
      <c r="B18" s="51"/>
      <c r="C18" s="4"/>
      <c r="D18" s="4"/>
      <c r="E18" s="277"/>
      <c r="F18" s="4"/>
      <c r="G18" s="4"/>
      <c r="H18" s="4"/>
      <c r="I18" s="4"/>
      <c r="J18" s="4"/>
      <c r="K18" s="4"/>
      <c r="L18" s="4"/>
      <c r="M18" s="4"/>
      <c r="N18" s="27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8"/>
    </row>
    <row r="19" spans="2:31" s="5" customFormat="1" ht="33.75" customHeight="1" thickBot="1" thickTop="1">
      <c r="B19" s="51"/>
      <c r="C19" s="85" t="s">
        <v>13</v>
      </c>
      <c r="D19" s="279" t="s">
        <v>0</v>
      </c>
      <c r="E19" s="208" t="s">
        <v>14</v>
      </c>
      <c r="F19" s="88" t="s">
        <v>15</v>
      </c>
      <c r="G19" s="280" t="s">
        <v>72</v>
      </c>
      <c r="H19" s="281" t="s">
        <v>38</v>
      </c>
      <c r="I19" s="282" t="s">
        <v>16</v>
      </c>
      <c r="J19" s="86" t="s">
        <v>17</v>
      </c>
      <c r="K19" s="209" t="s">
        <v>18</v>
      </c>
      <c r="L19" s="89" t="s">
        <v>37</v>
      </c>
      <c r="M19" s="87" t="s">
        <v>32</v>
      </c>
      <c r="N19" s="89" t="s">
        <v>19</v>
      </c>
      <c r="O19" s="89" t="s">
        <v>47</v>
      </c>
      <c r="P19" s="209" t="s">
        <v>48</v>
      </c>
      <c r="Q19" s="86" t="s">
        <v>33</v>
      </c>
      <c r="R19" s="211" t="s">
        <v>20</v>
      </c>
      <c r="S19" s="283" t="s">
        <v>21</v>
      </c>
      <c r="T19" s="284" t="s">
        <v>73</v>
      </c>
      <c r="U19" s="285"/>
      <c r="V19" s="286"/>
      <c r="W19" s="287" t="s">
        <v>74</v>
      </c>
      <c r="X19" s="288"/>
      <c r="Y19" s="289"/>
      <c r="Z19" s="290" t="s">
        <v>22</v>
      </c>
      <c r="AA19" s="291" t="s">
        <v>75</v>
      </c>
      <c r="AB19" s="144" t="s">
        <v>76</v>
      </c>
      <c r="AC19" s="292" t="s">
        <v>24</v>
      </c>
      <c r="AD19" s="144" t="s">
        <v>24</v>
      </c>
      <c r="AE19" s="293"/>
    </row>
    <row r="20" spans="2:31" s="5" customFormat="1" ht="16.5" customHeight="1" thickTop="1">
      <c r="B20" s="51"/>
      <c r="C20" s="217"/>
      <c r="D20" s="221"/>
      <c r="E20" s="221"/>
      <c r="F20" s="1042"/>
      <c r="G20" s="217"/>
      <c r="H20" s="142"/>
      <c r="I20" s="294"/>
      <c r="J20" s="217"/>
      <c r="K20" s="217"/>
      <c r="L20" s="217"/>
      <c r="M20" s="217"/>
      <c r="N20" s="217"/>
      <c r="O20" s="217"/>
      <c r="P20" s="217"/>
      <c r="Q20" s="217"/>
      <c r="R20" s="295"/>
      <c r="S20" s="296"/>
      <c r="T20" s="297"/>
      <c r="U20" s="298"/>
      <c r="V20" s="299"/>
      <c r="W20" s="300"/>
      <c r="X20" s="300"/>
      <c r="Y20" s="301"/>
      <c r="Z20" s="302"/>
      <c r="AA20" s="303"/>
      <c r="AB20" s="217"/>
      <c r="AC20" s="304"/>
      <c r="AD20" s="305"/>
      <c r="AE20" s="18"/>
    </row>
    <row r="21" spans="2:31" s="5" customFormat="1" ht="16.5" customHeight="1">
      <c r="B21" s="51"/>
      <c r="C21" s="408"/>
      <c r="D21" s="225"/>
      <c r="E21" s="227"/>
      <c r="F21" s="1038"/>
      <c r="G21" s="226"/>
      <c r="H21" s="143"/>
      <c r="I21" s="306"/>
      <c r="J21" s="307"/>
      <c r="K21" s="4"/>
      <c r="L21" s="225"/>
      <c r="M21" s="225"/>
      <c r="N21" s="226"/>
      <c r="O21" s="226"/>
      <c r="P21" s="225"/>
      <c r="Q21" s="225"/>
      <c r="R21" s="308"/>
      <c r="S21" s="309"/>
      <c r="T21" s="310"/>
      <c r="U21" s="311"/>
      <c r="V21" s="312"/>
      <c r="W21" s="313"/>
      <c r="X21" s="313"/>
      <c r="Y21" s="314"/>
      <c r="Z21" s="315"/>
      <c r="AA21" s="316"/>
      <c r="AB21" s="225"/>
      <c r="AC21" s="317"/>
      <c r="AD21" s="318"/>
      <c r="AE21" s="18"/>
    </row>
    <row r="22" spans="2:31" s="5" customFormat="1" ht="16.5" customHeight="1">
      <c r="B22" s="51"/>
      <c r="C22" s="171">
        <v>114</v>
      </c>
      <c r="D22" s="160" t="s">
        <v>254</v>
      </c>
      <c r="E22" s="163">
        <v>500</v>
      </c>
      <c r="F22" s="1041">
        <v>85</v>
      </c>
      <c r="G22" s="163" t="s">
        <v>185</v>
      </c>
      <c r="H22" s="319">
        <f aca="true" t="shared" si="0" ref="H22:H41">IF(G22="A",200,IF(G22="B",60,20))</f>
        <v>20</v>
      </c>
      <c r="I22" s="320">
        <f aca="true" t="shared" si="1" ref="I22:I41">IF(E22=500,IF(F22&lt;100,$E$15,F22*$E$15/100),IF(F22&lt;100,$E$16,F22*$E$16/100))</f>
        <v>89.969</v>
      </c>
      <c r="J22" s="232">
        <v>39334.302777777775</v>
      </c>
      <c r="K22" s="321">
        <v>39334.513194444444</v>
      </c>
      <c r="L22" s="234">
        <f aca="true" t="shared" si="2" ref="L22:L41">IF(D22="","",(K22-J22)*24)</f>
        <v>5.050000000046566</v>
      </c>
      <c r="M22" s="235">
        <f aca="true" t="shared" si="3" ref="M22:M41">IF(D22="","",ROUND((K22-J22)*24*60,0))</f>
        <v>303</v>
      </c>
      <c r="N22" s="322" t="s">
        <v>182</v>
      </c>
      <c r="O22" s="323" t="str">
        <f aca="true" t="shared" si="4" ref="O22:O41">IF(D22="","","--")</f>
        <v>--</v>
      </c>
      <c r="P22" s="324" t="str">
        <f aca="true" t="shared" si="5" ref="P22:P41">IF(D22="","","NO")</f>
        <v>NO</v>
      </c>
      <c r="Q22" s="168" t="str">
        <f aca="true" t="shared" si="6" ref="Q22:Q41">IF(D22="","",IF(OR(N22="P",N22="RP"),"--","NO"))</f>
        <v>--</v>
      </c>
      <c r="R22" s="325">
        <f aca="true" t="shared" si="7" ref="R22:R41">IF(N22="P",I22*H22*ROUND(M22/60,2)*0.01,"--")</f>
        <v>90.86868999999999</v>
      </c>
      <c r="S22" s="326" t="str">
        <f aca="true" t="shared" si="8" ref="S22:S41">IF(N22="RP",I22*H22*ROUND(M22/60,2)*0.01*O22/100,"--")</f>
        <v>--</v>
      </c>
      <c r="T22" s="327" t="str">
        <f aca="true" t="shared" si="9" ref="T22:T41">IF(AND(N22="F",Q22="NO"),I22*H22*IF(P22="SI",1.2,1),"--")</f>
        <v>--</v>
      </c>
      <c r="U22" s="328" t="str">
        <f aca="true" t="shared" si="10" ref="U22:U41">IF(AND(N22="F",M22&gt;=10),I22*H22*IF(P22="SI",1.2,1)*IF(M22&lt;=300,ROUND(M22/60,2),5),"--")</f>
        <v>--</v>
      </c>
      <c r="V22" s="329" t="str">
        <f aca="true" t="shared" si="11" ref="V22:V41">IF(AND(N22="F",M22&gt;300),(ROUND(M22/60,2)-5)*I22*H22*0.1*IF(P22="SI",1.2,1),"--")</f>
        <v>--</v>
      </c>
      <c r="W22" s="330" t="str">
        <f aca="true" t="shared" si="12" ref="W22:W41">IF(AND(N22="R",Q22="NO"),I22*H22*O22/100*IF(P22="SI",1.2,1),"--")</f>
        <v>--</v>
      </c>
      <c r="X22" s="331" t="str">
        <f aca="true" t="shared" si="13" ref="X22:X41">IF(AND(N22="R",M22&gt;=10),IF(M22&lt;=300,I22*H22*O22/100*IF(P22="SI",1.2,1)*ROUND(M22/60,2),5),"--")</f>
        <v>--</v>
      </c>
      <c r="Y22" s="332" t="str">
        <f aca="true" t="shared" si="14" ref="Y22:Y41">IF(AND(N22="R",M22&gt;300),(ROUND(M22/60,2)-5)*I22*H22*0.1*O22/100*IF(P22="SI",1.2,1),"--")</f>
        <v>--</v>
      </c>
      <c r="Z22" s="333" t="str">
        <f aca="true" t="shared" si="15" ref="Z22:Z41">IF(N22="RF",ROUND(M22/60,2)*I22*H22*0.1*IF(P22="SI",1.2,1),"--")</f>
        <v>--</v>
      </c>
      <c r="AA22" s="334" t="str">
        <f aca="true" t="shared" si="16" ref="AA22:AA41">IF(N22="RR",ROUND(M22/60,2)*I22*H22*0.1*O22/100*IF(P22="SI",1.2,1),"--")</f>
        <v>--</v>
      </c>
      <c r="AB22" s="335" t="s">
        <v>183</v>
      </c>
      <c r="AC22" s="336">
        <f aca="true" t="shared" si="17" ref="AC22:AC41">SUM(R22:AA22)*IF(AB22="SI",1,2)</f>
        <v>90.86868999999999</v>
      </c>
      <c r="AD22" s="16">
        <f aca="true" t="shared" si="18" ref="AD22:AD41">IF(D22="","",AC22*$K$16)</f>
        <v>90.86868999999999</v>
      </c>
      <c r="AE22" s="18"/>
    </row>
    <row r="23" spans="2:31" s="5" customFormat="1" ht="16.5" customHeight="1">
      <c r="B23" s="51"/>
      <c r="C23" s="408">
        <v>115</v>
      </c>
      <c r="D23" s="160" t="s">
        <v>254</v>
      </c>
      <c r="E23" s="163">
        <v>500</v>
      </c>
      <c r="F23" s="1041">
        <v>85</v>
      </c>
      <c r="G23" s="163" t="s">
        <v>185</v>
      </c>
      <c r="H23" s="319">
        <f t="shared" si="0"/>
        <v>20</v>
      </c>
      <c r="I23" s="320">
        <f t="shared" si="1"/>
        <v>89.969</v>
      </c>
      <c r="J23" s="232">
        <v>39341.29861111111</v>
      </c>
      <c r="K23" s="321">
        <v>39341.51458333333</v>
      </c>
      <c r="L23" s="234">
        <f t="shared" si="2"/>
        <v>5.183333333290648</v>
      </c>
      <c r="M23" s="235">
        <f t="shared" si="3"/>
        <v>311</v>
      </c>
      <c r="N23" s="322" t="s">
        <v>182</v>
      </c>
      <c r="O23" s="323" t="str">
        <f t="shared" si="4"/>
        <v>--</v>
      </c>
      <c r="P23" s="324" t="str">
        <f t="shared" si="5"/>
        <v>NO</v>
      </c>
      <c r="Q23" s="168" t="str">
        <f t="shared" si="6"/>
        <v>--</v>
      </c>
      <c r="R23" s="325">
        <f t="shared" si="7"/>
        <v>93.20788399999999</v>
      </c>
      <c r="S23" s="326" t="str">
        <f t="shared" si="8"/>
        <v>--</v>
      </c>
      <c r="T23" s="327" t="str">
        <f t="shared" si="9"/>
        <v>--</v>
      </c>
      <c r="U23" s="328" t="str">
        <f t="shared" si="10"/>
        <v>--</v>
      </c>
      <c r="V23" s="329" t="str">
        <f t="shared" si="11"/>
        <v>--</v>
      </c>
      <c r="W23" s="330" t="str">
        <f t="shared" si="12"/>
        <v>--</v>
      </c>
      <c r="X23" s="331" t="str">
        <f t="shared" si="13"/>
        <v>--</v>
      </c>
      <c r="Y23" s="332" t="str">
        <f t="shared" si="14"/>
        <v>--</v>
      </c>
      <c r="Z23" s="333" t="str">
        <f t="shared" si="15"/>
        <v>--</v>
      </c>
      <c r="AA23" s="334" t="str">
        <f t="shared" si="16"/>
        <v>--</v>
      </c>
      <c r="AB23" s="335" t="s">
        <v>183</v>
      </c>
      <c r="AC23" s="336">
        <f t="shared" si="17"/>
        <v>93.20788399999999</v>
      </c>
      <c r="AD23" s="16">
        <f t="shared" si="18"/>
        <v>93.20788399999999</v>
      </c>
      <c r="AE23" s="18"/>
    </row>
    <row r="24" spans="2:31" s="5" customFormat="1" ht="16.5" customHeight="1">
      <c r="B24" s="51"/>
      <c r="C24" s="171">
        <v>116</v>
      </c>
      <c r="D24" s="160" t="s">
        <v>255</v>
      </c>
      <c r="E24" s="163">
        <v>500</v>
      </c>
      <c r="F24" s="1041">
        <v>506</v>
      </c>
      <c r="G24" s="163" t="s">
        <v>185</v>
      </c>
      <c r="H24" s="319">
        <f t="shared" si="0"/>
        <v>20</v>
      </c>
      <c r="I24" s="320">
        <f t="shared" si="1"/>
        <v>455.24314</v>
      </c>
      <c r="J24" s="232">
        <v>39355.342361111114</v>
      </c>
      <c r="K24" s="321">
        <v>39355.60277777778</v>
      </c>
      <c r="L24" s="234">
        <f t="shared" si="2"/>
        <v>6.249999999941792</v>
      </c>
      <c r="M24" s="235">
        <f t="shared" si="3"/>
        <v>375</v>
      </c>
      <c r="N24" s="322" t="s">
        <v>182</v>
      </c>
      <c r="O24" s="323" t="str">
        <f t="shared" si="4"/>
        <v>--</v>
      </c>
      <c r="P24" s="324" t="str">
        <f t="shared" si="5"/>
        <v>NO</v>
      </c>
      <c r="Q24" s="168" t="str">
        <f t="shared" si="6"/>
        <v>--</v>
      </c>
      <c r="R24" s="325">
        <f t="shared" si="7"/>
        <v>569.0539249999999</v>
      </c>
      <c r="S24" s="326" t="str">
        <f t="shared" si="8"/>
        <v>--</v>
      </c>
      <c r="T24" s="327" t="str">
        <f t="shared" si="9"/>
        <v>--</v>
      </c>
      <c r="U24" s="328" t="str">
        <f t="shared" si="10"/>
        <v>--</v>
      </c>
      <c r="V24" s="329" t="str">
        <f t="shared" si="11"/>
        <v>--</v>
      </c>
      <c r="W24" s="330" t="str">
        <f t="shared" si="12"/>
        <v>--</v>
      </c>
      <c r="X24" s="331" t="str">
        <f t="shared" si="13"/>
        <v>--</v>
      </c>
      <c r="Y24" s="332" t="str">
        <f t="shared" si="14"/>
        <v>--</v>
      </c>
      <c r="Z24" s="333" t="str">
        <f t="shared" si="15"/>
        <v>--</v>
      </c>
      <c r="AA24" s="334" t="str">
        <f t="shared" si="16"/>
        <v>--</v>
      </c>
      <c r="AB24" s="335" t="s">
        <v>183</v>
      </c>
      <c r="AC24" s="336">
        <f t="shared" si="17"/>
        <v>569.0539249999999</v>
      </c>
      <c r="AD24" s="16">
        <f t="shared" si="18"/>
        <v>569.0539249999999</v>
      </c>
      <c r="AE24" s="18"/>
    </row>
    <row r="25" spans="2:31" s="5" customFormat="1" ht="16.5" customHeight="1">
      <c r="B25" s="51"/>
      <c r="C25" s="408"/>
      <c r="D25" s="160"/>
      <c r="E25" s="163"/>
      <c r="F25" s="1041"/>
      <c r="G25" s="163"/>
      <c r="H25" s="319">
        <f t="shared" si="0"/>
        <v>20</v>
      </c>
      <c r="I25" s="320">
        <f t="shared" si="1"/>
        <v>74.974</v>
      </c>
      <c r="J25" s="232"/>
      <c r="K25" s="321"/>
      <c r="L25" s="234">
        <f t="shared" si="2"/>
      </c>
      <c r="M25" s="235">
        <f t="shared" si="3"/>
      </c>
      <c r="N25" s="322"/>
      <c r="O25" s="323">
        <f t="shared" si="4"/>
      </c>
      <c r="P25" s="324">
        <f t="shared" si="5"/>
      </c>
      <c r="Q25" s="168">
        <f t="shared" si="6"/>
      </c>
      <c r="R25" s="325" t="str">
        <f t="shared" si="7"/>
        <v>--</v>
      </c>
      <c r="S25" s="326" t="str">
        <f t="shared" si="8"/>
        <v>--</v>
      </c>
      <c r="T25" s="327" t="str">
        <f t="shared" si="9"/>
        <v>--</v>
      </c>
      <c r="U25" s="328" t="str">
        <f t="shared" si="10"/>
        <v>--</v>
      </c>
      <c r="V25" s="329" t="str">
        <f t="shared" si="11"/>
        <v>--</v>
      </c>
      <c r="W25" s="330" t="str">
        <f t="shared" si="12"/>
        <v>--</v>
      </c>
      <c r="X25" s="331" t="str">
        <f t="shared" si="13"/>
        <v>--</v>
      </c>
      <c r="Y25" s="332" t="str">
        <f t="shared" si="14"/>
        <v>--</v>
      </c>
      <c r="Z25" s="333" t="str">
        <f t="shared" si="15"/>
        <v>--</v>
      </c>
      <c r="AA25" s="334" t="str">
        <f t="shared" si="16"/>
        <v>--</v>
      </c>
      <c r="AB25" s="335">
        <f aca="true" t="shared" si="19" ref="AB25:AB41">IF(D25="","","SI")</f>
      </c>
      <c r="AC25" s="336">
        <f t="shared" si="17"/>
        <v>0</v>
      </c>
      <c r="AD25" s="16">
        <f t="shared" si="18"/>
      </c>
      <c r="AE25" s="18"/>
    </row>
    <row r="26" spans="2:31" s="5" customFormat="1" ht="16.5" customHeight="1">
      <c r="B26" s="51"/>
      <c r="C26" s="171"/>
      <c r="D26" s="160"/>
      <c r="E26" s="163"/>
      <c r="F26" s="1041"/>
      <c r="G26" s="163"/>
      <c r="H26" s="319">
        <f t="shared" si="0"/>
        <v>20</v>
      </c>
      <c r="I26" s="320">
        <f t="shared" si="1"/>
        <v>74.974</v>
      </c>
      <c r="J26" s="232"/>
      <c r="K26" s="321"/>
      <c r="L26" s="234">
        <f t="shared" si="2"/>
      </c>
      <c r="M26" s="235">
        <f t="shared" si="3"/>
      </c>
      <c r="N26" s="322"/>
      <c r="O26" s="323">
        <f t="shared" si="4"/>
      </c>
      <c r="P26" s="324">
        <f t="shared" si="5"/>
      </c>
      <c r="Q26" s="168">
        <f t="shared" si="6"/>
      </c>
      <c r="R26" s="325" t="str">
        <f t="shared" si="7"/>
        <v>--</v>
      </c>
      <c r="S26" s="326" t="str">
        <f t="shared" si="8"/>
        <v>--</v>
      </c>
      <c r="T26" s="327" t="str">
        <f t="shared" si="9"/>
        <v>--</v>
      </c>
      <c r="U26" s="328" t="str">
        <f t="shared" si="10"/>
        <v>--</v>
      </c>
      <c r="V26" s="329" t="str">
        <f t="shared" si="11"/>
        <v>--</v>
      </c>
      <c r="W26" s="330" t="str">
        <f t="shared" si="12"/>
        <v>--</v>
      </c>
      <c r="X26" s="331" t="str">
        <f t="shared" si="13"/>
        <v>--</v>
      </c>
      <c r="Y26" s="332" t="str">
        <f t="shared" si="14"/>
        <v>--</v>
      </c>
      <c r="Z26" s="333" t="str">
        <f t="shared" si="15"/>
        <v>--</v>
      </c>
      <c r="AA26" s="334" t="str">
        <f t="shared" si="16"/>
        <v>--</v>
      </c>
      <c r="AB26" s="335">
        <f t="shared" si="19"/>
      </c>
      <c r="AC26" s="336">
        <f t="shared" si="17"/>
        <v>0</v>
      </c>
      <c r="AD26" s="16">
        <f t="shared" si="18"/>
      </c>
      <c r="AE26" s="18"/>
    </row>
    <row r="27" spans="2:31" s="5" customFormat="1" ht="16.5" customHeight="1">
      <c r="B27" s="51"/>
      <c r="C27" s="408"/>
      <c r="D27" s="160"/>
      <c r="E27" s="163"/>
      <c r="F27" s="1041"/>
      <c r="G27" s="163"/>
      <c r="H27" s="319">
        <f t="shared" si="0"/>
        <v>20</v>
      </c>
      <c r="I27" s="320">
        <f t="shared" si="1"/>
        <v>74.974</v>
      </c>
      <c r="J27" s="232"/>
      <c r="K27" s="321"/>
      <c r="L27" s="234">
        <f t="shared" si="2"/>
      </c>
      <c r="M27" s="235">
        <f t="shared" si="3"/>
      </c>
      <c r="N27" s="322"/>
      <c r="O27" s="323">
        <f t="shared" si="4"/>
      </c>
      <c r="P27" s="324">
        <f t="shared" si="5"/>
      </c>
      <c r="Q27" s="168">
        <f t="shared" si="6"/>
      </c>
      <c r="R27" s="325" t="str">
        <f t="shared" si="7"/>
        <v>--</v>
      </c>
      <c r="S27" s="326" t="str">
        <f t="shared" si="8"/>
        <v>--</v>
      </c>
      <c r="T27" s="327" t="str">
        <f t="shared" si="9"/>
        <v>--</v>
      </c>
      <c r="U27" s="328" t="str">
        <f t="shared" si="10"/>
        <v>--</v>
      </c>
      <c r="V27" s="329" t="str">
        <f t="shared" si="11"/>
        <v>--</v>
      </c>
      <c r="W27" s="330" t="str">
        <f t="shared" si="12"/>
        <v>--</v>
      </c>
      <c r="X27" s="331" t="str">
        <f t="shared" si="13"/>
        <v>--</v>
      </c>
      <c r="Y27" s="332" t="str">
        <f t="shared" si="14"/>
        <v>--</v>
      </c>
      <c r="Z27" s="333" t="str">
        <f t="shared" si="15"/>
        <v>--</v>
      </c>
      <c r="AA27" s="334" t="str">
        <f t="shared" si="16"/>
        <v>--</v>
      </c>
      <c r="AB27" s="335">
        <f t="shared" si="19"/>
      </c>
      <c r="AC27" s="336">
        <f t="shared" si="17"/>
        <v>0</v>
      </c>
      <c r="AD27" s="16">
        <f t="shared" si="18"/>
      </c>
      <c r="AE27" s="18"/>
    </row>
    <row r="28" spans="2:31" s="5" customFormat="1" ht="16.5" customHeight="1">
      <c r="B28" s="51"/>
      <c r="C28" s="171"/>
      <c r="D28" s="160"/>
      <c r="E28" s="163"/>
      <c r="F28" s="1041"/>
      <c r="G28" s="163"/>
      <c r="H28" s="319">
        <f t="shared" si="0"/>
        <v>20</v>
      </c>
      <c r="I28" s="320">
        <f t="shared" si="1"/>
        <v>74.974</v>
      </c>
      <c r="J28" s="232"/>
      <c r="K28" s="321"/>
      <c r="L28" s="234">
        <f t="shared" si="2"/>
      </c>
      <c r="M28" s="235">
        <f t="shared" si="3"/>
      </c>
      <c r="N28" s="322"/>
      <c r="O28" s="323">
        <f t="shared" si="4"/>
      </c>
      <c r="P28" s="324">
        <f t="shared" si="5"/>
      </c>
      <c r="Q28" s="168">
        <f t="shared" si="6"/>
      </c>
      <c r="R28" s="325" t="str">
        <f t="shared" si="7"/>
        <v>--</v>
      </c>
      <c r="S28" s="326" t="str">
        <f t="shared" si="8"/>
        <v>--</v>
      </c>
      <c r="T28" s="327" t="str">
        <f t="shared" si="9"/>
        <v>--</v>
      </c>
      <c r="U28" s="328" t="str">
        <f t="shared" si="10"/>
        <v>--</v>
      </c>
      <c r="V28" s="329" t="str">
        <f t="shared" si="11"/>
        <v>--</v>
      </c>
      <c r="W28" s="330" t="str">
        <f t="shared" si="12"/>
        <v>--</v>
      </c>
      <c r="X28" s="331" t="str">
        <f t="shared" si="13"/>
        <v>--</v>
      </c>
      <c r="Y28" s="332" t="str">
        <f t="shared" si="14"/>
        <v>--</v>
      </c>
      <c r="Z28" s="333" t="str">
        <f t="shared" si="15"/>
        <v>--</v>
      </c>
      <c r="AA28" s="334" t="str">
        <f t="shared" si="16"/>
        <v>--</v>
      </c>
      <c r="AB28" s="335">
        <f t="shared" si="19"/>
      </c>
      <c r="AC28" s="336">
        <f t="shared" si="17"/>
        <v>0</v>
      </c>
      <c r="AD28" s="16">
        <f t="shared" si="18"/>
      </c>
      <c r="AE28" s="337"/>
    </row>
    <row r="29" spans="2:31" s="5" customFormat="1" ht="16.5" customHeight="1">
      <c r="B29" s="51"/>
      <c r="C29" s="408"/>
      <c r="D29" s="160"/>
      <c r="E29" s="163"/>
      <c r="F29" s="1041"/>
      <c r="G29" s="163"/>
      <c r="H29" s="319">
        <f t="shared" si="0"/>
        <v>20</v>
      </c>
      <c r="I29" s="320">
        <f t="shared" si="1"/>
        <v>74.974</v>
      </c>
      <c r="J29" s="232"/>
      <c r="K29" s="321"/>
      <c r="L29" s="234">
        <f t="shared" si="2"/>
      </c>
      <c r="M29" s="235">
        <f t="shared" si="3"/>
      </c>
      <c r="N29" s="322"/>
      <c r="O29" s="323">
        <f t="shared" si="4"/>
      </c>
      <c r="P29" s="324">
        <f t="shared" si="5"/>
      </c>
      <c r="Q29" s="168">
        <f t="shared" si="6"/>
      </c>
      <c r="R29" s="325" t="str">
        <f t="shared" si="7"/>
        <v>--</v>
      </c>
      <c r="S29" s="326" t="str">
        <f t="shared" si="8"/>
        <v>--</v>
      </c>
      <c r="T29" s="327" t="str">
        <f t="shared" si="9"/>
        <v>--</v>
      </c>
      <c r="U29" s="328" t="str">
        <f t="shared" si="10"/>
        <v>--</v>
      </c>
      <c r="V29" s="329" t="str">
        <f t="shared" si="11"/>
        <v>--</v>
      </c>
      <c r="W29" s="330" t="str">
        <f t="shared" si="12"/>
        <v>--</v>
      </c>
      <c r="X29" s="331" t="str">
        <f t="shared" si="13"/>
        <v>--</v>
      </c>
      <c r="Y29" s="332" t="str">
        <f t="shared" si="14"/>
        <v>--</v>
      </c>
      <c r="Z29" s="333" t="str">
        <f t="shared" si="15"/>
        <v>--</v>
      </c>
      <c r="AA29" s="334" t="str">
        <f t="shared" si="16"/>
        <v>--</v>
      </c>
      <c r="AB29" s="335">
        <f t="shared" si="19"/>
      </c>
      <c r="AC29" s="336">
        <f t="shared" si="17"/>
        <v>0</v>
      </c>
      <c r="AD29" s="16">
        <f t="shared" si="18"/>
      </c>
      <c r="AE29" s="337"/>
    </row>
    <row r="30" spans="2:31" s="5" customFormat="1" ht="16.5" customHeight="1">
      <c r="B30" s="51"/>
      <c r="C30" s="171"/>
      <c r="D30" s="160"/>
      <c r="E30" s="163"/>
      <c r="F30" s="1041"/>
      <c r="G30" s="163"/>
      <c r="H30" s="319">
        <f t="shared" si="0"/>
        <v>20</v>
      </c>
      <c r="I30" s="320">
        <f t="shared" si="1"/>
        <v>74.974</v>
      </c>
      <c r="J30" s="232"/>
      <c r="K30" s="321"/>
      <c r="L30" s="234">
        <f t="shared" si="2"/>
      </c>
      <c r="M30" s="235">
        <f t="shared" si="3"/>
      </c>
      <c r="N30" s="322"/>
      <c r="O30" s="323">
        <f t="shared" si="4"/>
      </c>
      <c r="P30" s="324">
        <f t="shared" si="5"/>
      </c>
      <c r="Q30" s="168">
        <f t="shared" si="6"/>
      </c>
      <c r="R30" s="325" t="str">
        <f t="shared" si="7"/>
        <v>--</v>
      </c>
      <c r="S30" s="326" t="str">
        <f t="shared" si="8"/>
        <v>--</v>
      </c>
      <c r="T30" s="327" t="str">
        <f t="shared" si="9"/>
        <v>--</v>
      </c>
      <c r="U30" s="328" t="str">
        <f t="shared" si="10"/>
        <v>--</v>
      </c>
      <c r="V30" s="329" t="str">
        <f t="shared" si="11"/>
        <v>--</v>
      </c>
      <c r="W30" s="330" t="str">
        <f t="shared" si="12"/>
        <v>--</v>
      </c>
      <c r="X30" s="331" t="str">
        <f t="shared" si="13"/>
        <v>--</v>
      </c>
      <c r="Y30" s="332" t="str">
        <f t="shared" si="14"/>
        <v>--</v>
      </c>
      <c r="Z30" s="333" t="str">
        <f t="shared" si="15"/>
        <v>--</v>
      </c>
      <c r="AA30" s="334" t="str">
        <f t="shared" si="16"/>
        <v>--</v>
      </c>
      <c r="AB30" s="335">
        <f t="shared" si="19"/>
      </c>
      <c r="AC30" s="336">
        <f t="shared" si="17"/>
        <v>0</v>
      </c>
      <c r="AD30" s="16">
        <f t="shared" si="18"/>
      </c>
      <c r="AE30" s="337"/>
    </row>
    <row r="31" spans="2:31" s="5" customFormat="1" ht="16.5" customHeight="1">
      <c r="B31" s="51"/>
      <c r="C31" s="408"/>
      <c r="D31" s="160"/>
      <c r="E31" s="163"/>
      <c r="F31" s="1041"/>
      <c r="G31" s="163"/>
      <c r="H31" s="319">
        <f t="shared" si="0"/>
        <v>20</v>
      </c>
      <c r="I31" s="320">
        <f t="shared" si="1"/>
        <v>74.974</v>
      </c>
      <c r="J31" s="232"/>
      <c r="K31" s="321"/>
      <c r="L31" s="234">
        <f t="shared" si="2"/>
      </c>
      <c r="M31" s="235">
        <f t="shared" si="3"/>
      </c>
      <c r="N31" s="322"/>
      <c r="O31" s="323">
        <f t="shared" si="4"/>
      </c>
      <c r="P31" s="324">
        <f t="shared" si="5"/>
      </c>
      <c r="Q31" s="168">
        <f t="shared" si="6"/>
      </c>
      <c r="R31" s="325" t="str">
        <f t="shared" si="7"/>
        <v>--</v>
      </c>
      <c r="S31" s="326" t="str">
        <f t="shared" si="8"/>
        <v>--</v>
      </c>
      <c r="T31" s="327" t="str">
        <f t="shared" si="9"/>
        <v>--</v>
      </c>
      <c r="U31" s="328" t="str">
        <f t="shared" si="10"/>
        <v>--</v>
      </c>
      <c r="V31" s="329" t="str">
        <f t="shared" si="11"/>
        <v>--</v>
      </c>
      <c r="W31" s="330" t="str">
        <f t="shared" si="12"/>
        <v>--</v>
      </c>
      <c r="X31" s="331" t="str">
        <f t="shared" si="13"/>
        <v>--</v>
      </c>
      <c r="Y31" s="332" t="str">
        <f t="shared" si="14"/>
        <v>--</v>
      </c>
      <c r="Z31" s="333" t="str">
        <f t="shared" si="15"/>
        <v>--</v>
      </c>
      <c r="AA31" s="334" t="str">
        <f t="shared" si="16"/>
        <v>--</v>
      </c>
      <c r="AB31" s="335">
        <f t="shared" si="19"/>
      </c>
      <c r="AC31" s="336">
        <f t="shared" si="17"/>
        <v>0</v>
      </c>
      <c r="AD31" s="16">
        <f t="shared" si="18"/>
      </c>
      <c r="AE31" s="337"/>
    </row>
    <row r="32" spans="2:31" s="5" customFormat="1" ht="16.5" customHeight="1">
      <c r="B32" s="51"/>
      <c r="C32" s="171"/>
      <c r="D32" s="160"/>
      <c r="E32" s="163"/>
      <c r="F32" s="1041"/>
      <c r="G32" s="163"/>
      <c r="H32" s="319">
        <f t="shared" si="0"/>
        <v>20</v>
      </c>
      <c r="I32" s="320">
        <f t="shared" si="1"/>
        <v>74.974</v>
      </c>
      <c r="J32" s="232"/>
      <c r="K32" s="321"/>
      <c r="L32" s="234">
        <f t="shared" si="2"/>
      </c>
      <c r="M32" s="235">
        <f t="shared" si="3"/>
      </c>
      <c r="N32" s="322"/>
      <c r="O32" s="323">
        <f t="shared" si="4"/>
      </c>
      <c r="P32" s="324">
        <f t="shared" si="5"/>
      </c>
      <c r="Q32" s="168">
        <f t="shared" si="6"/>
      </c>
      <c r="R32" s="325" t="str">
        <f t="shared" si="7"/>
        <v>--</v>
      </c>
      <c r="S32" s="326" t="str">
        <f t="shared" si="8"/>
        <v>--</v>
      </c>
      <c r="T32" s="327" t="str">
        <f t="shared" si="9"/>
        <v>--</v>
      </c>
      <c r="U32" s="328" t="str">
        <f t="shared" si="10"/>
        <v>--</v>
      </c>
      <c r="V32" s="329" t="str">
        <f t="shared" si="11"/>
        <v>--</v>
      </c>
      <c r="W32" s="330" t="str">
        <f t="shared" si="12"/>
        <v>--</v>
      </c>
      <c r="X32" s="331" t="str">
        <f t="shared" si="13"/>
        <v>--</v>
      </c>
      <c r="Y32" s="332" t="str">
        <f t="shared" si="14"/>
        <v>--</v>
      </c>
      <c r="Z32" s="333" t="str">
        <f t="shared" si="15"/>
        <v>--</v>
      </c>
      <c r="AA32" s="334" t="str">
        <f t="shared" si="16"/>
        <v>--</v>
      </c>
      <c r="AB32" s="335">
        <f t="shared" si="19"/>
      </c>
      <c r="AC32" s="336">
        <f t="shared" si="17"/>
        <v>0</v>
      </c>
      <c r="AD32" s="16">
        <f t="shared" si="18"/>
      </c>
      <c r="AE32" s="337"/>
    </row>
    <row r="33" spans="2:31" s="5" customFormat="1" ht="16.5" customHeight="1">
      <c r="B33" s="51"/>
      <c r="C33" s="408"/>
      <c r="D33" s="160"/>
      <c r="E33" s="163"/>
      <c r="F33" s="1041"/>
      <c r="G33" s="163"/>
      <c r="H33" s="319">
        <f t="shared" si="0"/>
        <v>20</v>
      </c>
      <c r="I33" s="320">
        <f t="shared" si="1"/>
        <v>74.974</v>
      </c>
      <c r="J33" s="232"/>
      <c r="K33" s="233"/>
      <c r="L33" s="234">
        <f t="shared" si="2"/>
      </c>
      <c r="M33" s="235">
        <f t="shared" si="3"/>
      </c>
      <c r="N33" s="322"/>
      <c r="O33" s="323">
        <f t="shared" si="4"/>
      </c>
      <c r="P33" s="324">
        <f t="shared" si="5"/>
      </c>
      <c r="Q33" s="168">
        <f t="shared" si="6"/>
      </c>
      <c r="R33" s="325" t="str">
        <f t="shared" si="7"/>
        <v>--</v>
      </c>
      <c r="S33" s="326" t="str">
        <f t="shared" si="8"/>
        <v>--</v>
      </c>
      <c r="T33" s="327" t="str">
        <f t="shared" si="9"/>
        <v>--</v>
      </c>
      <c r="U33" s="328" t="str">
        <f t="shared" si="10"/>
        <v>--</v>
      </c>
      <c r="V33" s="329" t="str">
        <f t="shared" si="11"/>
        <v>--</v>
      </c>
      <c r="W33" s="330" t="str">
        <f t="shared" si="12"/>
        <v>--</v>
      </c>
      <c r="X33" s="331" t="str">
        <f t="shared" si="13"/>
        <v>--</v>
      </c>
      <c r="Y33" s="332" t="str">
        <f t="shared" si="14"/>
        <v>--</v>
      </c>
      <c r="Z33" s="333" t="str">
        <f t="shared" si="15"/>
        <v>--</v>
      </c>
      <c r="AA33" s="334" t="str">
        <f t="shared" si="16"/>
        <v>--</v>
      </c>
      <c r="AB33" s="335">
        <f t="shared" si="19"/>
      </c>
      <c r="AC33" s="336">
        <f t="shared" si="17"/>
        <v>0</v>
      </c>
      <c r="AD33" s="16">
        <f t="shared" si="18"/>
      </c>
      <c r="AE33" s="337"/>
    </row>
    <row r="34" spans="2:31" s="5" customFormat="1" ht="16.5" customHeight="1">
      <c r="B34" s="51"/>
      <c r="C34" s="171"/>
      <c r="D34" s="160"/>
      <c r="E34" s="163"/>
      <c r="F34" s="1041"/>
      <c r="G34" s="163"/>
      <c r="H34" s="319">
        <f t="shared" si="0"/>
        <v>20</v>
      </c>
      <c r="I34" s="320">
        <f t="shared" si="1"/>
        <v>74.974</v>
      </c>
      <c r="J34" s="232"/>
      <c r="K34" s="233"/>
      <c r="L34" s="234">
        <f t="shared" si="2"/>
      </c>
      <c r="M34" s="235">
        <f t="shared" si="3"/>
      </c>
      <c r="N34" s="322"/>
      <c r="O34" s="323">
        <f t="shared" si="4"/>
      </c>
      <c r="P34" s="324">
        <f t="shared" si="5"/>
      </c>
      <c r="Q34" s="168">
        <f t="shared" si="6"/>
      </c>
      <c r="R34" s="325" t="str">
        <f t="shared" si="7"/>
        <v>--</v>
      </c>
      <c r="S34" s="326" t="str">
        <f t="shared" si="8"/>
        <v>--</v>
      </c>
      <c r="T34" s="327" t="str">
        <f t="shared" si="9"/>
        <v>--</v>
      </c>
      <c r="U34" s="328" t="str">
        <f t="shared" si="10"/>
        <v>--</v>
      </c>
      <c r="V34" s="329" t="str">
        <f t="shared" si="11"/>
        <v>--</v>
      </c>
      <c r="W34" s="330" t="str">
        <f t="shared" si="12"/>
        <v>--</v>
      </c>
      <c r="X34" s="331" t="str">
        <f t="shared" si="13"/>
        <v>--</v>
      </c>
      <c r="Y34" s="332" t="str">
        <f t="shared" si="14"/>
        <v>--</v>
      </c>
      <c r="Z34" s="333" t="str">
        <f t="shared" si="15"/>
        <v>--</v>
      </c>
      <c r="AA34" s="334" t="str">
        <f t="shared" si="16"/>
        <v>--</v>
      </c>
      <c r="AB34" s="335">
        <f t="shared" si="19"/>
      </c>
      <c r="AC34" s="336">
        <f t="shared" si="17"/>
        <v>0</v>
      </c>
      <c r="AD34" s="16">
        <f t="shared" si="18"/>
      </c>
      <c r="AE34" s="337"/>
    </row>
    <row r="35" spans="2:31" s="5" customFormat="1" ht="16.5" customHeight="1">
      <c r="B35" s="51"/>
      <c r="C35" s="408"/>
      <c r="D35" s="160"/>
      <c r="E35" s="163"/>
      <c r="F35" s="1041"/>
      <c r="G35" s="163"/>
      <c r="H35" s="319">
        <f t="shared" si="0"/>
        <v>20</v>
      </c>
      <c r="I35" s="320">
        <f t="shared" si="1"/>
        <v>74.974</v>
      </c>
      <c r="J35" s="232"/>
      <c r="K35" s="233"/>
      <c r="L35" s="234">
        <f t="shared" si="2"/>
      </c>
      <c r="M35" s="235">
        <f t="shared" si="3"/>
      </c>
      <c r="N35" s="322"/>
      <c r="O35" s="323">
        <f t="shared" si="4"/>
      </c>
      <c r="P35" s="324">
        <f t="shared" si="5"/>
      </c>
      <c r="Q35" s="168">
        <f t="shared" si="6"/>
      </c>
      <c r="R35" s="325" t="str">
        <f t="shared" si="7"/>
        <v>--</v>
      </c>
      <c r="S35" s="326" t="str">
        <f t="shared" si="8"/>
        <v>--</v>
      </c>
      <c r="T35" s="327" t="str">
        <f t="shared" si="9"/>
        <v>--</v>
      </c>
      <c r="U35" s="328" t="str">
        <f t="shared" si="10"/>
        <v>--</v>
      </c>
      <c r="V35" s="329" t="str">
        <f t="shared" si="11"/>
        <v>--</v>
      </c>
      <c r="W35" s="330" t="str">
        <f t="shared" si="12"/>
        <v>--</v>
      </c>
      <c r="X35" s="331" t="str">
        <f t="shared" si="13"/>
        <v>--</v>
      </c>
      <c r="Y35" s="332" t="str">
        <f t="shared" si="14"/>
        <v>--</v>
      </c>
      <c r="Z35" s="333" t="str">
        <f t="shared" si="15"/>
        <v>--</v>
      </c>
      <c r="AA35" s="334" t="str">
        <f t="shared" si="16"/>
        <v>--</v>
      </c>
      <c r="AB35" s="335">
        <f t="shared" si="19"/>
      </c>
      <c r="AC35" s="336">
        <f t="shared" si="17"/>
        <v>0</v>
      </c>
      <c r="AD35" s="16">
        <f t="shared" si="18"/>
      </c>
      <c r="AE35" s="337"/>
    </row>
    <row r="36" spans="2:31" s="5" customFormat="1" ht="16.5" customHeight="1">
      <c r="B36" s="51"/>
      <c r="C36" s="171"/>
      <c r="D36" s="160"/>
      <c r="E36" s="163"/>
      <c r="F36" s="1041"/>
      <c r="G36" s="163"/>
      <c r="H36" s="319">
        <f t="shared" si="0"/>
        <v>20</v>
      </c>
      <c r="I36" s="320">
        <f t="shared" si="1"/>
        <v>74.974</v>
      </c>
      <c r="J36" s="232"/>
      <c r="K36" s="233"/>
      <c r="L36" s="234">
        <f t="shared" si="2"/>
      </c>
      <c r="M36" s="235">
        <f t="shared" si="3"/>
      </c>
      <c r="N36" s="322"/>
      <c r="O36" s="323">
        <f t="shared" si="4"/>
      </c>
      <c r="P36" s="324">
        <f t="shared" si="5"/>
      </c>
      <c r="Q36" s="168">
        <f t="shared" si="6"/>
      </c>
      <c r="R36" s="325" t="str">
        <f t="shared" si="7"/>
        <v>--</v>
      </c>
      <c r="S36" s="326" t="str">
        <f t="shared" si="8"/>
        <v>--</v>
      </c>
      <c r="T36" s="327" t="str">
        <f t="shared" si="9"/>
        <v>--</v>
      </c>
      <c r="U36" s="328" t="str">
        <f t="shared" si="10"/>
        <v>--</v>
      </c>
      <c r="V36" s="329" t="str">
        <f t="shared" si="11"/>
        <v>--</v>
      </c>
      <c r="W36" s="330" t="str">
        <f t="shared" si="12"/>
        <v>--</v>
      </c>
      <c r="X36" s="331" t="str">
        <f t="shared" si="13"/>
        <v>--</v>
      </c>
      <c r="Y36" s="332" t="str">
        <f t="shared" si="14"/>
        <v>--</v>
      </c>
      <c r="Z36" s="333" t="str">
        <f t="shared" si="15"/>
        <v>--</v>
      </c>
      <c r="AA36" s="334" t="str">
        <f t="shared" si="16"/>
        <v>--</v>
      </c>
      <c r="AB36" s="335">
        <f t="shared" si="19"/>
      </c>
      <c r="AC36" s="336">
        <f t="shared" si="17"/>
        <v>0</v>
      </c>
      <c r="AD36" s="16">
        <f t="shared" si="18"/>
      </c>
      <c r="AE36" s="337"/>
    </row>
    <row r="37" spans="2:31" s="5" customFormat="1" ht="16.5" customHeight="1">
      <c r="B37" s="51"/>
      <c r="C37" s="408"/>
      <c r="D37" s="160"/>
      <c r="E37" s="163"/>
      <c r="F37" s="1041"/>
      <c r="G37" s="163"/>
      <c r="H37" s="319">
        <f t="shared" si="0"/>
        <v>20</v>
      </c>
      <c r="I37" s="320">
        <f t="shared" si="1"/>
        <v>74.974</v>
      </c>
      <c r="J37" s="232"/>
      <c r="K37" s="233"/>
      <c r="L37" s="234">
        <f t="shared" si="2"/>
      </c>
      <c r="M37" s="235">
        <f t="shared" si="3"/>
      </c>
      <c r="N37" s="322"/>
      <c r="O37" s="323">
        <f t="shared" si="4"/>
      </c>
      <c r="P37" s="324">
        <f t="shared" si="5"/>
      </c>
      <c r="Q37" s="168">
        <f t="shared" si="6"/>
      </c>
      <c r="R37" s="325" t="str">
        <f t="shared" si="7"/>
        <v>--</v>
      </c>
      <c r="S37" s="326" t="str">
        <f t="shared" si="8"/>
        <v>--</v>
      </c>
      <c r="T37" s="327" t="str">
        <f t="shared" si="9"/>
        <v>--</v>
      </c>
      <c r="U37" s="328" t="str">
        <f t="shared" si="10"/>
        <v>--</v>
      </c>
      <c r="V37" s="329" t="str">
        <f t="shared" si="11"/>
        <v>--</v>
      </c>
      <c r="W37" s="330" t="str">
        <f t="shared" si="12"/>
        <v>--</v>
      </c>
      <c r="X37" s="331" t="str">
        <f t="shared" si="13"/>
        <v>--</v>
      </c>
      <c r="Y37" s="332" t="str">
        <f t="shared" si="14"/>
        <v>--</v>
      </c>
      <c r="Z37" s="333" t="str">
        <f t="shared" si="15"/>
        <v>--</v>
      </c>
      <c r="AA37" s="334" t="str">
        <f t="shared" si="16"/>
        <v>--</v>
      </c>
      <c r="AB37" s="335">
        <f t="shared" si="19"/>
      </c>
      <c r="AC37" s="336">
        <f t="shared" si="17"/>
        <v>0</v>
      </c>
      <c r="AD37" s="16">
        <f t="shared" si="18"/>
      </c>
      <c r="AE37" s="337"/>
    </row>
    <row r="38" spans="2:31" s="5" customFormat="1" ht="16.5" customHeight="1">
      <c r="B38" s="51"/>
      <c r="C38" s="171"/>
      <c r="D38" s="160"/>
      <c r="E38" s="163"/>
      <c r="F38" s="1041"/>
      <c r="G38" s="163"/>
      <c r="H38" s="319">
        <f t="shared" si="0"/>
        <v>20</v>
      </c>
      <c r="I38" s="320">
        <f t="shared" si="1"/>
        <v>74.974</v>
      </c>
      <c r="J38" s="232"/>
      <c r="K38" s="233"/>
      <c r="L38" s="234">
        <f t="shared" si="2"/>
      </c>
      <c r="M38" s="235">
        <f t="shared" si="3"/>
      </c>
      <c r="N38" s="322"/>
      <c r="O38" s="323">
        <f t="shared" si="4"/>
      </c>
      <c r="P38" s="324">
        <f t="shared" si="5"/>
      </c>
      <c r="Q38" s="168">
        <f t="shared" si="6"/>
      </c>
      <c r="R38" s="325" t="str">
        <f t="shared" si="7"/>
        <v>--</v>
      </c>
      <c r="S38" s="326" t="str">
        <f t="shared" si="8"/>
        <v>--</v>
      </c>
      <c r="T38" s="327" t="str">
        <f t="shared" si="9"/>
        <v>--</v>
      </c>
      <c r="U38" s="328" t="str">
        <f t="shared" si="10"/>
        <v>--</v>
      </c>
      <c r="V38" s="329" t="str">
        <f t="shared" si="11"/>
        <v>--</v>
      </c>
      <c r="W38" s="330" t="str">
        <f t="shared" si="12"/>
        <v>--</v>
      </c>
      <c r="X38" s="331" t="str">
        <f t="shared" si="13"/>
        <v>--</v>
      </c>
      <c r="Y38" s="332" t="str">
        <f t="shared" si="14"/>
        <v>--</v>
      </c>
      <c r="Z38" s="333" t="str">
        <f t="shared" si="15"/>
        <v>--</v>
      </c>
      <c r="AA38" s="334" t="str">
        <f t="shared" si="16"/>
        <v>--</v>
      </c>
      <c r="AB38" s="335">
        <f t="shared" si="19"/>
      </c>
      <c r="AC38" s="336">
        <f t="shared" si="17"/>
        <v>0</v>
      </c>
      <c r="AD38" s="16">
        <f t="shared" si="18"/>
      </c>
      <c r="AE38" s="337"/>
    </row>
    <row r="39" spans="2:31" s="5" customFormat="1" ht="16.5" customHeight="1">
      <c r="B39" s="51"/>
      <c r="C39" s="408"/>
      <c r="D39" s="160"/>
      <c r="E39" s="163"/>
      <c r="F39" s="1041"/>
      <c r="G39" s="163"/>
      <c r="H39" s="319">
        <f t="shared" si="0"/>
        <v>20</v>
      </c>
      <c r="I39" s="320">
        <f t="shared" si="1"/>
        <v>74.974</v>
      </c>
      <c r="J39" s="232"/>
      <c r="K39" s="233"/>
      <c r="L39" s="234">
        <f t="shared" si="2"/>
      </c>
      <c r="M39" s="235">
        <f t="shared" si="3"/>
      </c>
      <c r="N39" s="322"/>
      <c r="O39" s="323">
        <f t="shared" si="4"/>
      </c>
      <c r="P39" s="324">
        <f t="shared" si="5"/>
      </c>
      <c r="Q39" s="168">
        <f t="shared" si="6"/>
      </c>
      <c r="R39" s="325" t="str">
        <f t="shared" si="7"/>
        <v>--</v>
      </c>
      <c r="S39" s="326" t="str">
        <f t="shared" si="8"/>
        <v>--</v>
      </c>
      <c r="T39" s="327" t="str">
        <f t="shared" si="9"/>
        <v>--</v>
      </c>
      <c r="U39" s="328" t="str">
        <f t="shared" si="10"/>
        <v>--</v>
      </c>
      <c r="V39" s="329" t="str">
        <f t="shared" si="11"/>
        <v>--</v>
      </c>
      <c r="W39" s="330" t="str">
        <f t="shared" si="12"/>
        <v>--</v>
      </c>
      <c r="X39" s="331" t="str">
        <f t="shared" si="13"/>
        <v>--</v>
      </c>
      <c r="Y39" s="332" t="str">
        <f t="shared" si="14"/>
        <v>--</v>
      </c>
      <c r="Z39" s="333" t="str">
        <f t="shared" si="15"/>
        <v>--</v>
      </c>
      <c r="AA39" s="334" t="str">
        <f t="shared" si="16"/>
        <v>--</v>
      </c>
      <c r="AB39" s="335">
        <f t="shared" si="19"/>
      </c>
      <c r="AC39" s="336">
        <f t="shared" si="17"/>
        <v>0</v>
      </c>
      <c r="AD39" s="16">
        <f t="shared" si="18"/>
      </c>
      <c r="AE39" s="337"/>
    </row>
    <row r="40" spans="2:31" s="5" customFormat="1" ht="16.5" customHeight="1">
      <c r="B40" s="51"/>
      <c r="C40" s="171"/>
      <c r="D40" s="160"/>
      <c r="E40" s="338"/>
      <c r="F40" s="1041"/>
      <c r="G40" s="163"/>
      <c r="H40" s="319">
        <f t="shared" si="0"/>
        <v>20</v>
      </c>
      <c r="I40" s="320">
        <f t="shared" si="1"/>
        <v>74.974</v>
      </c>
      <c r="J40" s="232"/>
      <c r="K40" s="233"/>
      <c r="L40" s="234">
        <f t="shared" si="2"/>
      </c>
      <c r="M40" s="235">
        <f t="shared" si="3"/>
      </c>
      <c r="N40" s="322"/>
      <c r="O40" s="323">
        <f t="shared" si="4"/>
      </c>
      <c r="P40" s="324">
        <f t="shared" si="5"/>
      </c>
      <c r="Q40" s="168">
        <f t="shared" si="6"/>
      </c>
      <c r="R40" s="325" t="str">
        <f t="shared" si="7"/>
        <v>--</v>
      </c>
      <c r="S40" s="326" t="str">
        <f t="shared" si="8"/>
        <v>--</v>
      </c>
      <c r="T40" s="327" t="str">
        <f t="shared" si="9"/>
        <v>--</v>
      </c>
      <c r="U40" s="328" t="str">
        <f t="shared" si="10"/>
        <v>--</v>
      </c>
      <c r="V40" s="329" t="str">
        <f t="shared" si="11"/>
        <v>--</v>
      </c>
      <c r="W40" s="330" t="str">
        <f t="shared" si="12"/>
        <v>--</v>
      </c>
      <c r="X40" s="331" t="str">
        <f t="shared" si="13"/>
        <v>--</v>
      </c>
      <c r="Y40" s="332" t="str">
        <f t="shared" si="14"/>
        <v>--</v>
      </c>
      <c r="Z40" s="333" t="str">
        <f t="shared" si="15"/>
        <v>--</v>
      </c>
      <c r="AA40" s="334" t="str">
        <f t="shared" si="16"/>
        <v>--</v>
      </c>
      <c r="AB40" s="335">
        <f t="shared" si="19"/>
      </c>
      <c r="AC40" s="336">
        <f t="shared" si="17"/>
        <v>0</v>
      </c>
      <c r="AD40" s="16">
        <f t="shared" si="18"/>
      </c>
      <c r="AE40" s="337"/>
    </row>
    <row r="41" spans="2:31" s="5" customFormat="1" ht="16.5" customHeight="1">
      <c r="B41" s="51"/>
      <c r="C41" s="408"/>
      <c r="D41" s="160"/>
      <c r="E41" s="338"/>
      <c r="F41" s="1041"/>
      <c r="G41" s="163"/>
      <c r="H41" s="319">
        <f t="shared" si="0"/>
        <v>20</v>
      </c>
      <c r="I41" s="320">
        <f t="shared" si="1"/>
        <v>74.974</v>
      </c>
      <c r="J41" s="232"/>
      <c r="K41" s="233"/>
      <c r="L41" s="234">
        <f t="shared" si="2"/>
      </c>
      <c r="M41" s="235">
        <f t="shared" si="3"/>
      </c>
      <c r="N41" s="322"/>
      <c r="O41" s="323">
        <f t="shared" si="4"/>
      </c>
      <c r="P41" s="324">
        <f t="shared" si="5"/>
      </c>
      <c r="Q41" s="168">
        <f t="shared" si="6"/>
      </c>
      <c r="R41" s="325" t="str">
        <f t="shared" si="7"/>
        <v>--</v>
      </c>
      <c r="S41" s="326" t="str">
        <f t="shared" si="8"/>
        <v>--</v>
      </c>
      <c r="T41" s="327" t="str">
        <f t="shared" si="9"/>
        <v>--</v>
      </c>
      <c r="U41" s="328" t="str">
        <f t="shared" si="10"/>
        <v>--</v>
      </c>
      <c r="V41" s="329" t="str">
        <f t="shared" si="11"/>
        <v>--</v>
      </c>
      <c r="W41" s="330" t="str">
        <f t="shared" si="12"/>
        <v>--</v>
      </c>
      <c r="X41" s="331" t="str">
        <f t="shared" si="13"/>
        <v>--</v>
      </c>
      <c r="Y41" s="332" t="str">
        <f t="shared" si="14"/>
        <v>--</v>
      </c>
      <c r="Z41" s="333" t="str">
        <f t="shared" si="15"/>
        <v>--</v>
      </c>
      <c r="AA41" s="334" t="str">
        <f t="shared" si="16"/>
        <v>--</v>
      </c>
      <c r="AB41" s="335">
        <f t="shared" si="19"/>
      </c>
      <c r="AC41" s="336">
        <f t="shared" si="17"/>
        <v>0</v>
      </c>
      <c r="AD41" s="16">
        <f t="shared" si="18"/>
      </c>
      <c r="AE41" s="337"/>
    </row>
    <row r="42" spans="2:31" s="5" customFormat="1" ht="16.5" customHeight="1" thickBot="1">
      <c r="B42" s="51"/>
      <c r="C42" s="171"/>
      <c r="D42" s="165"/>
      <c r="E42" s="339"/>
      <c r="F42" s="1035"/>
      <c r="G42" s="340"/>
      <c r="H42" s="341"/>
      <c r="I42" s="342"/>
      <c r="J42" s="167"/>
      <c r="K42" s="167"/>
      <c r="L42" s="9"/>
      <c r="M42" s="9"/>
      <c r="N42" s="167"/>
      <c r="O42" s="241"/>
      <c r="P42" s="9"/>
      <c r="Q42" s="167"/>
      <c r="R42" s="343"/>
      <c r="S42" s="344"/>
      <c r="T42" s="345"/>
      <c r="U42" s="346"/>
      <c r="V42" s="347"/>
      <c r="W42" s="348"/>
      <c r="X42" s="349"/>
      <c r="Y42" s="350"/>
      <c r="Z42" s="351"/>
      <c r="AA42" s="352"/>
      <c r="AB42" s="353"/>
      <c r="AC42" s="354"/>
      <c r="AD42" s="355"/>
      <c r="AE42" s="337"/>
    </row>
    <row r="43" spans="2:31" s="5" customFormat="1" ht="16.5" customHeight="1" thickBot="1" thickTop="1">
      <c r="B43" s="51"/>
      <c r="C43" s="131" t="s">
        <v>25</v>
      </c>
      <c r="D43" s="132" t="s">
        <v>303</v>
      </c>
      <c r="E43" s="356"/>
      <c r="F43" s="277"/>
      <c r="G43" s="357"/>
      <c r="H43" s="277"/>
      <c r="I43" s="242"/>
      <c r="J43" s="242"/>
      <c r="K43" s="242"/>
      <c r="L43" s="242"/>
      <c r="M43" s="242"/>
      <c r="N43" s="242"/>
      <c r="O43" s="358"/>
      <c r="P43" s="242"/>
      <c r="Q43" s="242"/>
      <c r="R43" s="243">
        <f aca="true" t="shared" si="20" ref="R43:AA43">SUM(R20:R42)</f>
        <v>753.1304989999999</v>
      </c>
      <c r="S43" s="359">
        <f t="shared" si="20"/>
        <v>0</v>
      </c>
      <c r="T43" s="360">
        <f t="shared" si="20"/>
        <v>0</v>
      </c>
      <c r="U43" s="361">
        <f t="shared" si="20"/>
        <v>0</v>
      </c>
      <c r="V43" s="362">
        <f t="shared" si="20"/>
        <v>0</v>
      </c>
      <c r="W43" s="363">
        <f t="shared" si="20"/>
        <v>0</v>
      </c>
      <c r="X43" s="364">
        <f t="shared" si="20"/>
        <v>0</v>
      </c>
      <c r="Y43" s="365">
        <f t="shared" si="20"/>
        <v>0</v>
      </c>
      <c r="Z43" s="366">
        <f t="shared" si="20"/>
        <v>0</v>
      </c>
      <c r="AA43" s="367">
        <f t="shared" si="20"/>
        <v>0</v>
      </c>
      <c r="AB43" s="368"/>
      <c r="AC43" s="369">
        <f>ROUND(SUM(AC20:AC42),2)</f>
        <v>753.13</v>
      </c>
      <c r="AD43" s="370">
        <f>ROUND(SUM(AD20:AD42),2)</f>
        <v>753.13</v>
      </c>
      <c r="AE43" s="337"/>
    </row>
    <row r="44" spans="2:31" s="137" customFormat="1" ht="9.75" thickTop="1">
      <c r="B44" s="136"/>
      <c r="C44" s="133"/>
      <c r="D44" s="134"/>
      <c r="E44" s="371"/>
      <c r="F44" s="372"/>
      <c r="G44" s="373"/>
      <c r="H44" s="372"/>
      <c r="I44" s="249"/>
      <c r="J44" s="249"/>
      <c r="K44" s="249"/>
      <c r="L44" s="249"/>
      <c r="M44" s="249"/>
      <c r="N44" s="249"/>
      <c r="O44" s="374"/>
      <c r="P44" s="249"/>
      <c r="Q44" s="249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375"/>
      <c r="AD44" s="375"/>
      <c r="AE44" s="376"/>
    </row>
    <row r="45" spans="2:31" s="5" customFormat="1" ht="16.5" customHeight="1" thickBot="1"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7"/>
    </row>
    <row r="46" spans="2:31" ht="16.5" customHeight="1" thickTop="1">
      <c r="B46" s="1"/>
      <c r="AE46" s="1"/>
    </row>
  </sheetData>
  <mergeCells count="1">
    <mergeCell ref="M14:Q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G157"/>
  <sheetViews>
    <sheetView zoomScale="75" zoomScaleNormal="75" workbookViewId="0" topLeftCell="A10">
      <selection activeCell="AB22" sqref="AB22:AB23"/>
    </sheetView>
  </sheetViews>
  <sheetFormatPr defaultColWidth="11.421875" defaultRowHeight="12.75"/>
  <cols>
    <col min="1" max="2" width="15.7109375" style="0" customWidth="1"/>
    <col min="3" max="3" width="5.140625" style="0" customWidth="1"/>
    <col min="4" max="4" width="28.57421875" style="0" customWidth="1"/>
    <col min="5" max="5" width="19.7109375" style="0" customWidth="1"/>
    <col min="6" max="6" width="8.7109375" style="0" customWidth="1"/>
    <col min="7" max="7" width="11.140625" style="0" customWidth="1"/>
    <col min="8" max="8" width="6.4218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6.8515625" style="0" customWidth="1"/>
    <col min="17" max="17" width="12.7109375" style="0" hidden="1" customWidth="1"/>
    <col min="18" max="19" width="12.28125" style="0" hidden="1" customWidth="1"/>
    <col min="20" max="23" width="5.7109375" style="0" hidden="1" customWidth="1"/>
    <col min="24" max="24" width="12.28125" style="0" hidden="1" customWidth="1"/>
    <col min="25" max="25" width="13.421875" style="0" hidden="1" customWidth="1"/>
    <col min="26" max="26" width="8.7109375" style="0" customWidth="1"/>
    <col min="27" max="27" width="11.00390625" style="0" hidden="1" customWidth="1"/>
    <col min="28" max="29" width="15.7109375" style="0" customWidth="1"/>
  </cols>
  <sheetData>
    <row r="1" spans="1:29" s="19" customFormat="1" ht="26.25">
      <c r="A1" s="19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159"/>
    </row>
    <row r="2" spans="1:29" s="19" customFormat="1" ht="26.25">
      <c r="A2" s="92"/>
      <c r="B2" s="377" t="str">
        <f>+'TOT-0907'!B2</f>
        <v>ANEXO IV al Memorandum D.T.E.E. N°  1955 /2009</v>
      </c>
      <c r="C2" s="377"/>
      <c r="D2" s="377"/>
      <c r="E2" s="20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s="5" customFormat="1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s="26" customFormat="1" ht="11.25">
      <c r="A4" s="378" t="s">
        <v>77</v>
      </c>
      <c r="B4" s="11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s="26" customFormat="1" ht="11.25">
      <c r="A5" s="378" t="s">
        <v>3</v>
      </c>
      <c r="B5" s="11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</row>
    <row r="6" spans="1:29" s="5" customFormat="1" ht="13.5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s="5" customFormat="1" ht="13.5" thickTop="1">
      <c r="A7" s="91"/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5"/>
    </row>
    <row r="8" spans="2:33" s="30" customFormat="1" ht="20.25">
      <c r="B8" s="80"/>
      <c r="C8" s="31"/>
      <c r="D8" s="192" t="s">
        <v>61</v>
      </c>
      <c r="E8" s="31"/>
      <c r="F8" s="31"/>
      <c r="G8" s="31"/>
      <c r="H8" s="31"/>
      <c r="O8" s="31"/>
      <c r="P8" s="31"/>
      <c r="Q8" s="11"/>
      <c r="R8" s="11"/>
      <c r="S8" s="11"/>
      <c r="T8" s="31"/>
      <c r="U8" s="31"/>
      <c r="V8" s="31"/>
      <c r="W8" s="31"/>
      <c r="X8" s="31"/>
      <c r="Y8" s="31"/>
      <c r="Z8" s="31"/>
      <c r="AA8" s="31"/>
      <c r="AB8" s="471"/>
      <c r="AC8" s="110"/>
      <c r="AD8" s="31"/>
      <c r="AE8" s="31"/>
      <c r="AF8" s="471"/>
      <c r="AG8" s="471"/>
    </row>
    <row r="9" spans="1:29" s="5" customFormat="1" ht="12.75">
      <c r="A9" s="91"/>
      <c r="B9" s="96"/>
      <c r="C9" s="91"/>
      <c r="D9" s="15"/>
      <c r="E9" s="381"/>
      <c r="F9" s="91"/>
      <c r="G9" s="15"/>
      <c r="H9" s="91"/>
      <c r="I9" s="91"/>
      <c r="J9" s="91"/>
      <c r="K9" s="91"/>
      <c r="L9" s="91"/>
      <c r="M9" s="91"/>
      <c r="N9" s="91"/>
      <c r="O9" s="91"/>
      <c r="P9" s="91"/>
      <c r="Q9" s="91"/>
      <c r="R9" s="15"/>
      <c r="S9" s="15"/>
      <c r="T9" s="15"/>
      <c r="U9" s="15"/>
      <c r="V9" s="15"/>
      <c r="W9" s="15"/>
      <c r="X9" s="15"/>
      <c r="Y9" s="15"/>
      <c r="Z9" s="15"/>
      <c r="AA9" s="15"/>
      <c r="AB9" s="91"/>
      <c r="AC9" s="18"/>
    </row>
    <row r="10" spans="2:33" s="30" customFormat="1" ht="20.25">
      <c r="B10" s="80"/>
      <c r="C10" s="31"/>
      <c r="D10" s="192" t="s">
        <v>81</v>
      </c>
      <c r="E10" s="31"/>
      <c r="F10" s="31"/>
      <c r="G10" s="31"/>
      <c r="H10" s="31"/>
      <c r="O10" s="31"/>
      <c r="P10" s="31"/>
      <c r="Q10" s="11"/>
      <c r="R10" s="11"/>
      <c r="S10" s="11"/>
      <c r="T10" s="31"/>
      <c r="U10" s="31"/>
      <c r="V10" s="31"/>
      <c r="W10" s="31"/>
      <c r="X10" s="31"/>
      <c r="Y10" s="31"/>
      <c r="Z10" s="31"/>
      <c r="AA10" s="31"/>
      <c r="AB10" s="471"/>
      <c r="AC10" s="110"/>
      <c r="AD10" s="31"/>
      <c r="AE10" s="31"/>
      <c r="AF10" s="471"/>
      <c r="AG10" s="471"/>
    </row>
    <row r="11" spans="1:29" s="5" customFormat="1" ht="12.75">
      <c r="A11" s="91"/>
      <c r="B11" s="96"/>
      <c r="C11" s="91"/>
      <c r="D11" s="15"/>
      <c r="E11" s="15"/>
      <c r="F11" s="15"/>
      <c r="G11" s="99"/>
      <c r="H11" s="15"/>
      <c r="I11" s="15"/>
      <c r="J11" s="15"/>
      <c r="K11" s="15"/>
      <c r="L11" s="15"/>
      <c r="M11" s="91"/>
      <c r="N11" s="91"/>
      <c r="O11" s="91"/>
      <c r="P11" s="91"/>
      <c r="Q11" s="91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91"/>
      <c r="AC11" s="18"/>
    </row>
    <row r="12" spans="1:29" s="37" customFormat="1" ht="19.5">
      <c r="A12" s="112"/>
      <c r="B12" s="38" t="str">
        <f>'TOT-0907'!B14</f>
        <v>Desde el 01 al 30 de septiembre de 2007</v>
      </c>
      <c r="C12" s="382"/>
      <c r="D12" s="115"/>
      <c r="E12" s="115"/>
      <c r="F12" s="115"/>
      <c r="G12" s="115"/>
      <c r="H12" s="115"/>
      <c r="I12" s="115"/>
      <c r="J12" s="115"/>
      <c r="K12" s="115"/>
      <c r="L12" s="115"/>
      <c r="M12" s="382"/>
      <c r="N12" s="382"/>
      <c r="O12" s="382"/>
      <c r="P12" s="382"/>
      <c r="Q12" s="382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472"/>
      <c r="AC12" s="383"/>
    </row>
    <row r="13" spans="1:29" s="5" customFormat="1" ht="13.5" thickBot="1">
      <c r="A13" s="91"/>
      <c r="B13" s="96"/>
      <c r="C13" s="91"/>
      <c r="D13" s="15"/>
      <c r="E13" s="15"/>
      <c r="F13" s="15"/>
      <c r="G13" s="99"/>
      <c r="H13" s="15"/>
      <c r="I13" s="15"/>
      <c r="J13" s="15"/>
      <c r="K13" s="15"/>
      <c r="L13" s="15"/>
      <c r="M13" s="91"/>
      <c r="N13" s="91"/>
      <c r="O13" s="91"/>
      <c r="P13" s="91"/>
      <c r="Q13" s="91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1"/>
      <c r="AC13" s="18"/>
    </row>
    <row r="14" spans="1:29" s="5" customFormat="1" ht="16.5" customHeight="1" thickBot="1" thickTop="1">
      <c r="A14" s="91"/>
      <c r="B14" s="96"/>
      <c r="C14" s="91"/>
      <c r="D14" s="473" t="s">
        <v>178</v>
      </c>
      <c r="E14" s="474"/>
      <c r="F14" s="475">
        <v>0.245</v>
      </c>
      <c r="G14" s="99"/>
      <c r="H14" s="15"/>
      <c r="I14" s="15"/>
      <c r="J14" s="15"/>
      <c r="K14" s="15"/>
      <c r="L14" s="1149" t="s">
        <v>65</v>
      </c>
      <c r="M14" s="1150"/>
      <c r="N14" s="1150"/>
      <c r="O14" s="1150"/>
      <c r="P14" s="1151"/>
      <c r="Q14" s="265" t="b">
        <f>AND(P15&lt;=0.82,P16&lt;=1.17)</f>
        <v>1</v>
      </c>
      <c r="R14" s="265" t="b">
        <f>AND(P15&gt;=1.17,P16&gt;=1.7)</f>
        <v>0</v>
      </c>
      <c r="S14" s="266">
        <f>((P16/1.17)+(P15/0.82))*0.852446393-1.454892785</f>
        <v>-1.454892785</v>
      </c>
      <c r="T14" s="15"/>
      <c r="U14" s="15"/>
      <c r="V14" s="15"/>
      <c r="W14" s="15"/>
      <c r="X14" s="15"/>
      <c r="Y14" s="15"/>
      <c r="Z14" s="15"/>
      <c r="AA14" s="15"/>
      <c r="AB14" s="91"/>
      <c r="AC14" s="18"/>
    </row>
    <row r="15" spans="1:29" s="5" customFormat="1" ht="16.5" customHeight="1" thickBot="1" thickTop="1">
      <c r="A15" s="91"/>
      <c r="B15" s="96"/>
      <c r="C15" s="91"/>
      <c r="D15" s="473" t="s">
        <v>82</v>
      </c>
      <c r="E15" s="474"/>
      <c r="F15" s="475">
        <v>0.245</v>
      </c>
      <c r="G15"/>
      <c r="H15" s="91"/>
      <c r="I15" s="91"/>
      <c r="J15" s="91"/>
      <c r="K15" s="91"/>
      <c r="L15" s="268" t="s">
        <v>67</v>
      </c>
      <c r="M15" s="269"/>
      <c r="N15" s="269"/>
      <c r="O15" s="269"/>
      <c r="P15" s="270">
        <v>0</v>
      </c>
      <c r="Q15" s="271"/>
      <c r="R15" s="265"/>
      <c r="S15" s="266"/>
      <c r="T15" s="15"/>
      <c r="U15" s="15"/>
      <c r="V15" s="15"/>
      <c r="W15" s="15"/>
      <c r="X15" s="15"/>
      <c r="Y15" s="15"/>
      <c r="Z15" s="15"/>
      <c r="AA15" s="15"/>
      <c r="AB15" s="91"/>
      <c r="AC15" s="18"/>
    </row>
    <row r="16" spans="1:29" s="5" customFormat="1" ht="16.5" customHeight="1" thickBot="1" thickTop="1">
      <c r="A16" s="91"/>
      <c r="B16" s="96"/>
      <c r="C16" s="91"/>
      <c r="D16" s="113" t="s">
        <v>27</v>
      </c>
      <c r="E16" s="114"/>
      <c r="F16" s="1045">
        <v>200</v>
      </c>
      <c r="G16"/>
      <c r="H16" s="15"/>
      <c r="I16" s="154" t="s">
        <v>69</v>
      </c>
      <c r="J16" s="272">
        <f>4*P17</f>
        <v>1</v>
      </c>
      <c r="K16" s="15"/>
      <c r="L16" s="268" t="s">
        <v>70</v>
      </c>
      <c r="M16" s="269"/>
      <c r="N16" s="269"/>
      <c r="O16" s="269"/>
      <c r="P16" s="270">
        <v>0</v>
      </c>
      <c r="Q16" s="271"/>
      <c r="R16" s="265"/>
      <c r="S16" s="266"/>
      <c r="T16" s="15"/>
      <c r="U16" s="100"/>
      <c r="V16" s="100"/>
      <c r="W16" s="100"/>
      <c r="X16" s="100"/>
      <c r="Y16" s="100"/>
      <c r="Z16" s="100"/>
      <c r="AA16" s="91"/>
      <c r="AB16" s="91"/>
      <c r="AC16" s="18"/>
    </row>
    <row r="17" spans="1:29" s="5" customFormat="1" ht="16.5" customHeight="1" thickBot="1" thickTop="1">
      <c r="A17" s="91"/>
      <c r="B17" s="96"/>
      <c r="C17" s="91"/>
      <c r="D17" s="476"/>
      <c r="E17" s="477"/>
      <c r="F17" s="478"/>
      <c r="G17"/>
      <c r="H17" s="15"/>
      <c r="I17" s="154"/>
      <c r="J17" s="272"/>
      <c r="K17" s="15"/>
      <c r="L17" s="268" t="s">
        <v>71</v>
      </c>
      <c r="M17" s="269"/>
      <c r="N17" s="269"/>
      <c r="O17" s="269"/>
      <c r="P17" s="270">
        <f>IF(Q14=TRUE,0.25,IF(R14=TRUE,1,S14))</f>
        <v>0.25</v>
      </c>
      <c r="Q17" s="276"/>
      <c r="R17" s="276"/>
      <c r="S17" s="276"/>
      <c r="T17" s="15"/>
      <c r="U17" s="100"/>
      <c r="V17" s="100"/>
      <c r="W17" s="100"/>
      <c r="X17" s="100"/>
      <c r="Y17" s="100"/>
      <c r="Z17" s="100"/>
      <c r="AA17" s="91"/>
      <c r="AB17" s="91"/>
      <c r="AC17" s="18"/>
    </row>
    <row r="18" spans="1:29" s="5" customFormat="1" ht="16.5" customHeight="1" thickBot="1" thickTop="1">
      <c r="A18" s="91"/>
      <c r="B18" s="96"/>
      <c r="C18" s="91"/>
      <c r="D18" s="15"/>
      <c r="E18" s="15"/>
      <c r="F18" s="15"/>
      <c r="G18" s="10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91"/>
      <c r="AC18" s="18"/>
    </row>
    <row r="19" spans="1:29" s="5" customFormat="1" ht="33.75" customHeight="1" thickBot="1" thickTop="1">
      <c r="A19" s="91"/>
      <c r="B19" s="96"/>
      <c r="C19" s="127" t="s">
        <v>13</v>
      </c>
      <c r="D19" s="123" t="s">
        <v>28</v>
      </c>
      <c r="E19" s="122" t="s">
        <v>29</v>
      </c>
      <c r="F19" s="124" t="s">
        <v>30</v>
      </c>
      <c r="G19" s="125" t="s">
        <v>14</v>
      </c>
      <c r="H19" s="139" t="s">
        <v>16</v>
      </c>
      <c r="I19" s="122" t="s">
        <v>17</v>
      </c>
      <c r="J19" s="122" t="s">
        <v>18</v>
      </c>
      <c r="K19" s="123" t="s">
        <v>31</v>
      </c>
      <c r="L19" s="123" t="s">
        <v>32</v>
      </c>
      <c r="M19" s="89" t="s">
        <v>19</v>
      </c>
      <c r="N19" s="89" t="s">
        <v>47</v>
      </c>
      <c r="O19" s="126" t="s">
        <v>33</v>
      </c>
      <c r="P19" s="126" t="s">
        <v>34</v>
      </c>
      <c r="Q19" s="479" t="s">
        <v>38</v>
      </c>
      <c r="R19" s="388" t="s">
        <v>20</v>
      </c>
      <c r="S19" s="389" t="s">
        <v>21</v>
      </c>
      <c r="T19" s="284" t="s">
        <v>79</v>
      </c>
      <c r="U19" s="286"/>
      <c r="V19" s="390" t="s">
        <v>80</v>
      </c>
      <c r="W19" s="391"/>
      <c r="X19" s="392" t="s">
        <v>22</v>
      </c>
      <c r="Y19" s="393" t="s">
        <v>75</v>
      </c>
      <c r="Z19" s="144" t="s">
        <v>76</v>
      </c>
      <c r="AA19" s="480" t="s">
        <v>83</v>
      </c>
      <c r="AB19" s="125" t="s">
        <v>24</v>
      </c>
      <c r="AC19" s="18"/>
    </row>
    <row r="20" spans="1:29" s="5" customFormat="1" ht="16.5" customHeight="1" thickTop="1">
      <c r="A20" s="91"/>
      <c r="B20" s="96"/>
      <c r="C20" s="481"/>
      <c r="D20" s="481"/>
      <c r="E20" s="481"/>
      <c r="F20" s="481"/>
      <c r="G20" s="482"/>
      <c r="H20" s="483"/>
      <c r="I20" s="481"/>
      <c r="J20" s="481"/>
      <c r="K20" s="481"/>
      <c r="L20" s="481"/>
      <c r="M20" s="481"/>
      <c r="N20" s="225"/>
      <c r="O20" s="484"/>
      <c r="P20" s="481"/>
      <c r="Q20" s="485"/>
      <c r="R20" s="399"/>
      <c r="S20" s="400"/>
      <c r="T20" s="401"/>
      <c r="U20" s="402"/>
      <c r="V20" s="403"/>
      <c r="W20" s="404"/>
      <c r="X20" s="405"/>
      <c r="Y20" s="406"/>
      <c r="Z20" s="484"/>
      <c r="AA20" s="486"/>
      <c r="AB20" s="487"/>
      <c r="AC20" s="18"/>
    </row>
    <row r="21" spans="1:29" s="5" customFormat="1" ht="16.5" customHeight="1">
      <c r="A21" s="91"/>
      <c r="B21" s="96"/>
      <c r="C21" s="408"/>
      <c r="D21" s="408"/>
      <c r="E21" s="408"/>
      <c r="F21" s="408"/>
      <c r="G21" s="409"/>
      <c r="H21" s="410"/>
      <c r="I21" s="408"/>
      <c r="J21" s="408"/>
      <c r="K21" s="408"/>
      <c r="L21" s="408"/>
      <c r="M21" s="408"/>
      <c r="N21" s="226"/>
      <c r="O21" s="411"/>
      <c r="P21" s="408"/>
      <c r="Q21" s="488"/>
      <c r="R21" s="413"/>
      <c r="S21" s="414"/>
      <c r="T21" s="415"/>
      <c r="U21" s="416"/>
      <c r="V21" s="417"/>
      <c r="W21" s="418"/>
      <c r="X21" s="419"/>
      <c r="Y21" s="420"/>
      <c r="Z21" s="411"/>
      <c r="AA21" s="489"/>
      <c r="AB21" s="490"/>
      <c r="AC21" s="18"/>
    </row>
    <row r="22" spans="1:29" s="5" customFormat="1" ht="16.5" customHeight="1">
      <c r="A22" s="91"/>
      <c r="B22" s="96"/>
      <c r="C22" s="171">
        <v>117</v>
      </c>
      <c r="D22" s="164" t="s">
        <v>262</v>
      </c>
      <c r="E22" s="422" t="s">
        <v>263</v>
      </c>
      <c r="F22" s="423">
        <v>300</v>
      </c>
      <c r="G22" s="1048" t="s">
        <v>157</v>
      </c>
      <c r="H22" s="491">
        <f>IF(D22="RINCÓN",F22*$F$15,F22*$F$14)</f>
        <v>73.5</v>
      </c>
      <c r="I22" s="175">
        <v>39334.30902777778</v>
      </c>
      <c r="J22" s="175">
        <v>39334.47986111111</v>
      </c>
      <c r="K22" s="492">
        <f aca="true" t="shared" si="0" ref="K22:K41">IF(D22="","",(J22-I22)*24)</f>
        <v>4.099999999918509</v>
      </c>
      <c r="L22" s="493">
        <f aca="true" t="shared" si="1" ref="L22:L41">IF(D22="","",ROUND((J22-I22)*24*60,0))</f>
        <v>246</v>
      </c>
      <c r="M22" s="494" t="s">
        <v>182</v>
      </c>
      <c r="N22" s="323" t="str">
        <f aca="true" t="shared" si="2" ref="N22:N41">IF(D22="","","--")</f>
        <v>--</v>
      </c>
      <c r="O22" s="495" t="str">
        <f aca="true" t="shared" si="3" ref="O22:O41">IF(D22="","",IF(OR(M22="P",M22="RP"),"--","NO"))</f>
        <v>--</v>
      </c>
      <c r="P22" s="496" t="str">
        <f aca="true" t="shared" si="4" ref="P22:P41">IF(D22="","","NO")</f>
        <v>NO</v>
      </c>
      <c r="Q22" s="497">
        <f aca="true" t="shared" si="5" ref="Q22:Q41">$F$16*IF(OR(M22="P",M22="RP"),0.1,1)*IF(P22="SI",1,0.1)</f>
        <v>2</v>
      </c>
      <c r="R22" s="498">
        <f>IF(M22="P",H22*Q22*ROUND(L22/60,2),"--")</f>
        <v>602.6999999999999</v>
      </c>
      <c r="S22" s="499" t="str">
        <f aca="true" t="shared" si="6" ref="S22:S41">IF(M22="RP",H22*Q22*N22/100*ROUND(L22/60,2),"--")</f>
        <v>--</v>
      </c>
      <c r="T22" s="500" t="str">
        <f aca="true" t="shared" si="7" ref="T22:T41">IF(AND(M22="F",O22="NO"),H22*Q22,"--")</f>
        <v>--</v>
      </c>
      <c r="U22" s="501" t="str">
        <f aca="true" t="shared" si="8" ref="U22:U41">IF(M22="F",H22*Q22*ROUND(L22/60,2),"--")</f>
        <v>--</v>
      </c>
      <c r="V22" s="502" t="str">
        <f aca="true" t="shared" si="9" ref="V22:V41">IF(AND(M22="R",O22="NO"),H22*Q22*N22/100,"--")</f>
        <v>--</v>
      </c>
      <c r="W22" s="503" t="str">
        <f aca="true" t="shared" si="10" ref="W22:W41">IF(M22="R",H22*Q22*N22/100*ROUND(L22/60,2),"--")</f>
        <v>--</v>
      </c>
      <c r="X22" s="504" t="str">
        <f aca="true" t="shared" si="11" ref="X22:X41">IF(M22="RF",H22*Q22*ROUND(L22/60,2),"--")</f>
        <v>--</v>
      </c>
      <c r="Y22" s="505" t="str">
        <f aca="true" t="shared" si="12" ref="Y22:Y41">IF(M22="RR",H22*Q22*N22/100*ROUND(L22/60,2),"--")</f>
        <v>--</v>
      </c>
      <c r="Z22" s="506" t="str">
        <f aca="true" t="shared" si="13" ref="Z22:Z41">IF(D22="","","SI")</f>
        <v>SI</v>
      </c>
      <c r="AA22" s="507">
        <f aca="true" t="shared" si="14" ref="AA22:AA41">SUM(R22:Y22)*IF(Z22="SI",1,2)</f>
        <v>602.6999999999999</v>
      </c>
      <c r="AB22" s="508">
        <f aca="true" t="shared" si="15" ref="AB22:AB41">IF(D22="","",AA22*$J$16)</f>
        <v>602.6999999999999</v>
      </c>
      <c r="AC22" s="18"/>
    </row>
    <row r="23" spans="1:29" s="5" customFormat="1" ht="16.5" customHeight="1">
      <c r="A23" s="91"/>
      <c r="B23" s="96"/>
      <c r="C23" s="408">
        <v>118</v>
      </c>
      <c r="D23" s="164" t="s">
        <v>262</v>
      </c>
      <c r="E23" s="422" t="s">
        <v>263</v>
      </c>
      <c r="F23" s="423">
        <v>300</v>
      </c>
      <c r="G23" s="1048" t="s">
        <v>157</v>
      </c>
      <c r="H23" s="491">
        <f aca="true" t="shared" si="16" ref="H23:H41">IF(D23="RINCÓN",F23*$F$15,F23*$F$14)</f>
        <v>73.5</v>
      </c>
      <c r="I23" s="172">
        <v>39341.31319444445</v>
      </c>
      <c r="J23" s="172">
        <v>39341.48819444444</v>
      </c>
      <c r="K23" s="492">
        <f t="shared" si="0"/>
        <v>4.199999999895226</v>
      </c>
      <c r="L23" s="493">
        <f t="shared" si="1"/>
        <v>252</v>
      </c>
      <c r="M23" s="173" t="s">
        <v>182</v>
      </c>
      <c r="N23" s="323" t="str">
        <f t="shared" si="2"/>
        <v>--</v>
      </c>
      <c r="O23" s="495" t="str">
        <f t="shared" si="3"/>
        <v>--</v>
      </c>
      <c r="P23" s="496" t="str">
        <f t="shared" si="4"/>
        <v>NO</v>
      </c>
      <c r="Q23" s="497">
        <f t="shared" si="5"/>
        <v>2</v>
      </c>
      <c r="R23" s="498">
        <f aca="true" t="shared" si="17" ref="R23:R41">IF(M23="P",H23*Q23*ROUND(L23/60,2),"--")</f>
        <v>617.4</v>
      </c>
      <c r="S23" s="499" t="str">
        <f t="shared" si="6"/>
        <v>--</v>
      </c>
      <c r="T23" s="500" t="str">
        <f t="shared" si="7"/>
        <v>--</v>
      </c>
      <c r="U23" s="501" t="str">
        <f t="shared" si="8"/>
        <v>--</v>
      </c>
      <c r="V23" s="502" t="str">
        <f t="shared" si="9"/>
        <v>--</v>
      </c>
      <c r="W23" s="503" t="str">
        <f t="shared" si="10"/>
        <v>--</v>
      </c>
      <c r="X23" s="504" t="str">
        <f t="shared" si="11"/>
        <v>--</v>
      </c>
      <c r="Y23" s="505" t="str">
        <f t="shared" si="12"/>
        <v>--</v>
      </c>
      <c r="Z23" s="506" t="str">
        <f t="shared" si="13"/>
        <v>SI</v>
      </c>
      <c r="AA23" s="507">
        <f t="shared" si="14"/>
        <v>617.4</v>
      </c>
      <c r="AB23" s="508">
        <f t="shared" si="15"/>
        <v>617.4</v>
      </c>
      <c r="AC23" s="18"/>
    </row>
    <row r="24" spans="1:29" s="5" customFormat="1" ht="16.5" customHeight="1">
      <c r="A24" s="91"/>
      <c r="B24" s="96"/>
      <c r="C24" s="171"/>
      <c r="D24" s="164"/>
      <c r="E24" s="422"/>
      <c r="F24" s="423"/>
      <c r="G24" s="424"/>
      <c r="H24" s="491">
        <f t="shared" si="16"/>
        <v>0</v>
      </c>
      <c r="I24" s="172"/>
      <c r="J24" s="172"/>
      <c r="K24" s="492">
        <f t="shared" si="0"/>
      </c>
      <c r="L24" s="493">
        <f t="shared" si="1"/>
      </c>
      <c r="M24" s="173"/>
      <c r="N24" s="323">
        <f t="shared" si="2"/>
      </c>
      <c r="O24" s="495">
        <f t="shared" si="3"/>
      </c>
      <c r="P24" s="496">
        <f t="shared" si="4"/>
      </c>
      <c r="Q24" s="497">
        <f t="shared" si="5"/>
        <v>20</v>
      </c>
      <c r="R24" s="498" t="str">
        <f t="shared" si="17"/>
        <v>--</v>
      </c>
      <c r="S24" s="499" t="str">
        <f t="shared" si="6"/>
        <v>--</v>
      </c>
      <c r="T24" s="500" t="str">
        <f t="shared" si="7"/>
        <v>--</v>
      </c>
      <c r="U24" s="501" t="str">
        <f t="shared" si="8"/>
        <v>--</v>
      </c>
      <c r="V24" s="502" t="str">
        <f t="shared" si="9"/>
        <v>--</v>
      </c>
      <c r="W24" s="503" t="str">
        <f t="shared" si="10"/>
        <v>--</v>
      </c>
      <c r="X24" s="504" t="str">
        <f t="shared" si="11"/>
        <v>--</v>
      </c>
      <c r="Y24" s="505" t="str">
        <f t="shared" si="12"/>
        <v>--</v>
      </c>
      <c r="Z24" s="506">
        <f t="shared" si="13"/>
      </c>
      <c r="AA24" s="507">
        <f t="shared" si="14"/>
        <v>0</v>
      </c>
      <c r="AB24" s="508">
        <f t="shared" si="15"/>
      </c>
      <c r="AC24" s="18"/>
    </row>
    <row r="25" spans="1:29" s="5" customFormat="1" ht="16.5" customHeight="1">
      <c r="A25" s="91"/>
      <c r="B25" s="96"/>
      <c r="C25" s="408"/>
      <c r="D25" s="164"/>
      <c r="E25" s="422"/>
      <c r="F25" s="423"/>
      <c r="G25" s="424"/>
      <c r="H25" s="491">
        <f t="shared" si="16"/>
        <v>0</v>
      </c>
      <c r="I25" s="172"/>
      <c r="J25" s="172"/>
      <c r="K25" s="492">
        <f t="shared" si="0"/>
      </c>
      <c r="L25" s="493">
        <f t="shared" si="1"/>
      </c>
      <c r="M25" s="173"/>
      <c r="N25" s="323">
        <f t="shared" si="2"/>
      </c>
      <c r="O25" s="495">
        <f t="shared" si="3"/>
      </c>
      <c r="P25" s="496">
        <f t="shared" si="4"/>
      </c>
      <c r="Q25" s="497">
        <f t="shared" si="5"/>
        <v>20</v>
      </c>
      <c r="R25" s="498" t="str">
        <f t="shared" si="17"/>
        <v>--</v>
      </c>
      <c r="S25" s="499" t="str">
        <f t="shared" si="6"/>
        <v>--</v>
      </c>
      <c r="T25" s="500" t="str">
        <f t="shared" si="7"/>
        <v>--</v>
      </c>
      <c r="U25" s="501" t="str">
        <f t="shared" si="8"/>
        <v>--</v>
      </c>
      <c r="V25" s="502" t="str">
        <f t="shared" si="9"/>
        <v>--</v>
      </c>
      <c r="W25" s="503" t="str">
        <f t="shared" si="10"/>
        <v>--</v>
      </c>
      <c r="X25" s="504" t="str">
        <f t="shared" si="11"/>
        <v>--</v>
      </c>
      <c r="Y25" s="505" t="str">
        <f t="shared" si="12"/>
        <v>--</v>
      </c>
      <c r="Z25" s="506">
        <f t="shared" si="13"/>
      </c>
      <c r="AA25" s="507">
        <f t="shared" si="14"/>
        <v>0</v>
      </c>
      <c r="AB25" s="508">
        <f t="shared" si="15"/>
      </c>
      <c r="AC25" s="18"/>
    </row>
    <row r="26" spans="1:29" s="5" customFormat="1" ht="16.5" customHeight="1">
      <c r="A26" s="91"/>
      <c r="B26" s="96"/>
      <c r="C26" s="171"/>
      <c r="D26" s="164"/>
      <c r="E26" s="422"/>
      <c r="F26" s="423"/>
      <c r="G26" s="424"/>
      <c r="H26" s="491">
        <f t="shared" si="16"/>
        <v>0</v>
      </c>
      <c r="I26" s="172"/>
      <c r="J26" s="172"/>
      <c r="K26" s="492">
        <f t="shared" si="0"/>
      </c>
      <c r="L26" s="493">
        <f t="shared" si="1"/>
      </c>
      <c r="M26" s="173"/>
      <c r="N26" s="323">
        <f t="shared" si="2"/>
      </c>
      <c r="O26" s="495">
        <f t="shared" si="3"/>
      </c>
      <c r="P26" s="496">
        <f t="shared" si="4"/>
      </c>
      <c r="Q26" s="497">
        <f t="shared" si="5"/>
        <v>20</v>
      </c>
      <c r="R26" s="498" t="str">
        <f t="shared" si="17"/>
        <v>--</v>
      </c>
      <c r="S26" s="499" t="str">
        <f t="shared" si="6"/>
        <v>--</v>
      </c>
      <c r="T26" s="500" t="str">
        <f t="shared" si="7"/>
        <v>--</v>
      </c>
      <c r="U26" s="501" t="str">
        <f t="shared" si="8"/>
        <v>--</v>
      </c>
      <c r="V26" s="502" t="str">
        <f t="shared" si="9"/>
        <v>--</v>
      </c>
      <c r="W26" s="503" t="str">
        <f t="shared" si="10"/>
        <v>--</v>
      </c>
      <c r="X26" s="504" t="str">
        <f t="shared" si="11"/>
        <v>--</v>
      </c>
      <c r="Y26" s="505" t="str">
        <f t="shared" si="12"/>
        <v>--</v>
      </c>
      <c r="Z26" s="506">
        <f t="shared" si="13"/>
      </c>
      <c r="AA26" s="507">
        <f t="shared" si="14"/>
        <v>0</v>
      </c>
      <c r="AB26" s="508">
        <f t="shared" si="15"/>
      </c>
      <c r="AC26" s="18"/>
    </row>
    <row r="27" spans="1:29" s="5" customFormat="1" ht="16.5" customHeight="1">
      <c r="A27" s="91"/>
      <c r="B27" s="96"/>
      <c r="C27" s="408"/>
      <c r="D27" s="164"/>
      <c r="E27" s="422"/>
      <c r="F27" s="423"/>
      <c r="G27" s="424"/>
      <c r="H27" s="491">
        <f t="shared" si="16"/>
        <v>0</v>
      </c>
      <c r="I27" s="172"/>
      <c r="J27" s="172"/>
      <c r="K27" s="492">
        <f t="shared" si="0"/>
      </c>
      <c r="L27" s="493">
        <f t="shared" si="1"/>
      </c>
      <c r="M27" s="173"/>
      <c r="N27" s="323">
        <f t="shared" si="2"/>
      </c>
      <c r="O27" s="495">
        <f t="shared" si="3"/>
      </c>
      <c r="P27" s="496">
        <f t="shared" si="4"/>
      </c>
      <c r="Q27" s="497">
        <f t="shared" si="5"/>
        <v>20</v>
      </c>
      <c r="R27" s="498" t="str">
        <f t="shared" si="17"/>
        <v>--</v>
      </c>
      <c r="S27" s="499" t="str">
        <f t="shared" si="6"/>
        <v>--</v>
      </c>
      <c r="T27" s="500" t="str">
        <f t="shared" si="7"/>
        <v>--</v>
      </c>
      <c r="U27" s="501" t="str">
        <f t="shared" si="8"/>
        <v>--</v>
      </c>
      <c r="V27" s="502" t="str">
        <f t="shared" si="9"/>
        <v>--</v>
      </c>
      <c r="W27" s="503" t="str">
        <f t="shared" si="10"/>
        <v>--</v>
      </c>
      <c r="X27" s="504" t="str">
        <f t="shared" si="11"/>
        <v>--</v>
      </c>
      <c r="Y27" s="505" t="str">
        <f t="shared" si="12"/>
        <v>--</v>
      </c>
      <c r="Z27" s="506">
        <f t="shared" si="13"/>
      </c>
      <c r="AA27" s="507">
        <f t="shared" si="14"/>
        <v>0</v>
      </c>
      <c r="AB27" s="508">
        <f t="shared" si="15"/>
      </c>
      <c r="AC27" s="18"/>
    </row>
    <row r="28" spans="1:30" s="5" customFormat="1" ht="16.5" customHeight="1">
      <c r="A28" s="91"/>
      <c r="B28" s="96"/>
      <c r="C28" s="171"/>
      <c r="D28" s="164"/>
      <c r="E28" s="422"/>
      <c r="F28" s="423"/>
      <c r="G28" s="424"/>
      <c r="H28" s="491">
        <f t="shared" si="16"/>
        <v>0</v>
      </c>
      <c r="I28" s="172"/>
      <c r="J28" s="172"/>
      <c r="K28" s="492">
        <f t="shared" si="0"/>
      </c>
      <c r="L28" s="493">
        <f t="shared" si="1"/>
      </c>
      <c r="M28" s="173"/>
      <c r="N28" s="323">
        <f t="shared" si="2"/>
      </c>
      <c r="O28" s="495">
        <f t="shared" si="3"/>
      </c>
      <c r="P28" s="496">
        <f t="shared" si="4"/>
      </c>
      <c r="Q28" s="497">
        <f t="shared" si="5"/>
        <v>20</v>
      </c>
      <c r="R28" s="498" t="str">
        <f t="shared" si="17"/>
        <v>--</v>
      </c>
      <c r="S28" s="499" t="str">
        <f t="shared" si="6"/>
        <v>--</v>
      </c>
      <c r="T28" s="500" t="str">
        <f t="shared" si="7"/>
        <v>--</v>
      </c>
      <c r="U28" s="501" t="str">
        <f t="shared" si="8"/>
        <v>--</v>
      </c>
      <c r="V28" s="502" t="str">
        <f t="shared" si="9"/>
        <v>--</v>
      </c>
      <c r="W28" s="503" t="str">
        <f t="shared" si="10"/>
        <v>--</v>
      </c>
      <c r="X28" s="504" t="str">
        <f t="shared" si="11"/>
        <v>--</v>
      </c>
      <c r="Y28" s="505" t="str">
        <f t="shared" si="12"/>
        <v>--</v>
      </c>
      <c r="Z28" s="506">
        <f t="shared" si="13"/>
      </c>
      <c r="AA28" s="507">
        <f t="shared" si="14"/>
        <v>0</v>
      </c>
      <c r="AB28" s="508">
        <f t="shared" si="15"/>
      </c>
      <c r="AC28" s="18"/>
      <c r="AD28" s="15"/>
    </row>
    <row r="29" spans="1:29" s="5" customFormat="1" ht="16.5" customHeight="1">
      <c r="A29" s="91"/>
      <c r="B29" s="96"/>
      <c r="C29" s="408"/>
      <c r="D29" s="164"/>
      <c r="E29" s="422"/>
      <c r="F29" s="423"/>
      <c r="G29" s="424"/>
      <c r="H29" s="491">
        <f t="shared" si="16"/>
        <v>0</v>
      </c>
      <c r="I29" s="172"/>
      <c r="J29" s="172"/>
      <c r="K29" s="492">
        <f t="shared" si="0"/>
      </c>
      <c r="L29" s="493">
        <f t="shared" si="1"/>
      </c>
      <c r="M29" s="173"/>
      <c r="N29" s="323">
        <f t="shared" si="2"/>
      </c>
      <c r="O29" s="495">
        <f t="shared" si="3"/>
      </c>
      <c r="P29" s="496">
        <f t="shared" si="4"/>
      </c>
      <c r="Q29" s="497">
        <f t="shared" si="5"/>
        <v>20</v>
      </c>
      <c r="R29" s="498" t="str">
        <f t="shared" si="17"/>
        <v>--</v>
      </c>
      <c r="S29" s="499" t="str">
        <f t="shared" si="6"/>
        <v>--</v>
      </c>
      <c r="T29" s="500" t="str">
        <f t="shared" si="7"/>
        <v>--</v>
      </c>
      <c r="U29" s="501" t="str">
        <f t="shared" si="8"/>
        <v>--</v>
      </c>
      <c r="V29" s="502" t="str">
        <f t="shared" si="9"/>
        <v>--</v>
      </c>
      <c r="W29" s="503" t="str">
        <f t="shared" si="10"/>
        <v>--</v>
      </c>
      <c r="X29" s="504" t="str">
        <f t="shared" si="11"/>
        <v>--</v>
      </c>
      <c r="Y29" s="505" t="str">
        <f t="shared" si="12"/>
        <v>--</v>
      </c>
      <c r="Z29" s="506">
        <f t="shared" si="13"/>
      </c>
      <c r="AA29" s="507">
        <f t="shared" si="14"/>
        <v>0</v>
      </c>
      <c r="AB29" s="508">
        <f t="shared" si="15"/>
      </c>
      <c r="AC29" s="18"/>
    </row>
    <row r="30" spans="1:29" s="5" customFormat="1" ht="16.5" customHeight="1">
      <c r="A30" s="91"/>
      <c r="B30" s="96"/>
      <c r="C30" s="171"/>
      <c r="D30" s="164"/>
      <c r="E30" s="422"/>
      <c r="F30" s="423"/>
      <c r="G30" s="424"/>
      <c r="H30" s="491">
        <f t="shared" si="16"/>
        <v>0</v>
      </c>
      <c r="I30" s="172"/>
      <c r="J30" s="172"/>
      <c r="K30" s="492">
        <f t="shared" si="0"/>
      </c>
      <c r="L30" s="493">
        <f t="shared" si="1"/>
      </c>
      <c r="M30" s="173"/>
      <c r="N30" s="323">
        <f t="shared" si="2"/>
      </c>
      <c r="O30" s="495">
        <f t="shared" si="3"/>
      </c>
      <c r="P30" s="496">
        <f t="shared" si="4"/>
      </c>
      <c r="Q30" s="497">
        <f t="shared" si="5"/>
        <v>20</v>
      </c>
      <c r="R30" s="498" t="str">
        <f t="shared" si="17"/>
        <v>--</v>
      </c>
      <c r="S30" s="499" t="str">
        <f t="shared" si="6"/>
        <v>--</v>
      </c>
      <c r="T30" s="500" t="str">
        <f t="shared" si="7"/>
        <v>--</v>
      </c>
      <c r="U30" s="501" t="str">
        <f t="shared" si="8"/>
        <v>--</v>
      </c>
      <c r="V30" s="502" t="str">
        <f t="shared" si="9"/>
        <v>--</v>
      </c>
      <c r="W30" s="503" t="str">
        <f t="shared" si="10"/>
        <v>--</v>
      </c>
      <c r="X30" s="504" t="str">
        <f t="shared" si="11"/>
        <v>--</v>
      </c>
      <c r="Y30" s="505" t="str">
        <f t="shared" si="12"/>
        <v>--</v>
      </c>
      <c r="Z30" s="506">
        <f t="shared" si="13"/>
      </c>
      <c r="AA30" s="507">
        <f t="shared" si="14"/>
        <v>0</v>
      </c>
      <c r="AB30" s="508">
        <f t="shared" si="15"/>
      </c>
      <c r="AC30" s="18"/>
    </row>
    <row r="31" spans="1:29" s="5" customFormat="1" ht="16.5" customHeight="1">
      <c r="A31" s="91"/>
      <c r="B31" s="96"/>
      <c r="C31" s="408"/>
      <c r="D31" s="164"/>
      <c r="E31" s="422"/>
      <c r="F31" s="423"/>
      <c r="G31" s="424"/>
      <c r="H31" s="491">
        <f t="shared" si="16"/>
        <v>0</v>
      </c>
      <c r="I31" s="172"/>
      <c r="J31" s="172"/>
      <c r="K31" s="492">
        <f t="shared" si="0"/>
      </c>
      <c r="L31" s="493">
        <f t="shared" si="1"/>
      </c>
      <c r="M31" s="173"/>
      <c r="N31" s="323">
        <f t="shared" si="2"/>
      </c>
      <c r="O31" s="495">
        <f t="shared" si="3"/>
      </c>
      <c r="P31" s="496">
        <f t="shared" si="4"/>
      </c>
      <c r="Q31" s="497">
        <f t="shared" si="5"/>
        <v>20</v>
      </c>
      <c r="R31" s="498" t="str">
        <f t="shared" si="17"/>
        <v>--</v>
      </c>
      <c r="S31" s="499" t="str">
        <f t="shared" si="6"/>
        <v>--</v>
      </c>
      <c r="T31" s="500" t="str">
        <f t="shared" si="7"/>
        <v>--</v>
      </c>
      <c r="U31" s="501" t="str">
        <f t="shared" si="8"/>
        <v>--</v>
      </c>
      <c r="V31" s="502" t="str">
        <f t="shared" si="9"/>
        <v>--</v>
      </c>
      <c r="W31" s="503" t="str">
        <f t="shared" si="10"/>
        <v>--</v>
      </c>
      <c r="X31" s="504" t="str">
        <f t="shared" si="11"/>
        <v>--</v>
      </c>
      <c r="Y31" s="505" t="str">
        <f t="shared" si="12"/>
        <v>--</v>
      </c>
      <c r="Z31" s="506">
        <f t="shared" si="13"/>
      </c>
      <c r="AA31" s="507">
        <f t="shared" si="14"/>
        <v>0</v>
      </c>
      <c r="AB31" s="508">
        <f t="shared" si="15"/>
      </c>
      <c r="AC31" s="18"/>
    </row>
    <row r="32" spans="1:29" s="5" customFormat="1" ht="16.5" customHeight="1">
      <c r="A32" s="91"/>
      <c r="B32" s="96"/>
      <c r="C32" s="171"/>
      <c r="D32" s="164"/>
      <c r="E32" s="438"/>
      <c r="F32" s="423"/>
      <c r="G32" s="424"/>
      <c r="H32" s="491">
        <f t="shared" si="16"/>
        <v>0</v>
      </c>
      <c r="I32" s="172"/>
      <c r="J32" s="172"/>
      <c r="K32" s="492">
        <f t="shared" si="0"/>
      </c>
      <c r="L32" s="493">
        <f t="shared" si="1"/>
      </c>
      <c r="M32" s="173"/>
      <c r="N32" s="323">
        <f t="shared" si="2"/>
      </c>
      <c r="O32" s="495">
        <f t="shared" si="3"/>
      </c>
      <c r="P32" s="496">
        <f t="shared" si="4"/>
      </c>
      <c r="Q32" s="497">
        <f t="shared" si="5"/>
        <v>20</v>
      </c>
      <c r="R32" s="498" t="str">
        <f t="shared" si="17"/>
        <v>--</v>
      </c>
      <c r="S32" s="499" t="str">
        <f t="shared" si="6"/>
        <v>--</v>
      </c>
      <c r="T32" s="500" t="str">
        <f t="shared" si="7"/>
        <v>--</v>
      </c>
      <c r="U32" s="501" t="str">
        <f t="shared" si="8"/>
        <v>--</v>
      </c>
      <c r="V32" s="502" t="str">
        <f t="shared" si="9"/>
        <v>--</v>
      </c>
      <c r="W32" s="503" t="str">
        <f t="shared" si="10"/>
        <v>--</v>
      </c>
      <c r="X32" s="504" t="str">
        <f t="shared" si="11"/>
        <v>--</v>
      </c>
      <c r="Y32" s="505" t="str">
        <f t="shared" si="12"/>
        <v>--</v>
      </c>
      <c r="Z32" s="506">
        <f t="shared" si="13"/>
      </c>
      <c r="AA32" s="507">
        <f t="shared" si="14"/>
        <v>0</v>
      </c>
      <c r="AB32" s="508">
        <f t="shared" si="15"/>
      </c>
      <c r="AC32" s="18"/>
    </row>
    <row r="33" spans="1:29" s="5" customFormat="1" ht="16.5" customHeight="1">
      <c r="A33" s="91"/>
      <c r="B33" s="96"/>
      <c r="C33" s="408"/>
      <c r="D33" s="164"/>
      <c r="E33" s="438"/>
      <c r="F33" s="423"/>
      <c r="G33" s="424"/>
      <c r="H33" s="491">
        <f t="shared" si="16"/>
        <v>0</v>
      </c>
      <c r="I33" s="172"/>
      <c r="J33" s="172"/>
      <c r="K33" s="492">
        <f t="shared" si="0"/>
      </c>
      <c r="L33" s="493">
        <f t="shared" si="1"/>
      </c>
      <c r="M33" s="173"/>
      <c r="N33" s="323">
        <f t="shared" si="2"/>
      </c>
      <c r="O33" s="495">
        <f t="shared" si="3"/>
      </c>
      <c r="P33" s="496">
        <f t="shared" si="4"/>
      </c>
      <c r="Q33" s="497">
        <f t="shared" si="5"/>
        <v>20</v>
      </c>
      <c r="R33" s="498" t="str">
        <f t="shared" si="17"/>
        <v>--</v>
      </c>
      <c r="S33" s="499" t="str">
        <f t="shared" si="6"/>
        <v>--</v>
      </c>
      <c r="T33" s="500" t="str">
        <f t="shared" si="7"/>
        <v>--</v>
      </c>
      <c r="U33" s="501" t="str">
        <f t="shared" si="8"/>
        <v>--</v>
      </c>
      <c r="V33" s="502" t="str">
        <f t="shared" si="9"/>
        <v>--</v>
      </c>
      <c r="W33" s="503" t="str">
        <f t="shared" si="10"/>
        <v>--</v>
      </c>
      <c r="X33" s="504" t="str">
        <f t="shared" si="11"/>
        <v>--</v>
      </c>
      <c r="Y33" s="505" t="str">
        <f t="shared" si="12"/>
        <v>--</v>
      </c>
      <c r="Z33" s="506">
        <f t="shared" si="13"/>
      </c>
      <c r="AA33" s="507">
        <f t="shared" si="14"/>
        <v>0</v>
      </c>
      <c r="AB33" s="508">
        <f t="shared" si="15"/>
      </c>
      <c r="AC33" s="18"/>
    </row>
    <row r="34" spans="1:29" s="5" customFormat="1" ht="16.5" customHeight="1">
      <c r="A34" s="91"/>
      <c r="B34" s="96"/>
      <c r="C34" s="171"/>
      <c r="D34" s="164"/>
      <c r="E34" s="438"/>
      <c r="F34" s="423"/>
      <c r="G34" s="424"/>
      <c r="H34" s="491">
        <f t="shared" si="16"/>
        <v>0</v>
      </c>
      <c r="I34" s="172"/>
      <c r="J34" s="172"/>
      <c r="K34" s="492">
        <f t="shared" si="0"/>
      </c>
      <c r="L34" s="493">
        <f t="shared" si="1"/>
      </c>
      <c r="M34" s="173"/>
      <c r="N34" s="323">
        <f t="shared" si="2"/>
      </c>
      <c r="O34" s="495">
        <f t="shared" si="3"/>
      </c>
      <c r="P34" s="496">
        <f t="shared" si="4"/>
      </c>
      <c r="Q34" s="497">
        <f t="shared" si="5"/>
        <v>20</v>
      </c>
      <c r="R34" s="498" t="str">
        <f t="shared" si="17"/>
        <v>--</v>
      </c>
      <c r="S34" s="499" t="str">
        <f t="shared" si="6"/>
        <v>--</v>
      </c>
      <c r="T34" s="500" t="str">
        <f t="shared" si="7"/>
        <v>--</v>
      </c>
      <c r="U34" s="501" t="str">
        <f t="shared" si="8"/>
        <v>--</v>
      </c>
      <c r="V34" s="502" t="str">
        <f t="shared" si="9"/>
        <v>--</v>
      </c>
      <c r="W34" s="503" t="str">
        <f t="shared" si="10"/>
        <v>--</v>
      </c>
      <c r="X34" s="504" t="str">
        <f t="shared" si="11"/>
        <v>--</v>
      </c>
      <c r="Y34" s="505" t="str">
        <f t="shared" si="12"/>
        <v>--</v>
      </c>
      <c r="Z34" s="506">
        <f t="shared" si="13"/>
      </c>
      <c r="AA34" s="507">
        <f t="shared" si="14"/>
        <v>0</v>
      </c>
      <c r="AB34" s="508">
        <f t="shared" si="15"/>
      </c>
      <c r="AC34" s="18"/>
    </row>
    <row r="35" spans="1:29" s="5" customFormat="1" ht="16.5" customHeight="1">
      <c r="A35" s="91"/>
      <c r="B35" s="96"/>
      <c r="C35" s="408"/>
      <c r="D35" s="164"/>
      <c r="E35" s="438"/>
      <c r="F35" s="423"/>
      <c r="G35" s="424"/>
      <c r="H35" s="491">
        <f t="shared" si="16"/>
        <v>0</v>
      </c>
      <c r="I35" s="172"/>
      <c r="J35" s="172"/>
      <c r="K35" s="492">
        <f t="shared" si="0"/>
      </c>
      <c r="L35" s="493">
        <f t="shared" si="1"/>
      </c>
      <c r="M35" s="173"/>
      <c r="N35" s="323">
        <f t="shared" si="2"/>
      </c>
      <c r="O35" s="495">
        <f t="shared" si="3"/>
      </c>
      <c r="P35" s="496">
        <f t="shared" si="4"/>
      </c>
      <c r="Q35" s="497">
        <f t="shared" si="5"/>
        <v>20</v>
      </c>
      <c r="R35" s="498" t="str">
        <f t="shared" si="17"/>
        <v>--</v>
      </c>
      <c r="S35" s="499" t="str">
        <f t="shared" si="6"/>
        <v>--</v>
      </c>
      <c r="T35" s="500" t="str">
        <f t="shared" si="7"/>
        <v>--</v>
      </c>
      <c r="U35" s="501" t="str">
        <f t="shared" si="8"/>
        <v>--</v>
      </c>
      <c r="V35" s="502" t="str">
        <f t="shared" si="9"/>
        <v>--</v>
      </c>
      <c r="W35" s="503" t="str">
        <f t="shared" si="10"/>
        <v>--</v>
      </c>
      <c r="X35" s="504" t="str">
        <f t="shared" si="11"/>
        <v>--</v>
      </c>
      <c r="Y35" s="505" t="str">
        <f t="shared" si="12"/>
        <v>--</v>
      </c>
      <c r="Z35" s="506">
        <f t="shared" si="13"/>
      </c>
      <c r="AA35" s="507">
        <f t="shared" si="14"/>
        <v>0</v>
      </c>
      <c r="AB35" s="508">
        <f t="shared" si="15"/>
      </c>
      <c r="AC35" s="18"/>
    </row>
    <row r="36" spans="1:29" s="5" customFormat="1" ht="16.5" customHeight="1">
      <c r="A36" s="91"/>
      <c r="B36" s="96"/>
      <c r="C36" s="171"/>
      <c r="D36" s="164"/>
      <c r="E36" s="438"/>
      <c r="F36" s="423"/>
      <c r="G36" s="424"/>
      <c r="H36" s="491">
        <f t="shared" si="16"/>
        <v>0</v>
      </c>
      <c r="I36" s="172"/>
      <c r="J36" s="172"/>
      <c r="K36" s="492">
        <f t="shared" si="0"/>
      </c>
      <c r="L36" s="493">
        <f t="shared" si="1"/>
      </c>
      <c r="M36" s="173"/>
      <c r="N36" s="323">
        <f t="shared" si="2"/>
      </c>
      <c r="O36" s="495">
        <f t="shared" si="3"/>
      </c>
      <c r="P36" s="496">
        <f t="shared" si="4"/>
      </c>
      <c r="Q36" s="497">
        <f t="shared" si="5"/>
        <v>20</v>
      </c>
      <c r="R36" s="498" t="str">
        <f t="shared" si="17"/>
        <v>--</v>
      </c>
      <c r="S36" s="499" t="str">
        <f t="shared" si="6"/>
        <v>--</v>
      </c>
      <c r="T36" s="500" t="str">
        <f t="shared" si="7"/>
        <v>--</v>
      </c>
      <c r="U36" s="501" t="str">
        <f t="shared" si="8"/>
        <v>--</v>
      </c>
      <c r="V36" s="502" t="str">
        <f t="shared" si="9"/>
        <v>--</v>
      </c>
      <c r="W36" s="503" t="str">
        <f t="shared" si="10"/>
        <v>--</v>
      </c>
      <c r="X36" s="504" t="str">
        <f t="shared" si="11"/>
        <v>--</v>
      </c>
      <c r="Y36" s="505" t="str">
        <f t="shared" si="12"/>
        <v>--</v>
      </c>
      <c r="Z36" s="506">
        <f t="shared" si="13"/>
      </c>
      <c r="AA36" s="507">
        <f t="shared" si="14"/>
        <v>0</v>
      </c>
      <c r="AB36" s="508">
        <f t="shared" si="15"/>
      </c>
      <c r="AC36" s="18"/>
    </row>
    <row r="37" spans="1:29" s="5" customFormat="1" ht="16.5" customHeight="1">
      <c r="A37" s="91"/>
      <c r="B37" s="96"/>
      <c r="C37" s="408"/>
      <c r="D37" s="164"/>
      <c r="E37" s="438"/>
      <c r="F37" s="423"/>
      <c r="G37" s="424"/>
      <c r="H37" s="491">
        <f t="shared" si="16"/>
        <v>0</v>
      </c>
      <c r="I37" s="172"/>
      <c r="J37" s="172"/>
      <c r="K37" s="492">
        <f t="shared" si="0"/>
      </c>
      <c r="L37" s="493">
        <f t="shared" si="1"/>
      </c>
      <c r="M37" s="173"/>
      <c r="N37" s="323">
        <f t="shared" si="2"/>
      </c>
      <c r="O37" s="495">
        <f t="shared" si="3"/>
      </c>
      <c r="P37" s="496">
        <f t="shared" si="4"/>
      </c>
      <c r="Q37" s="497">
        <f t="shared" si="5"/>
        <v>20</v>
      </c>
      <c r="R37" s="498" t="str">
        <f t="shared" si="17"/>
        <v>--</v>
      </c>
      <c r="S37" s="499" t="str">
        <f t="shared" si="6"/>
        <v>--</v>
      </c>
      <c r="T37" s="500" t="str">
        <f t="shared" si="7"/>
        <v>--</v>
      </c>
      <c r="U37" s="501" t="str">
        <f t="shared" si="8"/>
        <v>--</v>
      </c>
      <c r="V37" s="502" t="str">
        <f t="shared" si="9"/>
        <v>--</v>
      </c>
      <c r="W37" s="503" t="str">
        <f t="shared" si="10"/>
        <v>--</v>
      </c>
      <c r="X37" s="504" t="str">
        <f t="shared" si="11"/>
        <v>--</v>
      </c>
      <c r="Y37" s="505" t="str">
        <f t="shared" si="12"/>
        <v>--</v>
      </c>
      <c r="Z37" s="506">
        <f t="shared" si="13"/>
      </c>
      <c r="AA37" s="507">
        <f t="shared" si="14"/>
        <v>0</v>
      </c>
      <c r="AB37" s="508">
        <f t="shared" si="15"/>
      </c>
      <c r="AC37" s="18"/>
    </row>
    <row r="38" spans="1:29" s="5" customFormat="1" ht="16.5" customHeight="1">
      <c r="A38" s="91"/>
      <c r="B38" s="96"/>
      <c r="C38" s="171"/>
      <c r="D38" s="164"/>
      <c r="E38" s="438"/>
      <c r="F38" s="423"/>
      <c r="G38" s="424"/>
      <c r="H38" s="491">
        <f t="shared" si="16"/>
        <v>0</v>
      </c>
      <c r="I38" s="172"/>
      <c r="J38" s="172"/>
      <c r="K38" s="492">
        <f t="shared" si="0"/>
      </c>
      <c r="L38" s="493">
        <f t="shared" si="1"/>
      </c>
      <c r="M38" s="173"/>
      <c r="N38" s="323">
        <f t="shared" si="2"/>
      </c>
      <c r="O38" s="495">
        <f t="shared" si="3"/>
      </c>
      <c r="P38" s="496">
        <f t="shared" si="4"/>
      </c>
      <c r="Q38" s="497">
        <f t="shared" si="5"/>
        <v>20</v>
      </c>
      <c r="R38" s="498" t="str">
        <f t="shared" si="17"/>
        <v>--</v>
      </c>
      <c r="S38" s="499" t="str">
        <f t="shared" si="6"/>
        <v>--</v>
      </c>
      <c r="T38" s="500" t="str">
        <f t="shared" si="7"/>
        <v>--</v>
      </c>
      <c r="U38" s="501" t="str">
        <f t="shared" si="8"/>
        <v>--</v>
      </c>
      <c r="V38" s="502" t="str">
        <f t="shared" si="9"/>
        <v>--</v>
      </c>
      <c r="W38" s="503" t="str">
        <f t="shared" si="10"/>
        <v>--</v>
      </c>
      <c r="X38" s="504" t="str">
        <f t="shared" si="11"/>
        <v>--</v>
      </c>
      <c r="Y38" s="505" t="str">
        <f t="shared" si="12"/>
        <v>--</v>
      </c>
      <c r="Z38" s="506">
        <f t="shared" si="13"/>
      </c>
      <c r="AA38" s="507">
        <f t="shared" si="14"/>
        <v>0</v>
      </c>
      <c r="AB38" s="508">
        <f t="shared" si="15"/>
      </c>
      <c r="AC38" s="18"/>
    </row>
    <row r="39" spans="1:29" s="5" customFormat="1" ht="16.5" customHeight="1">
      <c r="A39" s="91"/>
      <c r="B39" s="96"/>
      <c r="C39" s="408"/>
      <c r="D39" s="164"/>
      <c r="E39" s="438"/>
      <c r="F39" s="423"/>
      <c r="G39" s="424"/>
      <c r="H39" s="491">
        <f t="shared" si="16"/>
        <v>0</v>
      </c>
      <c r="I39" s="172"/>
      <c r="J39" s="172"/>
      <c r="K39" s="492">
        <f t="shared" si="0"/>
      </c>
      <c r="L39" s="493">
        <f t="shared" si="1"/>
      </c>
      <c r="M39" s="173"/>
      <c r="N39" s="323">
        <f t="shared" si="2"/>
      </c>
      <c r="O39" s="495">
        <f t="shared" si="3"/>
      </c>
      <c r="P39" s="496">
        <f t="shared" si="4"/>
      </c>
      <c r="Q39" s="497">
        <f t="shared" si="5"/>
        <v>20</v>
      </c>
      <c r="R39" s="498" t="str">
        <f t="shared" si="17"/>
        <v>--</v>
      </c>
      <c r="S39" s="499" t="str">
        <f t="shared" si="6"/>
        <v>--</v>
      </c>
      <c r="T39" s="500" t="str">
        <f t="shared" si="7"/>
        <v>--</v>
      </c>
      <c r="U39" s="501" t="str">
        <f t="shared" si="8"/>
        <v>--</v>
      </c>
      <c r="V39" s="502" t="str">
        <f t="shared" si="9"/>
        <v>--</v>
      </c>
      <c r="W39" s="503" t="str">
        <f t="shared" si="10"/>
        <v>--</v>
      </c>
      <c r="X39" s="504" t="str">
        <f t="shared" si="11"/>
        <v>--</v>
      </c>
      <c r="Y39" s="505" t="str">
        <f t="shared" si="12"/>
        <v>--</v>
      </c>
      <c r="Z39" s="506">
        <f t="shared" si="13"/>
      </c>
      <c r="AA39" s="507">
        <f t="shared" si="14"/>
        <v>0</v>
      </c>
      <c r="AB39" s="508">
        <f t="shared" si="15"/>
      </c>
      <c r="AC39" s="18"/>
    </row>
    <row r="40" spans="1:29" s="5" customFormat="1" ht="16.5" customHeight="1">
      <c r="A40" s="91"/>
      <c r="B40" s="96"/>
      <c r="C40" s="171"/>
      <c r="D40" s="164"/>
      <c r="E40" s="438"/>
      <c r="F40" s="423"/>
      <c r="G40" s="424"/>
      <c r="H40" s="491">
        <f t="shared" si="16"/>
        <v>0</v>
      </c>
      <c r="I40" s="172"/>
      <c r="J40" s="172"/>
      <c r="K40" s="492">
        <f t="shared" si="0"/>
      </c>
      <c r="L40" s="493">
        <f t="shared" si="1"/>
      </c>
      <c r="M40" s="173"/>
      <c r="N40" s="323">
        <f t="shared" si="2"/>
      </c>
      <c r="O40" s="495">
        <f t="shared" si="3"/>
      </c>
      <c r="P40" s="496">
        <f t="shared" si="4"/>
      </c>
      <c r="Q40" s="497">
        <f t="shared" si="5"/>
        <v>20</v>
      </c>
      <c r="R40" s="498" t="str">
        <f t="shared" si="17"/>
        <v>--</v>
      </c>
      <c r="S40" s="499" t="str">
        <f t="shared" si="6"/>
        <v>--</v>
      </c>
      <c r="T40" s="500" t="str">
        <f t="shared" si="7"/>
        <v>--</v>
      </c>
      <c r="U40" s="501" t="str">
        <f t="shared" si="8"/>
        <v>--</v>
      </c>
      <c r="V40" s="502" t="str">
        <f t="shared" si="9"/>
        <v>--</v>
      </c>
      <c r="W40" s="503" t="str">
        <f t="shared" si="10"/>
        <v>--</v>
      </c>
      <c r="X40" s="504" t="str">
        <f t="shared" si="11"/>
        <v>--</v>
      </c>
      <c r="Y40" s="505" t="str">
        <f t="shared" si="12"/>
        <v>--</v>
      </c>
      <c r="Z40" s="506">
        <f t="shared" si="13"/>
      </c>
      <c r="AA40" s="507">
        <f t="shared" si="14"/>
        <v>0</v>
      </c>
      <c r="AB40" s="508">
        <f t="shared" si="15"/>
      </c>
      <c r="AC40" s="18"/>
    </row>
    <row r="41" spans="1:29" s="5" customFormat="1" ht="16.5" customHeight="1">
      <c r="A41" s="91"/>
      <c r="B41" s="96"/>
      <c r="C41" s="408"/>
      <c r="D41" s="164"/>
      <c r="E41" s="438"/>
      <c r="F41" s="423"/>
      <c r="G41" s="424"/>
      <c r="H41" s="491">
        <f t="shared" si="16"/>
        <v>0</v>
      </c>
      <c r="I41" s="172"/>
      <c r="J41" s="172"/>
      <c r="K41" s="492">
        <f t="shared" si="0"/>
      </c>
      <c r="L41" s="493">
        <f t="shared" si="1"/>
      </c>
      <c r="M41" s="173"/>
      <c r="N41" s="323">
        <f t="shared" si="2"/>
      </c>
      <c r="O41" s="495">
        <f t="shared" si="3"/>
      </c>
      <c r="P41" s="496">
        <f t="shared" si="4"/>
      </c>
      <c r="Q41" s="497">
        <f t="shared" si="5"/>
        <v>20</v>
      </c>
      <c r="R41" s="498" t="str">
        <f t="shared" si="17"/>
        <v>--</v>
      </c>
      <c r="S41" s="499" t="str">
        <f t="shared" si="6"/>
        <v>--</v>
      </c>
      <c r="T41" s="500" t="str">
        <f t="shared" si="7"/>
        <v>--</v>
      </c>
      <c r="U41" s="501" t="str">
        <f t="shared" si="8"/>
        <v>--</v>
      </c>
      <c r="V41" s="502" t="str">
        <f t="shared" si="9"/>
        <v>--</v>
      </c>
      <c r="W41" s="503" t="str">
        <f t="shared" si="10"/>
        <v>--</v>
      </c>
      <c r="X41" s="504" t="str">
        <f t="shared" si="11"/>
        <v>--</v>
      </c>
      <c r="Y41" s="505" t="str">
        <f t="shared" si="12"/>
        <v>--</v>
      </c>
      <c r="Z41" s="506">
        <f t="shared" si="13"/>
      </c>
      <c r="AA41" s="507">
        <f t="shared" si="14"/>
        <v>0</v>
      </c>
      <c r="AB41" s="508">
        <f t="shared" si="15"/>
      </c>
      <c r="AC41" s="18"/>
    </row>
    <row r="42" spans="1:29" s="5" customFormat="1" ht="16.5" customHeight="1" thickBot="1">
      <c r="A42" s="91"/>
      <c r="B42" s="96"/>
      <c r="C42" s="171"/>
      <c r="D42" s="439"/>
      <c r="E42" s="440"/>
      <c r="F42" s="439"/>
      <c r="G42" s="441"/>
      <c r="H42" s="141"/>
      <c r="I42" s="174"/>
      <c r="J42" s="442"/>
      <c r="K42" s="443"/>
      <c r="L42" s="444"/>
      <c r="M42" s="179"/>
      <c r="N42" s="241"/>
      <c r="O42" s="177"/>
      <c r="P42" s="177"/>
      <c r="Q42" s="509"/>
      <c r="R42" s="510"/>
      <c r="S42" s="511"/>
      <c r="T42" s="512"/>
      <c r="U42" s="513"/>
      <c r="V42" s="514"/>
      <c r="W42" s="515"/>
      <c r="X42" s="516"/>
      <c r="Y42" s="517"/>
      <c r="Z42" s="518"/>
      <c r="AA42" s="519"/>
      <c r="AB42" s="520"/>
      <c r="AC42" s="18"/>
    </row>
    <row r="43" spans="1:29" s="5" customFormat="1" ht="16.5" customHeight="1" thickBot="1" thickTop="1">
      <c r="A43" s="91"/>
      <c r="B43" s="96"/>
      <c r="C43" s="131" t="s">
        <v>25</v>
      </c>
      <c r="D43" s="132" t="s">
        <v>304</v>
      </c>
      <c r="E43" s="15"/>
      <c r="F43" s="15"/>
      <c r="G43" s="15"/>
      <c r="H43" s="15"/>
      <c r="I43" s="15"/>
      <c r="J43" s="100"/>
      <c r="K43" s="15"/>
      <c r="L43" s="15"/>
      <c r="M43" s="15"/>
      <c r="N43" s="15"/>
      <c r="O43" s="15"/>
      <c r="P43" s="15"/>
      <c r="Q43" s="521"/>
      <c r="R43" s="456">
        <f aca="true" t="shared" si="18" ref="R43:Y43">SUM(R20:R42)</f>
        <v>1220.1</v>
      </c>
      <c r="S43" s="457">
        <f t="shared" si="18"/>
        <v>0</v>
      </c>
      <c r="T43" s="458">
        <f t="shared" si="18"/>
        <v>0</v>
      </c>
      <c r="U43" s="459">
        <f t="shared" si="18"/>
        <v>0</v>
      </c>
      <c r="V43" s="460">
        <f t="shared" si="18"/>
        <v>0</v>
      </c>
      <c r="W43" s="461">
        <f t="shared" si="18"/>
        <v>0</v>
      </c>
      <c r="X43" s="522">
        <f t="shared" si="18"/>
        <v>0</v>
      </c>
      <c r="Y43" s="523">
        <f t="shared" si="18"/>
        <v>0</v>
      </c>
      <c r="Z43" s="91"/>
      <c r="AA43" s="524">
        <f>ROUND(SUM(AA20:AA42),2)</f>
        <v>1220.1</v>
      </c>
      <c r="AB43" s="464">
        <f>ROUND(SUM(AB20:AB42),2)</f>
        <v>1220.1</v>
      </c>
      <c r="AC43" s="18"/>
    </row>
    <row r="44" spans="1:29" s="137" customFormat="1" ht="13.5" thickTop="1">
      <c r="A44" s="465"/>
      <c r="B44" s="466"/>
      <c r="C44" s="133"/>
      <c r="D44" s="134"/>
      <c r="E44" s="467"/>
      <c r="F44" s="467"/>
      <c r="G44" s="467"/>
      <c r="H44" s="467"/>
      <c r="I44" s="467"/>
      <c r="J44" s="468"/>
      <c r="K44" s="467"/>
      <c r="L44" s="467"/>
      <c r="M44" s="467"/>
      <c r="N44" s="467"/>
      <c r="O44" s="467"/>
      <c r="P44" s="467"/>
      <c r="Q44" s="521"/>
      <c r="R44" s="469"/>
      <c r="S44" s="469"/>
      <c r="T44" s="469"/>
      <c r="U44" s="469"/>
      <c r="V44" s="469"/>
      <c r="W44" s="469"/>
      <c r="X44" s="469"/>
      <c r="Y44" s="469"/>
      <c r="Z44" s="465"/>
      <c r="AA44" s="470"/>
      <c r="AB44" s="470"/>
      <c r="AC44" s="138"/>
    </row>
    <row r="45" spans="1:29" s="5" customFormat="1" ht="16.5" customHeight="1" thickBot="1">
      <c r="A45" s="91"/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</row>
    <row r="46" spans="1:30" ht="16.5" customHeight="1" thickTop="1">
      <c r="A46" s="2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</row>
    <row r="47" spans="1:30" ht="16.5" customHeight="1">
      <c r="A47" s="2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</row>
    <row r="48" spans="1:30" ht="16.5" customHeight="1">
      <c r="A48" s="2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</row>
    <row r="49" spans="1:30" ht="16.5" customHeight="1">
      <c r="A49" s="2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</row>
    <row r="50" spans="4:30" ht="16.5" customHeight="1"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</row>
    <row r="51" spans="4:30" ht="16.5" customHeight="1"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</row>
    <row r="52" spans="4:30" ht="16.5" customHeight="1"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</row>
    <row r="53" spans="4:30" ht="16.5" customHeight="1"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</row>
    <row r="54" spans="4:30" ht="16.5" customHeight="1"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</row>
    <row r="55" spans="4:30" ht="16.5" customHeight="1"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</row>
    <row r="56" spans="4:30" ht="16.5" customHeight="1"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</row>
    <row r="57" spans="4:30" ht="16.5" customHeight="1"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</row>
    <row r="58" spans="4:30" ht="16.5" customHeight="1"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</row>
    <row r="59" spans="4:30" ht="16.5" customHeight="1"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</row>
    <row r="60" spans="4:30" ht="16.5" customHeight="1"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</row>
    <row r="61" spans="4:30" ht="16.5" customHeight="1"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</row>
    <row r="62" spans="4:30" ht="16.5" customHeight="1"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</row>
    <row r="63" spans="4:30" ht="16.5" customHeight="1"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</row>
    <row r="64" spans="4:30" ht="16.5" customHeight="1"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</row>
    <row r="65" spans="4:30" ht="16.5" customHeight="1"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</row>
    <row r="66" spans="4:30" ht="16.5" customHeight="1"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</row>
    <row r="67" spans="4:30" ht="16.5" customHeight="1"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</row>
    <row r="68" spans="4:30" ht="16.5" customHeight="1"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</row>
    <row r="69" spans="4:30" ht="16.5" customHeight="1"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</row>
    <row r="70" spans="4:30" ht="16.5" customHeight="1"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</row>
    <row r="71" spans="4:30" ht="16.5" customHeight="1"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</row>
    <row r="72" spans="4:30" ht="16.5" customHeight="1"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</row>
    <row r="73" spans="4:30" ht="16.5" customHeight="1"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</row>
    <row r="74" spans="4:30" ht="16.5" customHeight="1"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</row>
    <row r="75" spans="4:30" ht="16.5" customHeight="1"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</row>
    <row r="76" spans="4:30" ht="16.5" customHeight="1"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</row>
    <row r="77" spans="4:30" ht="16.5" customHeight="1"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</row>
    <row r="78" spans="4:30" ht="16.5" customHeight="1"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</row>
    <row r="79" spans="4:30" ht="16.5" customHeight="1"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</row>
    <row r="80" spans="4:30" ht="16.5" customHeight="1"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</row>
    <row r="81" spans="4:30" ht="16.5" customHeight="1"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</row>
    <row r="82" spans="4:30" ht="16.5" customHeight="1"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</row>
    <row r="83" spans="4:30" ht="16.5" customHeight="1"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</row>
    <row r="84" spans="4:30" ht="16.5" customHeight="1"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</row>
    <row r="85" spans="4:30" ht="16.5" customHeight="1"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</row>
    <row r="86" spans="4:30" ht="16.5" customHeight="1"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</row>
    <row r="87" spans="4:30" ht="16.5" customHeight="1"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</row>
    <row r="88" spans="4:30" ht="16.5" customHeight="1"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</row>
    <row r="89" spans="4:30" ht="16.5" customHeight="1"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</row>
    <row r="90" spans="4:30" ht="16.5" customHeight="1"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</row>
    <row r="91" spans="4:30" ht="16.5" customHeight="1"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</row>
    <row r="92" spans="4:30" ht="16.5" customHeight="1"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</row>
    <row r="93" spans="4:30" ht="16.5" customHeight="1"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</row>
    <row r="94" spans="4:30" ht="16.5" customHeight="1"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</row>
    <row r="95" spans="4:30" ht="16.5" customHeight="1"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</row>
    <row r="96" spans="4:30" ht="16.5" customHeight="1"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</row>
    <row r="97" spans="4:30" ht="16.5" customHeight="1"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</row>
    <row r="98" spans="4:30" ht="16.5" customHeight="1"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</row>
    <row r="99" spans="4:30" ht="16.5" customHeight="1"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</row>
    <row r="100" spans="4:30" ht="16.5" customHeight="1"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</row>
    <row r="101" spans="4:30" ht="16.5" customHeight="1"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</row>
    <row r="102" spans="4:30" ht="16.5" customHeight="1"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</row>
    <row r="103" spans="4:30" ht="16.5" customHeight="1"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</row>
    <row r="104" spans="4:30" ht="16.5" customHeight="1"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</row>
    <row r="105" spans="4:30" ht="16.5" customHeight="1"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</row>
    <row r="106" spans="4:30" ht="16.5" customHeight="1"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</row>
    <row r="107" spans="4:30" ht="16.5" customHeight="1"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</row>
    <row r="108" spans="4:30" ht="16.5" customHeight="1"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</row>
    <row r="109" spans="4:30" ht="16.5" customHeight="1"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</row>
    <row r="110" spans="4:30" ht="16.5" customHeight="1"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</row>
    <row r="111" spans="4:30" ht="16.5" customHeight="1"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</row>
    <row r="112" spans="4:30" ht="16.5" customHeight="1"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</row>
    <row r="113" spans="4:30" ht="16.5" customHeight="1"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</row>
    <row r="114" spans="4:30" ht="16.5" customHeight="1"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</row>
    <row r="115" spans="4:30" ht="16.5" customHeight="1"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</row>
    <row r="116" spans="4:30" ht="16.5" customHeight="1"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</row>
    <row r="117" spans="4:30" ht="16.5" customHeight="1"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</row>
    <row r="118" spans="4:30" ht="16.5" customHeight="1"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</row>
    <row r="119" spans="4:30" ht="16.5" customHeight="1"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</row>
    <row r="120" spans="4:30" ht="16.5" customHeight="1"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</row>
    <row r="121" spans="4:30" ht="16.5" customHeight="1"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</row>
    <row r="122" spans="4:30" ht="16.5" customHeight="1"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</row>
    <row r="123" spans="4:30" ht="16.5" customHeight="1"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</row>
    <row r="124" spans="4:30" ht="16.5" customHeight="1"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</row>
    <row r="125" spans="4:30" ht="16.5" customHeight="1"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</row>
    <row r="126" spans="4:30" ht="16.5" customHeight="1"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</row>
    <row r="127" spans="4:30" ht="16.5" customHeight="1"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</row>
    <row r="128" spans="4:30" ht="16.5" customHeight="1"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</row>
    <row r="129" spans="4:30" ht="16.5" customHeight="1"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</row>
    <row r="130" spans="4:30" ht="16.5" customHeight="1"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</row>
    <row r="131" spans="4:30" ht="16.5" customHeight="1"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</row>
    <row r="132" spans="4:30" ht="16.5" customHeight="1"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</row>
    <row r="133" spans="4:30" ht="16.5" customHeight="1"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</row>
    <row r="134" spans="4:30" ht="16.5" customHeight="1"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</row>
    <row r="135" spans="4:30" ht="16.5" customHeight="1"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</row>
    <row r="136" spans="4:30" ht="16.5" customHeight="1"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</row>
    <row r="137" spans="4:30" ht="16.5" customHeight="1"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</row>
    <row r="138" spans="4:30" ht="16.5" customHeight="1"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</row>
    <row r="139" spans="4:30" ht="16.5" customHeight="1"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</row>
    <row r="140" spans="4:30" ht="16.5" customHeight="1"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</row>
    <row r="141" spans="4:30" ht="16.5" customHeight="1"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</row>
    <row r="142" spans="4:30" ht="16.5" customHeight="1"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</row>
    <row r="143" spans="4:30" ht="16.5" customHeight="1"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</row>
    <row r="144" spans="4:30" ht="16.5" customHeight="1"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</row>
    <row r="145" spans="4:30" ht="16.5" customHeight="1"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</row>
    <row r="146" spans="4:30" ht="16.5" customHeight="1"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</row>
    <row r="147" spans="4:30" ht="16.5" customHeight="1"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</row>
    <row r="148" spans="4:30" ht="16.5" customHeight="1"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</row>
    <row r="149" spans="4:30" ht="16.5" customHeight="1"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</row>
    <row r="150" spans="4:30" ht="16.5" customHeight="1"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</row>
    <row r="151" spans="4:30" ht="16.5" customHeight="1"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</row>
    <row r="152" spans="4:30" ht="16.5" customHeight="1"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</row>
    <row r="153" spans="4:30" ht="16.5" customHeight="1"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</row>
    <row r="154" ht="16.5" customHeight="1">
      <c r="AD154" s="193"/>
    </row>
    <row r="155" ht="16.5" customHeight="1">
      <c r="AD155" s="193"/>
    </row>
    <row r="156" ht="16.5" customHeight="1">
      <c r="AD156" s="193"/>
    </row>
    <row r="157" ht="16.5" customHeight="1">
      <c r="AD157" s="193"/>
    </row>
    <row r="158" ht="16.5" customHeight="1"/>
    <row r="159" ht="16.5" customHeight="1"/>
    <row r="160" ht="16.5" customHeight="1"/>
  </sheetData>
  <mergeCells count="1">
    <mergeCell ref="L14:P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155"/>
  <sheetViews>
    <sheetView zoomScale="75" zoomScaleNormal="75" workbookViewId="0" topLeftCell="D1">
      <selection activeCell="D2" sqref="D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19" customFormat="1" ht="26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159"/>
    </row>
    <row r="2" spans="1:28" s="19" customFormat="1" ht="26.25">
      <c r="A2" s="92"/>
      <c r="B2" s="377" t="str">
        <f>'TOT-0907'!B2</f>
        <v>ANEXO IV al Memorandum D.T.E.E. N°  1955 /2009</v>
      </c>
      <c r="C2" s="377"/>
      <c r="D2" s="377"/>
      <c r="E2" s="20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</row>
    <row r="3" spans="1:28" s="5" customFormat="1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8" s="26" customFormat="1" ht="11.25">
      <c r="A4" s="378" t="s">
        <v>77</v>
      </c>
      <c r="B4" s="11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</row>
    <row r="5" spans="1:28" s="26" customFormat="1" ht="11.25">
      <c r="A5" s="378" t="s">
        <v>3</v>
      </c>
      <c r="B5" s="11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</row>
    <row r="6" spans="1:28" s="5" customFormat="1" ht="13.5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s="5" customFormat="1" ht="13.5" thickTop="1">
      <c r="A7" s="91"/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5"/>
    </row>
    <row r="8" spans="1:28" s="30" customFormat="1" ht="20.25">
      <c r="A8" s="108"/>
      <c r="B8" s="109"/>
      <c r="C8" s="108"/>
      <c r="D8" s="379" t="s">
        <v>61</v>
      </c>
      <c r="E8" s="108"/>
      <c r="F8" s="108"/>
      <c r="G8" s="380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97"/>
      <c r="S8" s="97"/>
      <c r="T8" s="97"/>
      <c r="U8" s="97"/>
      <c r="V8" s="97"/>
      <c r="W8" s="97"/>
      <c r="X8" s="97"/>
      <c r="Y8" s="97"/>
      <c r="Z8" s="97"/>
      <c r="AA8" s="97"/>
      <c r="AB8" s="110"/>
    </row>
    <row r="9" spans="1:28" s="5" customFormat="1" ht="12.75">
      <c r="A9" s="91"/>
      <c r="B9" s="96"/>
      <c r="C9" s="91"/>
      <c r="D9" s="15"/>
      <c r="E9" s="381"/>
      <c r="F9" s="91"/>
      <c r="G9" s="15"/>
      <c r="H9" s="91"/>
      <c r="I9" s="91"/>
      <c r="J9" s="91"/>
      <c r="K9" s="91"/>
      <c r="L9" s="91"/>
      <c r="M9" s="91"/>
      <c r="N9" s="91"/>
      <c r="O9" s="91"/>
      <c r="P9" s="91"/>
      <c r="Q9" s="91"/>
      <c r="R9" s="15"/>
      <c r="S9" s="15"/>
      <c r="T9" s="15"/>
      <c r="U9" s="15"/>
      <c r="V9" s="15"/>
      <c r="W9" s="15"/>
      <c r="X9" s="15"/>
      <c r="Y9" s="15"/>
      <c r="Z9" s="15"/>
      <c r="AA9" s="15"/>
      <c r="AB9" s="18"/>
    </row>
    <row r="10" spans="1:28" s="30" customFormat="1" ht="20.25">
      <c r="A10" s="108"/>
      <c r="B10" s="109"/>
      <c r="C10" s="108"/>
      <c r="D10" s="192" t="s">
        <v>290</v>
      </c>
      <c r="E10" s="108"/>
      <c r="F10" s="12"/>
      <c r="G10" s="9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110"/>
    </row>
    <row r="11" spans="1:28" s="5" customFormat="1" ht="12.75">
      <c r="A11" s="91"/>
      <c r="B11" s="96"/>
      <c r="C11" s="91"/>
      <c r="D11" s="15"/>
      <c r="E11" s="15"/>
      <c r="F11" s="15"/>
      <c r="G11" s="99"/>
      <c r="H11" s="15"/>
      <c r="I11" s="15"/>
      <c r="J11" s="15"/>
      <c r="K11" s="15"/>
      <c r="L11" s="15"/>
      <c r="M11" s="91"/>
      <c r="N11" s="91"/>
      <c r="O11" s="91"/>
      <c r="P11" s="91"/>
      <c r="Q11" s="91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8"/>
    </row>
    <row r="12" spans="1:28" s="37" customFormat="1" ht="19.5">
      <c r="A12" s="112"/>
      <c r="B12" s="1134" t="str">
        <f>'TOT-0907'!B14</f>
        <v>Desde el 01 al 30 de septiembre de 2007</v>
      </c>
      <c r="C12" s="382"/>
      <c r="D12" s="115"/>
      <c r="E12" s="115"/>
      <c r="F12" s="115"/>
      <c r="G12" s="115"/>
      <c r="H12" s="115"/>
      <c r="I12" s="115"/>
      <c r="J12" s="115"/>
      <c r="K12" s="115"/>
      <c r="L12" s="115"/>
      <c r="M12" s="382"/>
      <c r="N12" s="382"/>
      <c r="O12" s="382"/>
      <c r="P12" s="382"/>
      <c r="Q12" s="382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383"/>
    </row>
    <row r="13" spans="1:28" s="5" customFormat="1" ht="13.5" thickBot="1">
      <c r="A13" s="91"/>
      <c r="B13" s="96"/>
      <c r="C13" s="91"/>
      <c r="D13" s="15"/>
      <c r="E13" s="15"/>
      <c r="F13" s="15"/>
      <c r="G13" s="99"/>
      <c r="H13" s="15"/>
      <c r="I13" s="15"/>
      <c r="J13" s="15"/>
      <c r="K13" s="15"/>
      <c r="L13" s="15"/>
      <c r="M13" s="91"/>
      <c r="N13" s="91"/>
      <c r="O13" s="91"/>
      <c r="P13" s="91"/>
      <c r="Q13" s="91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8"/>
    </row>
    <row r="14" spans="1:28" s="5" customFormat="1" ht="16.5" customHeight="1" thickBot="1" thickTop="1">
      <c r="A14" s="91"/>
      <c r="B14" s="96"/>
      <c r="C14" s="91"/>
      <c r="D14" s="384" t="s">
        <v>78</v>
      </c>
      <c r="E14" s="385"/>
      <c r="F14" s="386">
        <v>0.0896</v>
      </c>
      <c r="H14" s="91"/>
      <c r="I14" s="91"/>
      <c r="J14" s="91"/>
      <c r="K14" s="91"/>
      <c r="L14" s="91"/>
      <c r="M14" s="91"/>
      <c r="N14" s="91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8"/>
    </row>
    <row r="15" spans="1:28" s="5" customFormat="1" ht="16.5" customHeight="1" thickBot="1" thickTop="1">
      <c r="A15" s="91"/>
      <c r="B15" s="96"/>
      <c r="C15" s="91"/>
      <c r="D15" s="113" t="s">
        <v>27</v>
      </c>
      <c r="E15" s="114"/>
      <c r="F15" s="1135">
        <v>200</v>
      </c>
      <c r="G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00"/>
      <c r="V15" s="100"/>
      <c r="W15" s="100"/>
      <c r="X15" s="100"/>
      <c r="Y15" s="100"/>
      <c r="Z15" s="100"/>
      <c r="AA15" s="91"/>
      <c r="AB15" s="18"/>
    </row>
    <row r="16" spans="1:28" s="5" customFormat="1" ht="16.5" customHeight="1" thickBot="1" thickTop="1">
      <c r="A16" s="91"/>
      <c r="B16" s="96"/>
      <c r="C16" s="91"/>
      <c r="D16" s="15"/>
      <c r="E16" s="15"/>
      <c r="F16" s="15"/>
      <c r="G16" s="101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8"/>
    </row>
    <row r="17" spans="1:28" s="5" customFormat="1" ht="33.75" customHeight="1" thickBot="1" thickTop="1">
      <c r="A17" s="91"/>
      <c r="B17" s="96"/>
      <c r="C17" s="127" t="s">
        <v>13</v>
      </c>
      <c r="D17" s="123" t="s">
        <v>28</v>
      </c>
      <c r="E17" s="122" t="s">
        <v>29</v>
      </c>
      <c r="F17" s="124" t="s">
        <v>30</v>
      </c>
      <c r="G17" s="125" t="s">
        <v>14</v>
      </c>
      <c r="H17" s="139" t="s">
        <v>16</v>
      </c>
      <c r="I17" s="122" t="s">
        <v>17</v>
      </c>
      <c r="J17" s="122" t="s">
        <v>18</v>
      </c>
      <c r="K17" s="123" t="s">
        <v>31</v>
      </c>
      <c r="L17" s="123" t="s">
        <v>32</v>
      </c>
      <c r="M17" s="89" t="s">
        <v>19</v>
      </c>
      <c r="N17" s="89" t="s">
        <v>47</v>
      </c>
      <c r="O17" s="126" t="s">
        <v>33</v>
      </c>
      <c r="P17" s="122" t="s">
        <v>34</v>
      </c>
      <c r="Q17" s="387" t="s">
        <v>38</v>
      </c>
      <c r="R17" s="388" t="s">
        <v>20</v>
      </c>
      <c r="S17" s="389" t="s">
        <v>21</v>
      </c>
      <c r="T17" s="284" t="s">
        <v>79</v>
      </c>
      <c r="U17" s="286"/>
      <c r="V17" s="390" t="s">
        <v>80</v>
      </c>
      <c r="W17" s="391"/>
      <c r="X17" s="392" t="s">
        <v>22</v>
      </c>
      <c r="Y17" s="393" t="s">
        <v>75</v>
      </c>
      <c r="Z17" s="144" t="s">
        <v>76</v>
      </c>
      <c r="AA17" s="125" t="s">
        <v>24</v>
      </c>
      <c r="AB17" s="18"/>
    </row>
    <row r="18" spans="1:28" s="5" customFormat="1" ht="16.5" customHeight="1" thickTop="1">
      <c r="A18" s="91"/>
      <c r="B18" s="96"/>
      <c r="C18" s="394"/>
      <c r="D18" s="394"/>
      <c r="E18" s="394"/>
      <c r="F18" s="394"/>
      <c r="G18" s="395"/>
      <c r="H18" s="396"/>
      <c r="I18" s="394"/>
      <c r="J18" s="394"/>
      <c r="K18" s="394"/>
      <c r="L18" s="394"/>
      <c r="M18" s="394"/>
      <c r="N18" s="217"/>
      <c r="O18" s="397"/>
      <c r="P18" s="394"/>
      <c r="Q18" s="398"/>
      <c r="R18" s="399"/>
      <c r="S18" s="400"/>
      <c r="T18" s="401"/>
      <c r="U18" s="402"/>
      <c r="V18" s="403"/>
      <c r="W18" s="404"/>
      <c r="X18" s="405"/>
      <c r="Y18" s="406"/>
      <c r="Z18" s="397"/>
      <c r="AA18" s="407"/>
      <c r="AB18" s="18"/>
    </row>
    <row r="19" spans="1:28" s="5" customFormat="1" ht="16.5" customHeight="1">
      <c r="A19" s="91"/>
      <c r="B19" s="96"/>
      <c r="C19" s="408"/>
      <c r="D19" s="408"/>
      <c r="E19" s="408"/>
      <c r="F19" s="408"/>
      <c r="G19" s="409"/>
      <c r="H19" s="410"/>
      <c r="I19" s="408"/>
      <c r="J19" s="408"/>
      <c r="K19" s="408"/>
      <c r="L19" s="408"/>
      <c r="M19" s="408"/>
      <c r="N19" s="226"/>
      <c r="O19" s="411"/>
      <c r="P19" s="408"/>
      <c r="Q19" s="412"/>
      <c r="R19" s="413"/>
      <c r="S19" s="414"/>
      <c r="T19" s="415"/>
      <c r="U19" s="416"/>
      <c r="V19" s="417"/>
      <c r="W19" s="418"/>
      <c r="X19" s="419"/>
      <c r="Y19" s="420"/>
      <c r="Z19" s="411"/>
      <c r="AA19" s="421"/>
      <c r="AB19" s="18"/>
    </row>
    <row r="20" spans="1:28" s="5" customFormat="1" ht="16.5" customHeight="1">
      <c r="A20" s="91"/>
      <c r="B20" s="96"/>
      <c r="C20" s="171">
        <v>119</v>
      </c>
      <c r="D20" s="1136" t="s">
        <v>292</v>
      </c>
      <c r="E20" s="1136" t="s">
        <v>293</v>
      </c>
      <c r="F20" s="1136">
        <v>300</v>
      </c>
      <c r="G20" s="1136" t="s">
        <v>291</v>
      </c>
      <c r="H20" s="425">
        <f aca="true" t="shared" si="0" ref="H20:H39">F20*$F$14</f>
        <v>26.88</v>
      </c>
      <c r="I20" s="172">
        <v>39348.393055555556</v>
      </c>
      <c r="J20" s="172">
        <v>39348.74375</v>
      </c>
      <c r="K20" s="426">
        <f aca="true" t="shared" si="1" ref="K20:K39">IF(D20="","",(J20-I20)*24)</f>
        <v>8.41666666668607</v>
      </c>
      <c r="L20" s="14">
        <f aca="true" t="shared" si="2" ref="L20:L39">IF(D20="","",ROUND((J20-I20)*24*60,0))</f>
        <v>505</v>
      </c>
      <c r="M20" s="173" t="s">
        <v>182</v>
      </c>
      <c r="N20" s="323" t="str">
        <f aca="true" t="shared" si="3" ref="N20:N39">IF(D20="","","--")</f>
        <v>--</v>
      </c>
      <c r="O20" s="169" t="str">
        <f>IF(D20="","",IF(OR(M20="P",M20="RP"),"--","NO"))</f>
        <v>--</v>
      </c>
      <c r="P20" s="168" t="str">
        <f aca="true" t="shared" si="4" ref="P20:P39">IF(D20="","","NO")</f>
        <v>NO</v>
      </c>
      <c r="Q20" s="1137">
        <f aca="true" t="shared" si="5" ref="Q20:Q39">$F$15*IF(OR(M20="P",M20="RP"),0.1,1)*IF(P20="SI",1,0.1)</f>
        <v>2</v>
      </c>
      <c r="R20" s="498">
        <f aca="true" t="shared" si="6" ref="R20:R39">IF(M20="P",H20*Q20*ROUND(L20/60,2),"--")</f>
        <v>452.6592</v>
      </c>
      <c r="S20" s="499" t="str">
        <f aca="true" t="shared" si="7" ref="S20:S39">IF(M20="RP",H20*Q20*N20/100*ROUND(L20/60,2),"--")</f>
        <v>--</v>
      </c>
      <c r="T20" s="500" t="str">
        <f aca="true" t="shared" si="8" ref="T20:T39">IF(AND(M20="F",O20="NO"),H20*Q20,"--")</f>
        <v>--</v>
      </c>
      <c r="U20" s="501" t="str">
        <f aca="true" t="shared" si="9" ref="U20:U39">IF(M20="F",H20*Q20*ROUND(L20/60,2),"--")</f>
        <v>--</v>
      </c>
      <c r="V20" s="502" t="str">
        <f aca="true" t="shared" si="10" ref="V20:V39">IF(AND(M20="R",O20="NO"),H20*Q20*N20/100,"--")</f>
        <v>--</v>
      </c>
      <c r="W20" s="503" t="str">
        <f aca="true" t="shared" si="11" ref="W20:W39">IF(M20="R",H20*Q20*N20/100*ROUND(L20/60,2),"--")</f>
        <v>--</v>
      </c>
      <c r="X20" s="504" t="str">
        <f aca="true" t="shared" si="12" ref="X20:X39">IF(M20="RF",H20*Q20*ROUND(L20/60,2),"--")</f>
        <v>--</v>
      </c>
      <c r="Y20" s="505" t="str">
        <f aca="true" t="shared" si="13" ref="Y20:Y39">IF(M20="RR",H20*Q20*N20/100*ROUND(L20/60,2),"--")</f>
        <v>--</v>
      </c>
      <c r="Z20" s="1138" t="str">
        <f aca="true" t="shared" si="14" ref="Z20:Z39">IF(D20="","","SI")</f>
        <v>SI</v>
      </c>
      <c r="AA20" s="437">
        <f aca="true" t="shared" si="15" ref="AA20:AA39">IF(D20="","",SUM(R20:Y20)*IF(Z20="SI",1,2))</f>
        <v>452.6592</v>
      </c>
      <c r="AB20" s="18"/>
    </row>
    <row r="21" spans="1:28" s="5" customFormat="1" ht="16.5" customHeight="1">
      <c r="A21" s="91"/>
      <c r="B21" s="96"/>
      <c r="C21" s="171"/>
      <c r="D21" s="1136"/>
      <c r="E21" s="1136"/>
      <c r="F21" s="1136"/>
      <c r="G21" s="1136"/>
      <c r="H21" s="425"/>
      <c r="I21" s="172"/>
      <c r="J21" s="172"/>
      <c r="K21" s="426"/>
      <c r="L21" s="14"/>
      <c r="M21" s="173"/>
      <c r="N21" s="323"/>
      <c r="O21" s="169"/>
      <c r="P21" s="168"/>
      <c r="Q21" s="1137"/>
      <c r="R21" s="498"/>
      <c r="S21" s="499"/>
      <c r="T21" s="500"/>
      <c r="U21" s="501"/>
      <c r="V21" s="502"/>
      <c r="W21" s="503"/>
      <c r="X21" s="504"/>
      <c r="Y21" s="505"/>
      <c r="Z21" s="1138"/>
      <c r="AA21" s="437"/>
      <c r="AB21" s="18"/>
    </row>
    <row r="22" spans="1:28" s="5" customFormat="1" ht="16.5" customHeight="1">
      <c r="A22" s="91"/>
      <c r="B22" s="96"/>
      <c r="C22" s="171"/>
      <c r="D22" s="164"/>
      <c r="E22" s="422"/>
      <c r="F22" s="423"/>
      <c r="G22" s="424"/>
      <c r="H22" s="425">
        <f t="shared" si="0"/>
        <v>0</v>
      </c>
      <c r="I22" s="172"/>
      <c r="J22" s="172"/>
      <c r="K22" s="426">
        <f t="shared" si="1"/>
      </c>
      <c r="L22" s="14">
        <f t="shared" si="2"/>
      </c>
      <c r="M22" s="173"/>
      <c r="N22" s="323">
        <f t="shared" si="3"/>
      </c>
      <c r="O22" s="169">
        <f aca="true" t="shared" si="16" ref="O22:O39">IF(D22="","",IF(M22="P","--","NO"))</f>
      </c>
      <c r="P22" s="168">
        <f t="shared" si="4"/>
      </c>
      <c r="Q22" s="1137">
        <f t="shared" si="5"/>
        <v>20</v>
      </c>
      <c r="R22" s="498" t="str">
        <f t="shared" si="6"/>
        <v>--</v>
      </c>
      <c r="S22" s="499" t="str">
        <f t="shared" si="7"/>
        <v>--</v>
      </c>
      <c r="T22" s="500" t="str">
        <f t="shared" si="8"/>
        <v>--</v>
      </c>
      <c r="U22" s="501" t="str">
        <f t="shared" si="9"/>
        <v>--</v>
      </c>
      <c r="V22" s="502" t="str">
        <f t="shared" si="10"/>
        <v>--</v>
      </c>
      <c r="W22" s="503" t="str">
        <f t="shared" si="11"/>
        <v>--</v>
      </c>
      <c r="X22" s="504" t="str">
        <f t="shared" si="12"/>
        <v>--</v>
      </c>
      <c r="Y22" s="505" t="str">
        <f t="shared" si="13"/>
        <v>--</v>
      </c>
      <c r="Z22" s="1138">
        <f t="shared" si="14"/>
      </c>
      <c r="AA22" s="437">
        <f t="shared" si="15"/>
      </c>
      <c r="AB22" s="18"/>
    </row>
    <row r="23" spans="1:28" s="5" customFormat="1" ht="16.5" customHeight="1">
      <c r="A23" s="91"/>
      <c r="B23" s="96"/>
      <c r="C23" s="171"/>
      <c r="D23" s="164"/>
      <c r="E23" s="422"/>
      <c r="F23" s="423"/>
      <c r="G23" s="424"/>
      <c r="H23" s="425">
        <f t="shared" si="0"/>
        <v>0</v>
      </c>
      <c r="I23" s="172"/>
      <c r="J23" s="172"/>
      <c r="K23" s="426">
        <f t="shared" si="1"/>
      </c>
      <c r="L23" s="14">
        <f t="shared" si="2"/>
      </c>
      <c r="M23" s="173"/>
      <c r="N23" s="323">
        <f t="shared" si="3"/>
      </c>
      <c r="O23" s="169">
        <f t="shared" si="16"/>
      </c>
      <c r="P23" s="168">
        <f t="shared" si="4"/>
      </c>
      <c r="Q23" s="1137">
        <f t="shared" si="5"/>
        <v>20</v>
      </c>
      <c r="R23" s="498" t="str">
        <f t="shared" si="6"/>
        <v>--</v>
      </c>
      <c r="S23" s="499" t="str">
        <f t="shared" si="7"/>
        <v>--</v>
      </c>
      <c r="T23" s="500" t="str">
        <f t="shared" si="8"/>
        <v>--</v>
      </c>
      <c r="U23" s="501" t="str">
        <f t="shared" si="9"/>
        <v>--</v>
      </c>
      <c r="V23" s="502" t="str">
        <f t="shared" si="10"/>
        <v>--</v>
      </c>
      <c r="W23" s="503" t="str">
        <f t="shared" si="11"/>
        <v>--</v>
      </c>
      <c r="X23" s="504" t="str">
        <f t="shared" si="12"/>
        <v>--</v>
      </c>
      <c r="Y23" s="505" t="str">
        <f t="shared" si="13"/>
        <v>--</v>
      </c>
      <c r="Z23" s="1138">
        <f t="shared" si="14"/>
      </c>
      <c r="AA23" s="437">
        <f t="shared" si="15"/>
      </c>
      <c r="AB23" s="18"/>
    </row>
    <row r="24" spans="1:28" s="5" customFormat="1" ht="16.5" customHeight="1">
      <c r="A24" s="91"/>
      <c r="B24" s="96"/>
      <c r="C24" s="171"/>
      <c r="D24" s="164"/>
      <c r="E24" s="422"/>
      <c r="F24" s="423"/>
      <c r="G24" s="424"/>
      <c r="H24" s="425">
        <f t="shared" si="0"/>
        <v>0</v>
      </c>
      <c r="I24" s="172"/>
      <c r="J24" s="172"/>
      <c r="K24" s="426">
        <f t="shared" si="1"/>
      </c>
      <c r="L24" s="14">
        <f t="shared" si="2"/>
      </c>
      <c r="M24" s="173"/>
      <c r="N24" s="323">
        <f t="shared" si="3"/>
      </c>
      <c r="O24" s="169">
        <f t="shared" si="16"/>
      </c>
      <c r="P24" s="168">
        <f t="shared" si="4"/>
      </c>
      <c r="Q24" s="1137">
        <f t="shared" si="5"/>
        <v>20</v>
      </c>
      <c r="R24" s="498" t="str">
        <f t="shared" si="6"/>
        <v>--</v>
      </c>
      <c r="S24" s="499" t="str">
        <f t="shared" si="7"/>
        <v>--</v>
      </c>
      <c r="T24" s="500" t="str">
        <f t="shared" si="8"/>
        <v>--</v>
      </c>
      <c r="U24" s="501" t="str">
        <f t="shared" si="9"/>
        <v>--</v>
      </c>
      <c r="V24" s="502" t="str">
        <f t="shared" si="10"/>
        <v>--</v>
      </c>
      <c r="W24" s="503" t="str">
        <f t="shared" si="11"/>
        <v>--</v>
      </c>
      <c r="X24" s="504" t="str">
        <f t="shared" si="12"/>
        <v>--</v>
      </c>
      <c r="Y24" s="505" t="str">
        <f t="shared" si="13"/>
        <v>--</v>
      </c>
      <c r="Z24" s="1138">
        <f t="shared" si="14"/>
      </c>
      <c r="AA24" s="437">
        <f t="shared" si="15"/>
      </c>
      <c r="AB24" s="18"/>
    </row>
    <row r="25" spans="1:28" s="5" customFormat="1" ht="16.5" customHeight="1">
      <c r="A25" s="91"/>
      <c r="B25" s="96"/>
      <c r="C25" s="171"/>
      <c r="D25" s="164"/>
      <c r="E25" s="422"/>
      <c r="F25" s="423"/>
      <c r="G25" s="424"/>
      <c r="H25" s="425">
        <f t="shared" si="0"/>
        <v>0</v>
      </c>
      <c r="I25" s="172"/>
      <c r="J25" s="172"/>
      <c r="K25" s="426">
        <f t="shared" si="1"/>
      </c>
      <c r="L25" s="14">
        <f t="shared" si="2"/>
      </c>
      <c r="M25" s="173"/>
      <c r="N25" s="323">
        <f t="shared" si="3"/>
      </c>
      <c r="O25" s="169">
        <f t="shared" si="16"/>
      </c>
      <c r="P25" s="168">
        <f t="shared" si="4"/>
      </c>
      <c r="Q25" s="1137">
        <f t="shared" si="5"/>
        <v>20</v>
      </c>
      <c r="R25" s="498" t="str">
        <f t="shared" si="6"/>
        <v>--</v>
      </c>
      <c r="S25" s="499" t="str">
        <f t="shared" si="7"/>
        <v>--</v>
      </c>
      <c r="T25" s="500" t="str">
        <f t="shared" si="8"/>
        <v>--</v>
      </c>
      <c r="U25" s="501" t="str">
        <f t="shared" si="9"/>
        <v>--</v>
      </c>
      <c r="V25" s="502" t="str">
        <f t="shared" si="10"/>
        <v>--</v>
      </c>
      <c r="W25" s="503" t="str">
        <f t="shared" si="11"/>
        <v>--</v>
      </c>
      <c r="X25" s="504" t="str">
        <f t="shared" si="12"/>
        <v>--</v>
      </c>
      <c r="Y25" s="505" t="str">
        <f t="shared" si="13"/>
        <v>--</v>
      </c>
      <c r="Z25" s="1138">
        <f t="shared" si="14"/>
      </c>
      <c r="AA25" s="437">
        <f t="shared" si="15"/>
      </c>
      <c r="AB25" s="18"/>
    </row>
    <row r="26" spans="1:29" s="5" customFormat="1" ht="16.5" customHeight="1">
      <c r="A26" s="91"/>
      <c r="B26" s="96"/>
      <c r="C26" s="171"/>
      <c r="D26" s="164"/>
      <c r="E26" s="422"/>
      <c r="F26" s="423"/>
      <c r="G26" s="424"/>
      <c r="H26" s="425">
        <f t="shared" si="0"/>
        <v>0</v>
      </c>
      <c r="I26" s="172"/>
      <c r="J26" s="172"/>
      <c r="K26" s="426">
        <f t="shared" si="1"/>
      </c>
      <c r="L26" s="14">
        <f t="shared" si="2"/>
      </c>
      <c r="M26" s="173"/>
      <c r="N26" s="323">
        <f t="shared" si="3"/>
      </c>
      <c r="O26" s="169">
        <f t="shared" si="16"/>
      </c>
      <c r="P26" s="168">
        <f t="shared" si="4"/>
      </c>
      <c r="Q26" s="1137">
        <f t="shared" si="5"/>
        <v>20</v>
      </c>
      <c r="R26" s="498" t="str">
        <f t="shared" si="6"/>
        <v>--</v>
      </c>
      <c r="S26" s="499" t="str">
        <f t="shared" si="7"/>
        <v>--</v>
      </c>
      <c r="T26" s="500" t="str">
        <f t="shared" si="8"/>
        <v>--</v>
      </c>
      <c r="U26" s="501" t="str">
        <f t="shared" si="9"/>
        <v>--</v>
      </c>
      <c r="V26" s="502" t="str">
        <f t="shared" si="10"/>
        <v>--</v>
      </c>
      <c r="W26" s="503" t="str">
        <f t="shared" si="11"/>
        <v>--</v>
      </c>
      <c r="X26" s="504" t="str">
        <f t="shared" si="12"/>
        <v>--</v>
      </c>
      <c r="Y26" s="505" t="str">
        <f t="shared" si="13"/>
        <v>--</v>
      </c>
      <c r="Z26" s="1138">
        <f t="shared" si="14"/>
      </c>
      <c r="AA26" s="437">
        <f t="shared" si="15"/>
      </c>
      <c r="AB26" s="18"/>
      <c r="AC26" s="15"/>
    </row>
    <row r="27" spans="1:28" s="5" customFormat="1" ht="16.5" customHeight="1">
      <c r="A27" s="91"/>
      <c r="B27" s="96"/>
      <c r="C27" s="171"/>
      <c r="D27" s="164"/>
      <c r="E27" s="422"/>
      <c r="F27" s="423"/>
      <c r="G27" s="424"/>
      <c r="H27" s="425">
        <f t="shared" si="0"/>
        <v>0</v>
      </c>
      <c r="I27" s="172"/>
      <c r="J27" s="172"/>
      <c r="K27" s="426">
        <f t="shared" si="1"/>
      </c>
      <c r="L27" s="14">
        <f t="shared" si="2"/>
      </c>
      <c r="M27" s="173"/>
      <c r="N27" s="323">
        <f t="shared" si="3"/>
      </c>
      <c r="O27" s="169">
        <f t="shared" si="16"/>
      </c>
      <c r="P27" s="168">
        <f t="shared" si="4"/>
      </c>
      <c r="Q27" s="1137">
        <f t="shared" si="5"/>
        <v>20</v>
      </c>
      <c r="R27" s="498" t="str">
        <f t="shared" si="6"/>
        <v>--</v>
      </c>
      <c r="S27" s="499" t="str">
        <f t="shared" si="7"/>
        <v>--</v>
      </c>
      <c r="T27" s="500" t="str">
        <f t="shared" si="8"/>
        <v>--</v>
      </c>
      <c r="U27" s="501" t="str">
        <f t="shared" si="9"/>
        <v>--</v>
      </c>
      <c r="V27" s="502" t="str">
        <f t="shared" si="10"/>
        <v>--</v>
      </c>
      <c r="W27" s="503" t="str">
        <f t="shared" si="11"/>
        <v>--</v>
      </c>
      <c r="X27" s="504" t="str">
        <f t="shared" si="12"/>
        <v>--</v>
      </c>
      <c r="Y27" s="505" t="str">
        <f t="shared" si="13"/>
        <v>--</v>
      </c>
      <c r="Z27" s="1138">
        <f t="shared" si="14"/>
      </c>
      <c r="AA27" s="437">
        <f t="shared" si="15"/>
      </c>
      <c r="AB27" s="18"/>
    </row>
    <row r="28" spans="1:28" s="5" customFormat="1" ht="16.5" customHeight="1">
      <c r="A28" s="91"/>
      <c r="B28" s="96"/>
      <c r="C28" s="171"/>
      <c r="D28" s="164"/>
      <c r="E28" s="422"/>
      <c r="F28" s="423"/>
      <c r="G28" s="424"/>
      <c r="H28" s="425">
        <f t="shared" si="0"/>
        <v>0</v>
      </c>
      <c r="I28" s="172"/>
      <c r="J28" s="172"/>
      <c r="K28" s="426">
        <f t="shared" si="1"/>
      </c>
      <c r="L28" s="14">
        <f t="shared" si="2"/>
      </c>
      <c r="M28" s="173"/>
      <c r="N28" s="323">
        <f t="shared" si="3"/>
      </c>
      <c r="O28" s="169">
        <f t="shared" si="16"/>
      </c>
      <c r="P28" s="168">
        <f t="shared" si="4"/>
      </c>
      <c r="Q28" s="1137">
        <f t="shared" si="5"/>
        <v>20</v>
      </c>
      <c r="R28" s="498" t="str">
        <f t="shared" si="6"/>
        <v>--</v>
      </c>
      <c r="S28" s="499" t="str">
        <f t="shared" si="7"/>
        <v>--</v>
      </c>
      <c r="T28" s="500" t="str">
        <f t="shared" si="8"/>
        <v>--</v>
      </c>
      <c r="U28" s="501" t="str">
        <f t="shared" si="9"/>
        <v>--</v>
      </c>
      <c r="V28" s="502" t="str">
        <f t="shared" si="10"/>
        <v>--</v>
      </c>
      <c r="W28" s="503" t="str">
        <f t="shared" si="11"/>
        <v>--</v>
      </c>
      <c r="X28" s="504" t="str">
        <f t="shared" si="12"/>
        <v>--</v>
      </c>
      <c r="Y28" s="505" t="str">
        <f t="shared" si="13"/>
        <v>--</v>
      </c>
      <c r="Z28" s="1138">
        <f t="shared" si="14"/>
      </c>
      <c r="AA28" s="437">
        <f t="shared" si="15"/>
      </c>
      <c r="AB28" s="18"/>
    </row>
    <row r="29" spans="1:28" s="5" customFormat="1" ht="16.5" customHeight="1">
      <c r="A29" s="91"/>
      <c r="B29" s="96"/>
      <c r="C29" s="171"/>
      <c r="D29" s="164"/>
      <c r="E29" s="422"/>
      <c r="F29" s="423"/>
      <c r="G29" s="424"/>
      <c r="H29" s="425">
        <f t="shared" si="0"/>
        <v>0</v>
      </c>
      <c r="I29" s="172"/>
      <c r="J29" s="172"/>
      <c r="K29" s="426">
        <f t="shared" si="1"/>
      </c>
      <c r="L29" s="14">
        <f t="shared" si="2"/>
      </c>
      <c r="M29" s="173"/>
      <c r="N29" s="323">
        <f t="shared" si="3"/>
      </c>
      <c r="O29" s="169">
        <f t="shared" si="16"/>
      </c>
      <c r="P29" s="168">
        <f t="shared" si="4"/>
      </c>
      <c r="Q29" s="1137">
        <f t="shared" si="5"/>
        <v>20</v>
      </c>
      <c r="R29" s="498" t="str">
        <f t="shared" si="6"/>
        <v>--</v>
      </c>
      <c r="S29" s="499" t="str">
        <f t="shared" si="7"/>
        <v>--</v>
      </c>
      <c r="T29" s="500" t="str">
        <f t="shared" si="8"/>
        <v>--</v>
      </c>
      <c r="U29" s="501" t="str">
        <f t="shared" si="9"/>
        <v>--</v>
      </c>
      <c r="V29" s="502" t="str">
        <f t="shared" si="10"/>
        <v>--</v>
      </c>
      <c r="W29" s="503" t="str">
        <f t="shared" si="11"/>
        <v>--</v>
      </c>
      <c r="X29" s="504" t="str">
        <f t="shared" si="12"/>
        <v>--</v>
      </c>
      <c r="Y29" s="505" t="str">
        <f t="shared" si="13"/>
        <v>--</v>
      </c>
      <c r="Z29" s="1138">
        <f t="shared" si="14"/>
      </c>
      <c r="AA29" s="437">
        <f t="shared" si="15"/>
      </c>
      <c r="AB29" s="18"/>
    </row>
    <row r="30" spans="1:28" s="5" customFormat="1" ht="16.5" customHeight="1">
      <c r="A30" s="91"/>
      <c r="B30" s="96"/>
      <c r="C30" s="171"/>
      <c r="D30" s="164"/>
      <c r="E30" s="438"/>
      <c r="F30" s="423"/>
      <c r="G30" s="424"/>
      <c r="H30" s="425">
        <f t="shared" si="0"/>
        <v>0</v>
      </c>
      <c r="I30" s="172"/>
      <c r="J30" s="172"/>
      <c r="K30" s="426">
        <f t="shared" si="1"/>
      </c>
      <c r="L30" s="14">
        <f t="shared" si="2"/>
      </c>
      <c r="M30" s="173"/>
      <c r="N30" s="323">
        <f t="shared" si="3"/>
      </c>
      <c r="O30" s="169">
        <f t="shared" si="16"/>
      </c>
      <c r="P30" s="168">
        <f t="shared" si="4"/>
      </c>
      <c r="Q30" s="1137">
        <f t="shared" si="5"/>
        <v>20</v>
      </c>
      <c r="R30" s="498" t="str">
        <f t="shared" si="6"/>
        <v>--</v>
      </c>
      <c r="S30" s="499" t="str">
        <f t="shared" si="7"/>
        <v>--</v>
      </c>
      <c r="T30" s="500" t="str">
        <f t="shared" si="8"/>
        <v>--</v>
      </c>
      <c r="U30" s="501" t="str">
        <f t="shared" si="9"/>
        <v>--</v>
      </c>
      <c r="V30" s="502" t="str">
        <f t="shared" si="10"/>
        <v>--</v>
      </c>
      <c r="W30" s="503" t="str">
        <f t="shared" si="11"/>
        <v>--</v>
      </c>
      <c r="X30" s="504" t="str">
        <f t="shared" si="12"/>
        <v>--</v>
      </c>
      <c r="Y30" s="505" t="str">
        <f t="shared" si="13"/>
        <v>--</v>
      </c>
      <c r="Z30" s="1138">
        <f t="shared" si="14"/>
      </c>
      <c r="AA30" s="437">
        <f t="shared" si="15"/>
      </c>
      <c r="AB30" s="18"/>
    </row>
    <row r="31" spans="1:28" s="5" customFormat="1" ht="16.5" customHeight="1">
      <c r="A31" s="91"/>
      <c r="B31" s="96"/>
      <c r="C31" s="171"/>
      <c r="D31" s="164"/>
      <c r="E31" s="438"/>
      <c r="F31" s="423"/>
      <c r="G31" s="424"/>
      <c r="H31" s="425">
        <f t="shared" si="0"/>
        <v>0</v>
      </c>
      <c r="I31" s="172"/>
      <c r="J31" s="172"/>
      <c r="K31" s="426">
        <f t="shared" si="1"/>
      </c>
      <c r="L31" s="14">
        <f t="shared" si="2"/>
      </c>
      <c r="M31" s="173"/>
      <c r="N31" s="323">
        <f t="shared" si="3"/>
      </c>
      <c r="O31" s="169">
        <f t="shared" si="16"/>
      </c>
      <c r="P31" s="168">
        <f t="shared" si="4"/>
      </c>
      <c r="Q31" s="1137">
        <f t="shared" si="5"/>
        <v>20</v>
      </c>
      <c r="R31" s="498" t="str">
        <f t="shared" si="6"/>
        <v>--</v>
      </c>
      <c r="S31" s="499" t="str">
        <f t="shared" si="7"/>
        <v>--</v>
      </c>
      <c r="T31" s="500" t="str">
        <f t="shared" si="8"/>
        <v>--</v>
      </c>
      <c r="U31" s="501" t="str">
        <f t="shared" si="9"/>
        <v>--</v>
      </c>
      <c r="V31" s="502" t="str">
        <f t="shared" si="10"/>
        <v>--</v>
      </c>
      <c r="W31" s="503" t="str">
        <f t="shared" si="11"/>
        <v>--</v>
      </c>
      <c r="X31" s="504" t="str">
        <f t="shared" si="12"/>
        <v>--</v>
      </c>
      <c r="Y31" s="505" t="str">
        <f t="shared" si="13"/>
        <v>--</v>
      </c>
      <c r="Z31" s="1138">
        <f t="shared" si="14"/>
      </c>
      <c r="AA31" s="437">
        <f t="shared" si="15"/>
      </c>
      <c r="AB31" s="18"/>
    </row>
    <row r="32" spans="1:28" s="5" customFormat="1" ht="16.5" customHeight="1">
      <c r="A32" s="91"/>
      <c r="B32" s="96"/>
      <c r="C32" s="171"/>
      <c r="D32" s="164"/>
      <c r="E32" s="438"/>
      <c r="F32" s="423"/>
      <c r="G32" s="424"/>
      <c r="H32" s="425">
        <f t="shared" si="0"/>
        <v>0</v>
      </c>
      <c r="I32" s="172"/>
      <c r="J32" s="172"/>
      <c r="K32" s="426">
        <f t="shared" si="1"/>
      </c>
      <c r="L32" s="14">
        <f t="shared" si="2"/>
      </c>
      <c r="M32" s="173"/>
      <c r="N32" s="323">
        <f t="shared" si="3"/>
      </c>
      <c r="O32" s="169">
        <f t="shared" si="16"/>
      </c>
      <c r="P32" s="168">
        <f t="shared" si="4"/>
      </c>
      <c r="Q32" s="1137">
        <f t="shared" si="5"/>
        <v>20</v>
      </c>
      <c r="R32" s="498" t="str">
        <f t="shared" si="6"/>
        <v>--</v>
      </c>
      <c r="S32" s="499" t="str">
        <f t="shared" si="7"/>
        <v>--</v>
      </c>
      <c r="T32" s="500" t="str">
        <f t="shared" si="8"/>
        <v>--</v>
      </c>
      <c r="U32" s="501" t="str">
        <f t="shared" si="9"/>
        <v>--</v>
      </c>
      <c r="V32" s="502" t="str">
        <f t="shared" si="10"/>
        <v>--</v>
      </c>
      <c r="W32" s="503" t="str">
        <f t="shared" si="11"/>
        <v>--</v>
      </c>
      <c r="X32" s="504" t="str">
        <f t="shared" si="12"/>
        <v>--</v>
      </c>
      <c r="Y32" s="505" t="str">
        <f t="shared" si="13"/>
        <v>--</v>
      </c>
      <c r="Z32" s="1138">
        <f t="shared" si="14"/>
      </c>
      <c r="AA32" s="437">
        <f t="shared" si="15"/>
      </c>
      <c r="AB32" s="18"/>
    </row>
    <row r="33" spans="1:28" s="5" customFormat="1" ht="16.5" customHeight="1">
      <c r="A33" s="91"/>
      <c r="B33" s="96"/>
      <c r="C33" s="171"/>
      <c r="D33" s="164"/>
      <c r="E33" s="438"/>
      <c r="F33" s="423"/>
      <c r="G33" s="424"/>
      <c r="H33" s="425">
        <f t="shared" si="0"/>
        <v>0</v>
      </c>
      <c r="I33" s="172"/>
      <c r="J33" s="172"/>
      <c r="K33" s="426">
        <f t="shared" si="1"/>
      </c>
      <c r="L33" s="14">
        <f t="shared" si="2"/>
      </c>
      <c r="M33" s="173"/>
      <c r="N33" s="323">
        <f t="shared" si="3"/>
      </c>
      <c r="O33" s="169">
        <f t="shared" si="16"/>
      </c>
      <c r="P33" s="168">
        <f t="shared" si="4"/>
      </c>
      <c r="Q33" s="1137">
        <f t="shared" si="5"/>
        <v>20</v>
      </c>
      <c r="R33" s="498" t="str">
        <f t="shared" si="6"/>
        <v>--</v>
      </c>
      <c r="S33" s="499" t="str">
        <f t="shared" si="7"/>
        <v>--</v>
      </c>
      <c r="T33" s="500" t="str">
        <f t="shared" si="8"/>
        <v>--</v>
      </c>
      <c r="U33" s="501" t="str">
        <f t="shared" si="9"/>
        <v>--</v>
      </c>
      <c r="V33" s="502" t="str">
        <f t="shared" si="10"/>
        <v>--</v>
      </c>
      <c r="W33" s="503" t="str">
        <f t="shared" si="11"/>
        <v>--</v>
      </c>
      <c r="X33" s="504" t="str">
        <f t="shared" si="12"/>
        <v>--</v>
      </c>
      <c r="Y33" s="505" t="str">
        <f t="shared" si="13"/>
        <v>--</v>
      </c>
      <c r="Z33" s="1138">
        <f t="shared" si="14"/>
      </c>
      <c r="AA33" s="437">
        <f t="shared" si="15"/>
      </c>
      <c r="AB33" s="18"/>
    </row>
    <row r="34" spans="1:28" s="5" customFormat="1" ht="16.5" customHeight="1">
      <c r="A34" s="91"/>
      <c r="B34" s="96"/>
      <c r="C34" s="171"/>
      <c r="D34" s="164"/>
      <c r="E34" s="438"/>
      <c r="F34" s="423"/>
      <c r="G34" s="424"/>
      <c r="H34" s="425">
        <f t="shared" si="0"/>
        <v>0</v>
      </c>
      <c r="I34" s="172"/>
      <c r="J34" s="172"/>
      <c r="K34" s="426">
        <f t="shared" si="1"/>
      </c>
      <c r="L34" s="14">
        <f t="shared" si="2"/>
      </c>
      <c r="M34" s="173"/>
      <c r="N34" s="323">
        <f t="shared" si="3"/>
      </c>
      <c r="O34" s="169">
        <f t="shared" si="16"/>
      </c>
      <c r="P34" s="168">
        <f t="shared" si="4"/>
      </c>
      <c r="Q34" s="1137">
        <f t="shared" si="5"/>
        <v>20</v>
      </c>
      <c r="R34" s="498" t="str">
        <f t="shared" si="6"/>
        <v>--</v>
      </c>
      <c r="S34" s="499" t="str">
        <f t="shared" si="7"/>
        <v>--</v>
      </c>
      <c r="T34" s="500" t="str">
        <f t="shared" si="8"/>
        <v>--</v>
      </c>
      <c r="U34" s="501" t="str">
        <f t="shared" si="9"/>
        <v>--</v>
      </c>
      <c r="V34" s="502" t="str">
        <f t="shared" si="10"/>
        <v>--</v>
      </c>
      <c r="W34" s="503" t="str">
        <f t="shared" si="11"/>
        <v>--</v>
      </c>
      <c r="X34" s="504" t="str">
        <f t="shared" si="12"/>
        <v>--</v>
      </c>
      <c r="Y34" s="505" t="str">
        <f t="shared" si="13"/>
        <v>--</v>
      </c>
      <c r="Z34" s="1138">
        <f t="shared" si="14"/>
      </c>
      <c r="AA34" s="437">
        <f t="shared" si="15"/>
      </c>
      <c r="AB34" s="18"/>
    </row>
    <row r="35" spans="1:28" s="5" customFormat="1" ht="16.5" customHeight="1">
      <c r="A35" s="91"/>
      <c r="B35" s="96"/>
      <c r="C35" s="171"/>
      <c r="D35" s="164"/>
      <c r="E35" s="438"/>
      <c r="F35" s="423"/>
      <c r="G35" s="424"/>
      <c r="H35" s="425">
        <f t="shared" si="0"/>
        <v>0</v>
      </c>
      <c r="I35" s="172"/>
      <c r="J35" s="172"/>
      <c r="K35" s="426">
        <f t="shared" si="1"/>
      </c>
      <c r="L35" s="14">
        <f t="shared" si="2"/>
      </c>
      <c r="M35" s="173"/>
      <c r="N35" s="323">
        <f t="shared" si="3"/>
      </c>
      <c r="O35" s="169">
        <f t="shared" si="16"/>
      </c>
      <c r="P35" s="168">
        <f t="shared" si="4"/>
      </c>
      <c r="Q35" s="1137">
        <f t="shared" si="5"/>
        <v>20</v>
      </c>
      <c r="R35" s="498" t="str">
        <f t="shared" si="6"/>
        <v>--</v>
      </c>
      <c r="S35" s="499" t="str">
        <f t="shared" si="7"/>
        <v>--</v>
      </c>
      <c r="T35" s="500" t="str">
        <f t="shared" si="8"/>
        <v>--</v>
      </c>
      <c r="U35" s="501" t="str">
        <f t="shared" si="9"/>
        <v>--</v>
      </c>
      <c r="V35" s="502" t="str">
        <f t="shared" si="10"/>
        <v>--</v>
      </c>
      <c r="W35" s="503" t="str">
        <f t="shared" si="11"/>
        <v>--</v>
      </c>
      <c r="X35" s="504" t="str">
        <f t="shared" si="12"/>
        <v>--</v>
      </c>
      <c r="Y35" s="505" t="str">
        <f t="shared" si="13"/>
        <v>--</v>
      </c>
      <c r="Z35" s="1138">
        <f t="shared" si="14"/>
      </c>
      <c r="AA35" s="437">
        <f t="shared" si="15"/>
      </c>
      <c r="AB35" s="18"/>
    </row>
    <row r="36" spans="1:28" s="5" customFormat="1" ht="16.5" customHeight="1">
      <c r="A36" s="91"/>
      <c r="B36" s="96"/>
      <c r="C36" s="171"/>
      <c r="D36" s="164"/>
      <c r="E36" s="438"/>
      <c r="F36" s="423"/>
      <c r="G36" s="424"/>
      <c r="H36" s="425">
        <f t="shared" si="0"/>
        <v>0</v>
      </c>
      <c r="I36" s="172"/>
      <c r="J36" s="172"/>
      <c r="K36" s="426">
        <f t="shared" si="1"/>
      </c>
      <c r="L36" s="14">
        <f t="shared" si="2"/>
      </c>
      <c r="M36" s="173"/>
      <c r="N36" s="323">
        <f t="shared" si="3"/>
      </c>
      <c r="O36" s="169">
        <f t="shared" si="16"/>
      </c>
      <c r="P36" s="168">
        <f t="shared" si="4"/>
      </c>
      <c r="Q36" s="1137">
        <f t="shared" si="5"/>
        <v>20</v>
      </c>
      <c r="R36" s="498" t="str">
        <f t="shared" si="6"/>
        <v>--</v>
      </c>
      <c r="S36" s="499" t="str">
        <f t="shared" si="7"/>
        <v>--</v>
      </c>
      <c r="T36" s="500" t="str">
        <f t="shared" si="8"/>
        <v>--</v>
      </c>
      <c r="U36" s="501" t="str">
        <f t="shared" si="9"/>
        <v>--</v>
      </c>
      <c r="V36" s="502" t="str">
        <f t="shared" si="10"/>
        <v>--</v>
      </c>
      <c r="W36" s="503" t="str">
        <f t="shared" si="11"/>
        <v>--</v>
      </c>
      <c r="X36" s="504" t="str">
        <f t="shared" si="12"/>
        <v>--</v>
      </c>
      <c r="Y36" s="505" t="str">
        <f t="shared" si="13"/>
        <v>--</v>
      </c>
      <c r="Z36" s="1138">
        <f t="shared" si="14"/>
      </c>
      <c r="AA36" s="437">
        <f t="shared" si="15"/>
      </c>
      <c r="AB36" s="18"/>
    </row>
    <row r="37" spans="1:28" s="5" customFormat="1" ht="16.5" customHeight="1">
      <c r="A37" s="91"/>
      <c r="B37" s="96"/>
      <c r="C37" s="171"/>
      <c r="D37" s="164"/>
      <c r="E37" s="438"/>
      <c r="F37" s="423"/>
      <c r="G37" s="424"/>
      <c r="H37" s="425">
        <f t="shared" si="0"/>
        <v>0</v>
      </c>
      <c r="I37" s="172"/>
      <c r="J37" s="172"/>
      <c r="K37" s="426">
        <f t="shared" si="1"/>
      </c>
      <c r="L37" s="14">
        <f t="shared" si="2"/>
      </c>
      <c r="M37" s="173"/>
      <c r="N37" s="323">
        <f t="shared" si="3"/>
      </c>
      <c r="O37" s="169">
        <f t="shared" si="16"/>
      </c>
      <c r="P37" s="168">
        <f t="shared" si="4"/>
      </c>
      <c r="Q37" s="1137">
        <f t="shared" si="5"/>
        <v>20</v>
      </c>
      <c r="R37" s="498" t="str">
        <f t="shared" si="6"/>
        <v>--</v>
      </c>
      <c r="S37" s="499" t="str">
        <f t="shared" si="7"/>
        <v>--</v>
      </c>
      <c r="T37" s="500" t="str">
        <f t="shared" si="8"/>
        <v>--</v>
      </c>
      <c r="U37" s="501" t="str">
        <f t="shared" si="9"/>
        <v>--</v>
      </c>
      <c r="V37" s="502" t="str">
        <f t="shared" si="10"/>
        <v>--</v>
      </c>
      <c r="W37" s="503" t="str">
        <f t="shared" si="11"/>
        <v>--</v>
      </c>
      <c r="X37" s="504" t="str">
        <f t="shared" si="12"/>
        <v>--</v>
      </c>
      <c r="Y37" s="505" t="str">
        <f t="shared" si="13"/>
        <v>--</v>
      </c>
      <c r="Z37" s="1138">
        <f t="shared" si="14"/>
      </c>
      <c r="AA37" s="437">
        <f t="shared" si="15"/>
      </c>
      <c r="AB37" s="18"/>
    </row>
    <row r="38" spans="1:28" s="5" customFormat="1" ht="16.5" customHeight="1">
      <c r="A38" s="91"/>
      <c r="B38" s="96"/>
      <c r="C38" s="171"/>
      <c r="D38" s="164"/>
      <c r="E38" s="438"/>
      <c r="F38" s="423"/>
      <c r="G38" s="424"/>
      <c r="H38" s="425">
        <f t="shared" si="0"/>
        <v>0</v>
      </c>
      <c r="I38" s="172"/>
      <c r="J38" s="172"/>
      <c r="K38" s="426">
        <f t="shared" si="1"/>
      </c>
      <c r="L38" s="14">
        <f t="shared" si="2"/>
      </c>
      <c r="M38" s="173"/>
      <c r="N38" s="323">
        <f t="shared" si="3"/>
      </c>
      <c r="O38" s="169">
        <f t="shared" si="16"/>
      </c>
      <c r="P38" s="168">
        <f t="shared" si="4"/>
      </c>
      <c r="Q38" s="1137">
        <f t="shared" si="5"/>
        <v>20</v>
      </c>
      <c r="R38" s="498" t="str">
        <f t="shared" si="6"/>
        <v>--</v>
      </c>
      <c r="S38" s="499" t="str">
        <f t="shared" si="7"/>
        <v>--</v>
      </c>
      <c r="T38" s="500" t="str">
        <f t="shared" si="8"/>
        <v>--</v>
      </c>
      <c r="U38" s="501" t="str">
        <f t="shared" si="9"/>
        <v>--</v>
      </c>
      <c r="V38" s="502" t="str">
        <f t="shared" si="10"/>
        <v>--</v>
      </c>
      <c r="W38" s="503" t="str">
        <f t="shared" si="11"/>
        <v>--</v>
      </c>
      <c r="X38" s="504" t="str">
        <f t="shared" si="12"/>
        <v>--</v>
      </c>
      <c r="Y38" s="505" t="str">
        <f t="shared" si="13"/>
        <v>--</v>
      </c>
      <c r="Z38" s="1138">
        <f t="shared" si="14"/>
      </c>
      <c r="AA38" s="437">
        <f t="shared" si="15"/>
      </c>
      <c r="AB38" s="18"/>
    </row>
    <row r="39" spans="1:28" s="5" customFormat="1" ht="16.5" customHeight="1">
      <c r="A39" s="91"/>
      <c r="B39" s="96"/>
      <c r="C39" s="171"/>
      <c r="D39" s="164"/>
      <c r="E39" s="438"/>
      <c r="F39" s="423"/>
      <c r="G39" s="424"/>
      <c r="H39" s="425">
        <f t="shared" si="0"/>
        <v>0</v>
      </c>
      <c r="I39" s="172"/>
      <c r="J39" s="172"/>
      <c r="K39" s="426">
        <f t="shared" si="1"/>
      </c>
      <c r="L39" s="14">
        <f t="shared" si="2"/>
      </c>
      <c r="M39" s="173"/>
      <c r="N39" s="323">
        <f t="shared" si="3"/>
      </c>
      <c r="O39" s="169">
        <f t="shared" si="16"/>
      </c>
      <c r="P39" s="168">
        <f t="shared" si="4"/>
      </c>
      <c r="Q39" s="1137">
        <f t="shared" si="5"/>
        <v>20</v>
      </c>
      <c r="R39" s="498" t="str">
        <f t="shared" si="6"/>
        <v>--</v>
      </c>
      <c r="S39" s="499" t="str">
        <f t="shared" si="7"/>
        <v>--</v>
      </c>
      <c r="T39" s="500" t="str">
        <f t="shared" si="8"/>
        <v>--</v>
      </c>
      <c r="U39" s="501" t="str">
        <f t="shared" si="9"/>
        <v>--</v>
      </c>
      <c r="V39" s="502" t="str">
        <f t="shared" si="10"/>
        <v>--</v>
      </c>
      <c r="W39" s="503" t="str">
        <f t="shared" si="11"/>
        <v>--</v>
      </c>
      <c r="X39" s="504" t="str">
        <f t="shared" si="12"/>
        <v>--</v>
      </c>
      <c r="Y39" s="505" t="str">
        <f t="shared" si="13"/>
        <v>--</v>
      </c>
      <c r="Z39" s="1138">
        <f t="shared" si="14"/>
      </c>
      <c r="AA39" s="437">
        <f t="shared" si="15"/>
      </c>
      <c r="AB39" s="18"/>
    </row>
    <row r="40" spans="1:28" s="5" customFormat="1" ht="16.5" customHeight="1" thickBot="1">
      <c r="A40" s="91"/>
      <c r="B40" s="96"/>
      <c r="C40" s="174"/>
      <c r="D40" s="439"/>
      <c r="E40" s="440"/>
      <c r="F40" s="439"/>
      <c r="G40" s="441"/>
      <c r="H40" s="141"/>
      <c r="I40" s="174"/>
      <c r="J40" s="442"/>
      <c r="K40" s="443"/>
      <c r="L40" s="444"/>
      <c r="M40" s="179"/>
      <c r="N40" s="241"/>
      <c r="O40" s="177"/>
      <c r="P40" s="179"/>
      <c r="Q40" s="1139"/>
      <c r="R40" s="510"/>
      <c r="S40" s="511"/>
      <c r="T40" s="512"/>
      <c r="U40" s="513"/>
      <c r="V40" s="514"/>
      <c r="W40" s="515"/>
      <c r="X40" s="516"/>
      <c r="Y40" s="517"/>
      <c r="Z40" s="518"/>
      <c r="AA40" s="455"/>
      <c r="AB40" s="18"/>
    </row>
    <row r="41" spans="1:28" s="5" customFormat="1" ht="16.5" customHeight="1" thickBot="1" thickTop="1">
      <c r="A41" s="91"/>
      <c r="B41" s="96"/>
      <c r="C41" s="131" t="s">
        <v>25</v>
      </c>
      <c r="D41" s="132" t="s">
        <v>303</v>
      </c>
      <c r="E41" s="15"/>
      <c r="F41" s="15"/>
      <c r="G41" s="15"/>
      <c r="H41" s="15"/>
      <c r="I41" s="15"/>
      <c r="J41" s="100"/>
      <c r="K41" s="15"/>
      <c r="L41" s="15"/>
      <c r="M41" s="15"/>
      <c r="N41" s="15"/>
      <c r="O41" s="15"/>
      <c r="P41" s="15"/>
      <c r="Q41" s="15"/>
      <c r="R41" s="456">
        <f aca="true" t="shared" si="17" ref="R41:Y41">SUM(R18:R40)</f>
        <v>452.6592</v>
      </c>
      <c r="S41" s="457">
        <f t="shared" si="17"/>
        <v>0</v>
      </c>
      <c r="T41" s="458">
        <f t="shared" si="17"/>
        <v>0</v>
      </c>
      <c r="U41" s="459">
        <f t="shared" si="17"/>
        <v>0</v>
      </c>
      <c r="V41" s="460">
        <f t="shared" si="17"/>
        <v>0</v>
      </c>
      <c r="W41" s="461">
        <f t="shared" si="17"/>
        <v>0</v>
      </c>
      <c r="X41" s="462">
        <f t="shared" si="17"/>
        <v>0</v>
      </c>
      <c r="Y41" s="463">
        <f t="shared" si="17"/>
        <v>0</v>
      </c>
      <c r="Z41" s="91"/>
      <c r="AA41" s="464">
        <f>ROUND(SUM(AA18:AA40),2)</f>
        <v>452.66</v>
      </c>
      <c r="AB41" s="18"/>
    </row>
    <row r="42" spans="1:28" s="137" customFormat="1" ht="9.75" thickTop="1">
      <c r="A42" s="465"/>
      <c r="B42" s="466"/>
      <c r="C42" s="133"/>
      <c r="D42" s="134"/>
      <c r="E42" s="467"/>
      <c r="F42" s="467"/>
      <c r="G42" s="467"/>
      <c r="H42" s="467"/>
      <c r="I42" s="467"/>
      <c r="J42" s="468"/>
      <c r="K42" s="467"/>
      <c r="L42" s="467"/>
      <c r="M42" s="467"/>
      <c r="N42" s="467"/>
      <c r="O42" s="467"/>
      <c r="P42" s="467"/>
      <c r="Q42" s="467"/>
      <c r="R42" s="469"/>
      <c r="S42" s="469"/>
      <c r="T42" s="469"/>
      <c r="U42" s="469"/>
      <c r="V42" s="469"/>
      <c r="W42" s="469"/>
      <c r="X42" s="469"/>
      <c r="Y42" s="469"/>
      <c r="Z42" s="465"/>
      <c r="AA42" s="470"/>
      <c r="AB42" s="138"/>
    </row>
    <row r="43" spans="1:28" s="5" customFormat="1" ht="16.5" customHeight="1" thickBot="1">
      <c r="A43" s="91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</row>
    <row r="44" spans="1:29" ht="16.5" customHeight="1" thickTop="1">
      <c r="A44" s="2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</row>
    <row r="45" spans="1:29" ht="16.5" customHeight="1">
      <c r="A45" s="2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</row>
    <row r="46" spans="1:29" ht="16.5" customHeight="1">
      <c r="A46" s="2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</row>
    <row r="47" spans="1:29" ht="16.5" customHeight="1">
      <c r="A47" s="2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</row>
    <row r="48" spans="4:29" ht="16.5" customHeight="1"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</row>
    <row r="49" spans="4:29" ht="16.5" customHeight="1"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</row>
    <row r="50" spans="4:29" ht="16.5" customHeight="1"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</row>
    <row r="51" spans="4:29" ht="16.5" customHeight="1"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</row>
    <row r="52" spans="4:29" ht="16.5" customHeight="1"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</row>
    <row r="53" spans="4:29" ht="16.5" customHeight="1"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</row>
    <row r="54" spans="4:29" ht="16.5" customHeight="1"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</row>
    <row r="55" spans="4:29" ht="16.5" customHeight="1"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</row>
    <row r="56" spans="4:29" ht="16.5" customHeight="1"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</row>
    <row r="57" spans="4:29" ht="16.5" customHeight="1"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</row>
    <row r="58" spans="4:29" ht="16.5" customHeight="1"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</row>
    <row r="59" spans="4:29" ht="16.5" customHeight="1"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</row>
    <row r="60" spans="4:29" ht="16.5" customHeight="1"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</row>
    <row r="61" spans="4:29" ht="16.5" customHeight="1"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</row>
    <row r="62" spans="4:29" ht="16.5" customHeight="1"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</row>
    <row r="63" spans="4:29" ht="16.5" customHeight="1"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</row>
    <row r="64" spans="4:29" ht="16.5" customHeight="1"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</row>
    <row r="65" spans="4:29" ht="16.5" customHeight="1"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</row>
    <row r="66" spans="4:29" ht="16.5" customHeight="1"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</row>
    <row r="67" spans="4:29" ht="16.5" customHeight="1"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</row>
    <row r="68" spans="4:29" ht="16.5" customHeight="1"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</row>
    <row r="69" spans="4:29" ht="16.5" customHeight="1"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</row>
    <row r="70" spans="4:29" ht="16.5" customHeight="1"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</row>
    <row r="71" spans="4:29" ht="16.5" customHeight="1"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</row>
    <row r="72" spans="4:29" ht="16.5" customHeight="1"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</row>
    <row r="73" spans="4:29" ht="16.5" customHeight="1"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</row>
    <row r="74" spans="4:29" ht="16.5" customHeight="1"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</row>
    <row r="75" spans="4:29" ht="16.5" customHeight="1"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</row>
    <row r="76" spans="4:29" ht="16.5" customHeight="1"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</row>
    <row r="77" spans="4:29" ht="16.5" customHeight="1"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</row>
    <row r="78" spans="4:29" ht="16.5" customHeight="1"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</row>
    <row r="79" spans="4:29" ht="16.5" customHeight="1"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</row>
    <row r="80" spans="4:29" ht="16.5" customHeight="1"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</row>
    <row r="81" spans="4:29" ht="16.5" customHeight="1"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</row>
    <row r="82" spans="4:29" ht="16.5" customHeight="1"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</row>
    <row r="83" spans="4:29" ht="16.5" customHeight="1"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</row>
    <row r="84" spans="4:29" ht="16.5" customHeight="1"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</row>
    <row r="85" spans="4:29" ht="16.5" customHeight="1"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</row>
    <row r="86" spans="4:29" ht="16.5" customHeight="1"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</row>
    <row r="87" spans="4:29" ht="16.5" customHeight="1"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</row>
    <row r="88" spans="4:29" ht="16.5" customHeight="1"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</row>
    <row r="89" spans="4:29" ht="16.5" customHeight="1"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</row>
    <row r="90" spans="4:29" ht="16.5" customHeight="1"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</row>
    <row r="91" spans="4:29" ht="16.5" customHeight="1"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</row>
    <row r="92" spans="4:29" ht="16.5" customHeight="1"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</row>
    <row r="93" spans="4:29" ht="16.5" customHeight="1"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</row>
    <row r="94" spans="4:29" ht="16.5" customHeight="1"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</row>
    <row r="95" spans="4:29" ht="16.5" customHeight="1"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</row>
    <row r="96" spans="4:29" ht="16.5" customHeight="1"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</row>
    <row r="97" spans="4:29" ht="16.5" customHeight="1"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</row>
    <row r="98" spans="4:29" ht="16.5" customHeight="1"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</row>
    <row r="99" spans="4:29" ht="16.5" customHeight="1"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</row>
    <row r="100" spans="4:29" ht="16.5" customHeight="1"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</row>
    <row r="101" spans="4:29" ht="16.5" customHeight="1"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</row>
    <row r="102" spans="4:29" ht="16.5" customHeight="1"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</row>
    <row r="103" spans="4:29" ht="16.5" customHeight="1"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</row>
    <row r="104" spans="4:29" ht="16.5" customHeight="1"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</row>
    <row r="105" spans="4:29" ht="16.5" customHeight="1"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</row>
    <row r="106" spans="4:29" ht="16.5" customHeight="1"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</row>
    <row r="107" spans="4:29" ht="16.5" customHeight="1"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</row>
    <row r="108" spans="4:29" ht="16.5" customHeight="1"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</row>
    <row r="109" spans="4:29" ht="16.5" customHeight="1"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</row>
    <row r="110" spans="4:29" ht="16.5" customHeight="1"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</row>
    <row r="111" spans="4:29" ht="16.5" customHeight="1"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</row>
    <row r="112" spans="4:29" ht="16.5" customHeight="1"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</row>
    <row r="113" spans="4:29" ht="16.5" customHeight="1"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</row>
    <row r="114" spans="4:29" ht="16.5" customHeight="1"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</row>
    <row r="115" spans="4:29" ht="16.5" customHeight="1"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</row>
    <row r="116" spans="4:29" ht="16.5" customHeight="1"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</row>
    <row r="117" spans="4:29" ht="16.5" customHeight="1"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</row>
    <row r="118" spans="4:29" ht="16.5" customHeight="1"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</row>
    <row r="119" spans="4:29" ht="16.5" customHeight="1"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</row>
    <row r="120" spans="4:29" ht="16.5" customHeight="1"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</row>
    <row r="121" spans="4:29" ht="16.5" customHeight="1"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</row>
    <row r="122" spans="4:29" ht="16.5" customHeight="1"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</row>
    <row r="123" spans="4:29" ht="16.5" customHeight="1"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</row>
    <row r="124" spans="4:29" ht="16.5" customHeight="1"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</row>
    <row r="125" spans="4:29" ht="16.5" customHeight="1"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</row>
    <row r="126" spans="4:29" ht="16.5" customHeight="1"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</row>
    <row r="127" spans="4:29" ht="16.5" customHeight="1"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</row>
    <row r="128" spans="4:29" ht="16.5" customHeight="1"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</row>
    <row r="129" spans="4:29" ht="16.5" customHeight="1"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</row>
    <row r="130" spans="4:29" ht="16.5" customHeight="1"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</row>
    <row r="131" spans="4:29" ht="16.5" customHeight="1"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</row>
    <row r="132" spans="4:29" ht="16.5" customHeight="1"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</row>
    <row r="133" spans="4:29" ht="16.5" customHeight="1"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</row>
    <row r="134" spans="4:29" ht="16.5" customHeight="1"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</row>
    <row r="135" spans="4:29" ht="16.5" customHeight="1"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</row>
    <row r="136" spans="4:29" ht="16.5" customHeight="1"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</row>
    <row r="137" spans="4:29" ht="16.5" customHeight="1"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</row>
    <row r="138" spans="4:29" ht="16.5" customHeight="1"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</row>
    <row r="139" spans="4:29" ht="16.5" customHeight="1"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</row>
    <row r="140" spans="4:29" ht="16.5" customHeight="1"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</row>
    <row r="141" spans="4:29" ht="16.5" customHeight="1"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</row>
    <row r="142" spans="4:29" ht="16.5" customHeight="1"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</row>
    <row r="143" spans="4:29" ht="16.5" customHeight="1"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</row>
    <row r="144" spans="4:29" ht="16.5" customHeight="1"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</row>
    <row r="145" spans="4:29" ht="16.5" customHeight="1"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</row>
    <row r="146" spans="4:29" ht="16.5" customHeight="1"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</row>
    <row r="147" spans="4:29" ht="16.5" customHeight="1"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</row>
    <row r="148" spans="4:29" ht="16.5" customHeight="1"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</row>
    <row r="149" spans="4:29" ht="16.5" customHeight="1"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</row>
    <row r="150" spans="4:29" ht="16.5" customHeight="1"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</row>
    <row r="151" spans="4:29" ht="16.5" customHeight="1"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</row>
    <row r="152" ht="16.5" customHeight="1">
      <c r="AC152" s="193"/>
    </row>
    <row r="153" ht="16.5" customHeight="1">
      <c r="AC153" s="193"/>
    </row>
    <row r="154" ht="16.5" customHeight="1">
      <c r="AC154" s="193"/>
    </row>
    <row r="155" ht="16.5" customHeight="1">
      <c r="AC155" s="193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W158"/>
  <sheetViews>
    <sheetView zoomScale="75" zoomScaleNormal="75" workbookViewId="0" topLeftCell="A7">
      <selection activeCell="T22" sqref="T22:T23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9" customFormat="1" ht="26.25">
      <c r="U1" s="158"/>
    </row>
    <row r="2" spans="1:21" s="19" customFormat="1" ht="26.25">
      <c r="A2" s="92"/>
      <c r="B2" s="20" t="str">
        <f>+'TOT-0907'!B2</f>
        <v>ANEXO IV al Memorandum D.T.E.E. N°  1955 /2009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="5" customFormat="1" ht="12.75">
      <c r="A3" s="91"/>
    </row>
    <row r="4" spans="1:2" s="26" customFormat="1" ht="11.25">
      <c r="A4" s="24" t="s">
        <v>2</v>
      </c>
      <c r="B4" s="128"/>
    </row>
    <row r="5" spans="1:2" s="26" customFormat="1" ht="11.25">
      <c r="A5" s="24" t="s">
        <v>3</v>
      </c>
      <c r="B5" s="128"/>
    </row>
    <row r="6" s="5" customFormat="1" ht="13.5" thickBot="1"/>
    <row r="7" spans="2:21" s="5" customFormat="1" ht="13.5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2:21" s="30" customFormat="1" ht="20.25">
      <c r="B8" s="80"/>
      <c r="C8" s="31"/>
      <c r="D8" s="12" t="s">
        <v>61</v>
      </c>
      <c r="L8" s="108"/>
      <c r="M8" s="108"/>
      <c r="N8" s="97"/>
      <c r="O8" s="31"/>
      <c r="P8" s="31"/>
      <c r="Q8" s="31"/>
      <c r="R8" s="31"/>
      <c r="S8" s="31"/>
      <c r="T8" s="31"/>
      <c r="U8" s="81"/>
    </row>
    <row r="9" spans="2:21" s="5" customFormat="1" ht="12.75">
      <c r="B9" s="51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30" customFormat="1" ht="20.25">
      <c r="B10" s="80"/>
      <c r="C10" s="31"/>
      <c r="D10" s="116" t="s">
        <v>90</v>
      </c>
      <c r="E10" s="525"/>
      <c r="F10" s="108"/>
      <c r="G10" s="111"/>
      <c r="I10" s="111"/>
      <c r="J10" s="111"/>
      <c r="K10" s="111"/>
      <c r="L10" s="111"/>
      <c r="M10" s="111"/>
      <c r="N10" s="111"/>
      <c r="O10" s="31"/>
      <c r="P10" s="31"/>
      <c r="Q10" s="31"/>
      <c r="R10" s="31"/>
      <c r="S10" s="31"/>
      <c r="T10" s="31"/>
      <c r="U10" s="81"/>
    </row>
    <row r="11" spans="2:21" s="5" customFormat="1" ht="13.5">
      <c r="B11" s="51"/>
      <c r="C11" s="4"/>
      <c r="D11" s="526"/>
      <c r="E11" s="526"/>
      <c r="F11" s="91"/>
      <c r="G11" s="98"/>
      <c r="H11" s="53"/>
      <c r="I11" s="98"/>
      <c r="J11" s="98"/>
      <c r="K11" s="98"/>
      <c r="L11" s="98"/>
      <c r="M11" s="98"/>
      <c r="N11" s="98"/>
      <c r="O11" s="4"/>
      <c r="P11" s="4"/>
      <c r="Q11" s="4"/>
      <c r="R11" s="4"/>
      <c r="S11" s="4"/>
      <c r="T11" s="4"/>
      <c r="U11" s="6"/>
    </row>
    <row r="12" spans="2:21" s="5" customFormat="1" ht="19.5">
      <c r="B12" s="38" t="str">
        <f>'TOT-0907'!B14</f>
        <v>Desde el 01 al 30 de septiembre de 2007</v>
      </c>
      <c r="C12" s="41"/>
      <c r="D12" s="41"/>
      <c r="E12" s="41"/>
      <c r="F12" s="41"/>
      <c r="G12" s="527"/>
      <c r="H12" s="527"/>
      <c r="I12" s="527"/>
      <c r="J12" s="527"/>
      <c r="K12" s="527"/>
      <c r="L12" s="527"/>
      <c r="M12" s="527"/>
      <c r="N12" s="527"/>
      <c r="O12" s="41"/>
      <c r="P12" s="41"/>
      <c r="Q12" s="41"/>
      <c r="R12" s="41"/>
      <c r="S12" s="41"/>
      <c r="T12" s="41"/>
      <c r="U12" s="528"/>
    </row>
    <row r="13" spans="2:21" s="5" customFormat="1" ht="14.25" thickBot="1">
      <c r="B13" s="529"/>
      <c r="C13" s="530"/>
      <c r="D13" s="530"/>
      <c r="E13" s="530"/>
      <c r="F13" s="530"/>
      <c r="G13" s="531"/>
      <c r="H13" s="531"/>
      <c r="I13" s="531"/>
      <c r="J13" s="531"/>
      <c r="K13" s="531"/>
      <c r="L13" s="531"/>
      <c r="M13" s="531"/>
      <c r="N13" s="531"/>
      <c r="O13" s="530"/>
      <c r="P13" s="530"/>
      <c r="Q13" s="530"/>
      <c r="R13" s="530"/>
      <c r="S13" s="530"/>
      <c r="T13" s="530"/>
      <c r="U13" s="532"/>
    </row>
    <row r="14" spans="2:21" s="5" customFormat="1" ht="15" thickBot="1" thickTop="1">
      <c r="B14" s="51"/>
      <c r="C14" s="4"/>
      <c r="D14" s="533"/>
      <c r="E14" s="533"/>
      <c r="F14" s="121" t="s">
        <v>86</v>
      </c>
      <c r="G14" s="4"/>
      <c r="H14" s="5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51"/>
      <c r="C15" s="4"/>
      <c r="D15" s="534" t="s">
        <v>87</v>
      </c>
      <c r="E15" s="535">
        <v>17.848</v>
      </c>
      <c r="F15" s="536">
        <v>200</v>
      </c>
      <c r="T15" s="118"/>
      <c r="U15" s="6"/>
    </row>
    <row r="16" spans="2:21" s="5" customFormat="1" ht="16.5" customHeight="1" thickBot="1" thickTop="1">
      <c r="B16" s="51"/>
      <c r="C16" s="4"/>
      <c r="D16" s="537" t="s">
        <v>88</v>
      </c>
      <c r="E16" s="538">
        <v>16.064</v>
      </c>
      <c r="F16" s="536">
        <v>100</v>
      </c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1"/>
      <c r="C17" s="4"/>
      <c r="D17" s="539" t="s">
        <v>89</v>
      </c>
      <c r="E17" s="591">
        <v>14.279</v>
      </c>
      <c r="F17" s="536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51"/>
      <c r="C18" s="540"/>
      <c r="D18" s="541"/>
      <c r="E18" s="541"/>
      <c r="F18" s="542"/>
      <c r="G18" s="543"/>
      <c r="H18" s="543"/>
      <c r="I18" s="543"/>
      <c r="J18" s="543"/>
      <c r="K18" s="543"/>
      <c r="L18" s="543"/>
      <c r="M18" s="543"/>
      <c r="N18" s="544"/>
      <c r="O18" s="545"/>
      <c r="P18" s="546"/>
      <c r="Q18" s="546"/>
      <c r="R18" s="546"/>
      <c r="S18" s="547"/>
      <c r="T18" s="548"/>
      <c r="U18" s="6"/>
    </row>
    <row r="19" spans="2:21" s="5" customFormat="1" ht="33.75" customHeight="1" thickBot="1" thickTop="1">
      <c r="B19" s="51"/>
      <c r="C19" s="85" t="s">
        <v>13</v>
      </c>
      <c r="D19" s="87" t="s">
        <v>28</v>
      </c>
      <c r="E19" s="549" t="s">
        <v>29</v>
      </c>
      <c r="F19" s="550" t="s">
        <v>14</v>
      </c>
      <c r="G19" s="139" t="s">
        <v>16</v>
      </c>
      <c r="H19" s="86" t="s">
        <v>17</v>
      </c>
      <c r="I19" s="549" t="s">
        <v>18</v>
      </c>
      <c r="J19" s="551" t="s">
        <v>37</v>
      </c>
      <c r="K19" s="551" t="s">
        <v>32</v>
      </c>
      <c r="L19" s="89" t="s">
        <v>19</v>
      </c>
      <c r="M19" s="209" t="s">
        <v>33</v>
      </c>
      <c r="N19" s="147" t="s">
        <v>38</v>
      </c>
      <c r="O19" s="552" t="s">
        <v>63</v>
      </c>
      <c r="P19" s="214" t="s">
        <v>36</v>
      </c>
      <c r="Q19" s="553"/>
      <c r="R19" s="146" t="s">
        <v>22</v>
      </c>
      <c r="S19" s="144" t="s">
        <v>76</v>
      </c>
      <c r="T19" s="125" t="s">
        <v>24</v>
      </c>
      <c r="U19" s="6"/>
    </row>
    <row r="20" spans="2:21" s="5" customFormat="1" ht="16.5" customHeight="1" thickTop="1">
      <c r="B20" s="51"/>
      <c r="C20" s="7"/>
      <c r="D20" s="554"/>
      <c r="E20" s="554"/>
      <c r="F20" s="554"/>
      <c r="G20" s="319"/>
      <c r="H20" s="554"/>
      <c r="I20" s="554"/>
      <c r="J20" s="554"/>
      <c r="K20" s="554"/>
      <c r="L20" s="554"/>
      <c r="M20" s="554"/>
      <c r="N20" s="555"/>
      <c r="O20" s="556"/>
      <c r="P20" s="557"/>
      <c r="Q20" s="558"/>
      <c r="R20" s="559"/>
      <c r="S20" s="554"/>
      <c r="T20" s="560"/>
      <c r="U20" s="6"/>
    </row>
    <row r="21" spans="2:21" s="5" customFormat="1" ht="16.5" customHeight="1">
      <c r="B21" s="51"/>
      <c r="C21" s="408"/>
      <c r="D21" s="561"/>
      <c r="E21" s="561"/>
      <c r="F21" s="561"/>
      <c r="G21" s="562"/>
      <c r="H21" s="561"/>
      <c r="I21" s="561"/>
      <c r="J21" s="561"/>
      <c r="K21" s="561"/>
      <c r="L21" s="561"/>
      <c r="M21" s="561"/>
      <c r="N21" s="563"/>
      <c r="O21" s="564"/>
      <c r="P21" s="237"/>
      <c r="Q21" s="565"/>
      <c r="R21" s="566"/>
      <c r="S21" s="561"/>
      <c r="T21" s="567"/>
      <c r="U21" s="6"/>
    </row>
    <row r="22" spans="2:21" s="5" customFormat="1" ht="16.5" customHeight="1">
      <c r="B22" s="51"/>
      <c r="C22" s="171">
        <v>120</v>
      </c>
      <c r="D22" s="568" t="s">
        <v>249</v>
      </c>
      <c r="E22" s="568" t="s">
        <v>256</v>
      </c>
      <c r="F22" s="569">
        <v>132</v>
      </c>
      <c r="G22" s="140">
        <f aca="true" t="shared" si="0" ref="G22:G41">IF(F22=500,$E$15,IF(F22=220,$E$16,$E$17))</f>
        <v>14.279</v>
      </c>
      <c r="H22" s="570">
        <v>39330.379166666666</v>
      </c>
      <c r="I22" s="166">
        <v>39330.745833333334</v>
      </c>
      <c r="J22" s="571">
        <f aca="true" t="shared" si="1" ref="J22:J41">IF(D22="","",(I22-H22)*24)</f>
        <v>8.800000000046566</v>
      </c>
      <c r="K22" s="572">
        <f aca="true" t="shared" si="2" ref="K22:K41">IF(D22="","",ROUND((I22-H22)*24*60,0))</f>
        <v>528</v>
      </c>
      <c r="L22" s="322" t="s">
        <v>182</v>
      </c>
      <c r="M22" s="168" t="str">
        <f aca="true" t="shared" si="3" ref="M22:M41">IF(D22="","",IF(L22="P","--","NO"))</f>
        <v>--</v>
      </c>
      <c r="N22" s="573">
        <f aca="true" t="shared" si="4" ref="N22:N41">IF(F22=500,$F$15,IF(F22=220,$F$16,$F$17))</f>
        <v>40</v>
      </c>
      <c r="O22" s="574">
        <f aca="true" t="shared" si="5" ref="O22:O41">IF(L22="P",G22*N22*ROUND(K22/60,2)*0.1,"--")</f>
        <v>502.6208000000001</v>
      </c>
      <c r="P22" s="575" t="str">
        <f aca="true" t="shared" si="6" ref="P22:P41">IF(AND(L22="F",M22="NO"),G22*N22,"--")</f>
        <v>--</v>
      </c>
      <c r="Q22" s="576" t="str">
        <f aca="true" t="shared" si="7" ref="Q22:Q41">IF(L22="F",G22*N22*ROUND(K22/60,2),"--")</f>
        <v>--</v>
      </c>
      <c r="R22" s="176" t="str">
        <f aca="true" t="shared" si="8" ref="R22:R41">IF(L22="RF",G22*N22*ROUND(K22/60,2),"--")</f>
        <v>--</v>
      </c>
      <c r="S22" s="168" t="str">
        <f aca="true" t="shared" si="9" ref="S22:S41">IF(D22="","","SI")</f>
        <v>SI</v>
      </c>
      <c r="T22" s="577">
        <f aca="true" t="shared" si="10" ref="T22:T41">IF(D22="","",SUM(O22:R22)*IF(S22="SI",1,2))</f>
        <v>502.6208000000001</v>
      </c>
      <c r="U22" s="6"/>
    </row>
    <row r="23" spans="2:21" s="5" customFormat="1" ht="16.5" customHeight="1">
      <c r="B23" s="51"/>
      <c r="C23" s="408">
        <v>121</v>
      </c>
      <c r="D23" s="568" t="s">
        <v>249</v>
      </c>
      <c r="E23" s="568" t="s">
        <v>257</v>
      </c>
      <c r="F23" s="569">
        <v>500</v>
      </c>
      <c r="G23" s="140">
        <f t="shared" si="0"/>
        <v>17.848</v>
      </c>
      <c r="H23" s="570">
        <v>39341.029861111114</v>
      </c>
      <c r="I23" s="166">
        <v>39341.10138888889</v>
      </c>
      <c r="J23" s="571">
        <f t="shared" si="1"/>
        <v>1.7166666666744277</v>
      </c>
      <c r="K23" s="572">
        <f t="shared" si="2"/>
        <v>103</v>
      </c>
      <c r="L23" s="322" t="s">
        <v>190</v>
      </c>
      <c r="M23" s="168" t="str">
        <f t="shared" si="3"/>
        <v>NO</v>
      </c>
      <c r="N23" s="573">
        <f t="shared" si="4"/>
        <v>200</v>
      </c>
      <c r="O23" s="574" t="str">
        <f t="shared" si="5"/>
        <v>--</v>
      </c>
      <c r="P23" s="575">
        <f t="shared" si="6"/>
        <v>3569.6</v>
      </c>
      <c r="Q23" s="576">
        <f t="shared" si="7"/>
        <v>6139.7119999999995</v>
      </c>
      <c r="R23" s="176" t="str">
        <f t="shared" si="8"/>
        <v>--</v>
      </c>
      <c r="S23" s="168" t="str">
        <f t="shared" si="9"/>
        <v>SI</v>
      </c>
      <c r="T23" s="577">
        <f t="shared" si="10"/>
        <v>9709.312</v>
      </c>
      <c r="U23" s="6"/>
    </row>
    <row r="24" spans="2:21" s="5" customFormat="1" ht="16.5" customHeight="1">
      <c r="B24" s="51"/>
      <c r="C24" s="171"/>
      <c r="D24" s="568"/>
      <c r="E24" s="568"/>
      <c r="F24" s="569"/>
      <c r="G24" s="140">
        <f t="shared" si="0"/>
        <v>14.279</v>
      </c>
      <c r="H24" s="570"/>
      <c r="I24" s="166"/>
      <c r="J24" s="571">
        <f t="shared" si="1"/>
      </c>
      <c r="K24" s="572">
        <f t="shared" si="2"/>
      </c>
      <c r="L24" s="322"/>
      <c r="M24" s="168">
        <f t="shared" si="3"/>
      </c>
      <c r="N24" s="573">
        <f t="shared" si="4"/>
        <v>40</v>
      </c>
      <c r="O24" s="574" t="str">
        <f t="shared" si="5"/>
        <v>--</v>
      </c>
      <c r="P24" s="575" t="str">
        <f t="shared" si="6"/>
        <v>--</v>
      </c>
      <c r="Q24" s="576" t="str">
        <f t="shared" si="7"/>
        <v>--</v>
      </c>
      <c r="R24" s="176" t="str">
        <f t="shared" si="8"/>
        <v>--</v>
      </c>
      <c r="S24" s="168">
        <f t="shared" si="9"/>
      </c>
      <c r="T24" s="577">
        <f t="shared" si="10"/>
      </c>
      <c r="U24" s="6"/>
    </row>
    <row r="25" spans="2:21" s="5" customFormat="1" ht="16.5" customHeight="1">
      <c r="B25" s="51"/>
      <c r="C25" s="408"/>
      <c r="D25" s="568"/>
      <c r="E25" s="568"/>
      <c r="F25" s="569"/>
      <c r="G25" s="140">
        <f t="shared" si="0"/>
        <v>14.279</v>
      </c>
      <c r="H25" s="570"/>
      <c r="I25" s="166"/>
      <c r="J25" s="571">
        <f t="shared" si="1"/>
      </c>
      <c r="K25" s="572">
        <f t="shared" si="2"/>
      </c>
      <c r="L25" s="322"/>
      <c r="M25" s="168">
        <f t="shared" si="3"/>
      </c>
      <c r="N25" s="573">
        <f t="shared" si="4"/>
        <v>40</v>
      </c>
      <c r="O25" s="574" t="str">
        <f t="shared" si="5"/>
        <v>--</v>
      </c>
      <c r="P25" s="575" t="str">
        <f t="shared" si="6"/>
        <v>--</v>
      </c>
      <c r="Q25" s="576" t="str">
        <f t="shared" si="7"/>
        <v>--</v>
      </c>
      <c r="R25" s="176" t="str">
        <f t="shared" si="8"/>
        <v>--</v>
      </c>
      <c r="S25" s="168">
        <f t="shared" si="9"/>
      </c>
      <c r="T25" s="577">
        <f t="shared" si="10"/>
      </c>
      <c r="U25" s="6"/>
    </row>
    <row r="26" spans="2:21" s="5" customFormat="1" ht="16.5" customHeight="1">
      <c r="B26" s="51"/>
      <c r="C26" s="171"/>
      <c r="D26" s="568"/>
      <c r="E26" s="568"/>
      <c r="F26" s="569"/>
      <c r="G26" s="140">
        <f t="shared" si="0"/>
        <v>14.279</v>
      </c>
      <c r="H26" s="570"/>
      <c r="I26" s="166"/>
      <c r="J26" s="571">
        <f t="shared" si="1"/>
      </c>
      <c r="K26" s="572">
        <f t="shared" si="2"/>
      </c>
      <c r="L26" s="322"/>
      <c r="M26" s="168">
        <f t="shared" si="3"/>
      </c>
      <c r="N26" s="573">
        <f t="shared" si="4"/>
        <v>40</v>
      </c>
      <c r="O26" s="574" t="str">
        <f t="shared" si="5"/>
        <v>--</v>
      </c>
      <c r="P26" s="575" t="str">
        <f t="shared" si="6"/>
        <v>--</v>
      </c>
      <c r="Q26" s="576" t="str">
        <f t="shared" si="7"/>
        <v>--</v>
      </c>
      <c r="R26" s="176" t="str">
        <f t="shared" si="8"/>
        <v>--</v>
      </c>
      <c r="S26" s="168">
        <f t="shared" si="9"/>
      </c>
      <c r="T26" s="577">
        <f t="shared" si="10"/>
      </c>
      <c r="U26" s="6"/>
    </row>
    <row r="27" spans="2:21" s="5" customFormat="1" ht="16.5" customHeight="1">
      <c r="B27" s="51"/>
      <c r="C27" s="408"/>
      <c r="D27" s="568"/>
      <c r="E27" s="568"/>
      <c r="F27" s="569"/>
      <c r="G27" s="140">
        <f t="shared" si="0"/>
        <v>14.279</v>
      </c>
      <c r="H27" s="570"/>
      <c r="I27" s="166"/>
      <c r="J27" s="571">
        <f t="shared" si="1"/>
      </c>
      <c r="K27" s="572">
        <f t="shared" si="2"/>
      </c>
      <c r="L27" s="322"/>
      <c r="M27" s="168">
        <f t="shared" si="3"/>
      </c>
      <c r="N27" s="573">
        <f t="shared" si="4"/>
        <v>40</v>
      </c>
      <c r="O27" s="574" t="str">
        <f t="shared" si="5"/>
        <v>--</v>
      </c>
      <c r="P27" s="575" t="str">
        <f t="shared" si="6"/>
        <v>--</v>
      </c>
      <c r="Q27" s="576" t="str">
        <f t="shared" si="7"/>
        <v>--</v>
      </c>
      <c r="R27" s="176" t="str">
        <f t="shared" si="8"/>
        <v>--</v>
      </c>
      <c r="S27" s="168">
        <f t="shared" si="9"/>
      </c>
      <c r="T27" s="577">
        <f t="shared" si="10"/>
      </c>
      <c r="U27" s="6"/>
    </row>
    <row r="28" spans="2:21" s="5" customFormat="1" ht="16.5" customHeight="1">
      <c r="B28" s="51"/>
      <c r="C28" s="171"/>
      <c r="D28" s="568"/>
      <c r="E28" s="568"/>
      <c r="F28" s="569"/>
      <c r="G28" s="140">
        <f t="shared" si="0"/>
        <v>14.279</v>
      </c>
      <c r="H28" s="570"/>
      <c r="I28" s="166"/>
      <c r="J28" s="571">
        <f t="shared" si="1"/>
      </c>
      <c r="K28" s="572">
        <f t="shared" si="2"/>
      </c>
      <c r="L28" s="322"/>
      <c r="M28" s="168">
        <f t="shared" si="3"/>
      </c>
      <c r="N28" s="573">
        <f t="shared" si="4"/>
        <v>40</v>
      </c>
      <c r="O28" s="574" t="str">
        <f t="shared" si="5"/>
        <v>--</v>
      </c>
      <c r="P28" s="575" t="str">
        <f t="shared" si="6"/>
        <v>--</v>
      </c>
      <c r="Q28" s="576" t="str">
        <f t="shared" si="7"/>
        <v>--</v>
      </c>
      <c r="R28" s="176" t="str">
        <f t="shared" si="8"/>
        <v>--</v>
      </c>
      <c r="S28" s="168">
        <f t="shared" si="9"/>
      </c>
      <c r="T28" s="577">
        <f t="shared" si="10"/>
      </c>
      <c r="U28" s="6"/>
    </row>
    <row r="29" spans="2:21" s="5" customFormat="1" ht="16.5" customHeight="1">
      <c r="B29" s="51"/>
      <c r="C29" s="408"/>
      <c r="D29" s="568"/>
      <c r="E29" s="568"/>
      <c r="F29" s="569"/>
      <c r="G29" s="140">
        <f t="shared" si="0"/>
        <v>14.279</v>
      </c>
      <c r="H29" s="570"/>
      <c r="I29" s="166"/>
      <c r="J29" s="571">
        <f t="shared" si="1"/>
      </c>
      <c r="K29" s="572">
        <f t="shared" si="2"/>
      </c>
      <c r="L29" s="322"/>
      <c r="M29" s="168">
        <f t="shared" si="3"/>
      </c>
      <c r="N29" s="573">
        <f t="shared" si="4"/>
        <v>40</v>
      </c>
      <c r="O29" s="574" t="str">
        <f t="shared" si="5"/>
        <v>--</v>
      </c>
      <c r="P29" s="575" t="str">
        <f t="shared" si="6"/>
        <v>--</v>
      </c>
      <c r="Q29" s="576" t="str">
        <f t="shared" si="7"/>
        <v>--</v>
      </c>
      <c r="R29" s="176" t="str">
        <f t="shared" si="8"/>
        <v>--</v>
      </c>
      <c r="S29" s="168">
        <f t="shared" si="9"/>
      </c>
      <c r="T29" s="577">
        <f t="shared" si="10"/>
      </c>
      <c r="U29" s="6"/>
    </row>
    <row r="30" spans="2:21" s="5" customFormat="1" ht="16.5" customHeight="1">
      <c r="B30" s="51"/>
      <c r="C30" s="171"/>
      <c r="D30" s="568"/>
      <c r="E30" s="568"/>
      <c r="F30" s="569"/>
      <c r="G30" s="140">
        <f t="shared" si="0"/>
        <v>14.279</v>
      </c>
      <c r="H30" s="570"/>
      <c r="I30" s="166"/>
      <c r="J30" s="571">
        <f t="shared" si="1"/>
      </c>
      <c r="K30" s="572">
        <f t="shared" si="2"/>
      </c>
      <c r="L30" s="322"/>
      <c r="M30" s="168">
        <f t="shared" si="3"/>
      </c>
      <c r="N30" s="573">
        <f t="shared" si="4"/>
        <v>40</v>
      </c>
      <c r="O30" s="574" t="str">
        <f t="shared" si="5"/>
        <v>--</v>
      </c>
      <c r="P30" s="575" t="str">
        <f t="shared" si="6"/>
        <v>--</v>
      </c>
      <c r="Q30" s="576" t="str">
        <f t="shared" si="7"/>
        <v>--</v>
      </c>
      <c r="R30" s="176" t="str">
        <f t="shared" si="8"/>
        <v>--</v>
      </c>
      <c r="S30" s="168">
        <f t="shared" si="9"/>
      </c>
      <c r="T30" s="577">
        <f t="shared" si="10"/>
      </c>
      <c r="U30" s="6"/>
    </row>
    <row r="31" spans="2:21" s="5" customFormat="1" ht="16.5" customHeight="1">
      <c r="B31" s="51"/>
      <c r="C31" s="408"/>
      <c r="D31" s="568"/>
      <c r="E31" s="568"/>
      <c r="F31" s="569"/>
      <c r="G31" s="140">
        <f t="shared" si="0"/>
        <v>14.279</v>
      </c>
      <c r="H31" s="570"/>
      <c r="I31" s="166"/>
      <c r="J31" s="571">
        <f t="shared" si="1"/>
      </c>
      <c r="K31" s="572">
        <f t="shared" si="2"/>
      </c>
      <c r="L31" s="322"/>
      <c r="M31" s="168">
        <f t="shared" si="3"/>
      </c>
      <c r="N31" s="573">
        <f t="shared" si="4"/>
        <v>40</v>
      </c>
      <c r="O31" s="574" t="str">
        <f t="shared" si="5"/>
        <v>--</v>
      </c>
      <c r="P31" s="575" t="str">
        <f t="shared" si="6"/>
        <v>--</v>
      </c>
      <c r="Q31" s="576" t="str">
        <f t="shared" si="7"/>
        <v>--</v>
      </c>
      <c r="R31" s="176" t="str">
        <f t="shared" si="8"/>
        <v>--</v>
      </c>
      <c r="S31" s="168">
        <f t="shared" si="9"/>
      </c>
      <c r="T31" s="577">
        <f t="shared" si="10"/>
      </c>
      <c r="U31" s="6"/>
    </row>
    <row r="32" spans="2:21" s="5" customFormat="1" ht="16.5" customHeight="1">
      <c r="B32" s="51"/>
      <c r="C32" s="171"/>
      <c r="D32" s="568"/>
      <c r="E32" s="568"/>
      <c r="F32" s="569"/>
      <c r="G32" s="140">
        <f t="shared" si="0"/>
        <v>14.279</v>
      </c>
      <c r="H32" s="570"/>
      <c r="I32" s="166"/>
      <c r="J32" s="571">
        <f t="shared" si="1"/>
      </c>
      <c r="K32" s="572">
        <f t="shared" si="2"/>
      </c>
      <c r="L32" s="322"/>
      <c r="M32" s="168">
        <f t="shared" si="3"/>
      </c>
      <c r="N32" s="573">
        <f t="shared" si="4"/>
        <v>40</v>
      </c>
      <c r="O32" s="574" t="str">
        <f t="shared" si="5"/>
        <v>--</v>
      </c>
      <c r="P32" s="575" t="str">
        <f t="shared" si="6"/>
        <v>--</v>
      </c>
      <c r="Q32" s="576" t="str">
        <f t="shared" si="7"/>
        <v>--</v>
      </c>
      <c r="R32" s="176" t="str">
        <f t="shared" si="8"/>
        <v>--</v>
      </c>
      <c r="S32" s="168">
        <f t="shared" si="9"/>
      </c>
      <c r="T32" s="577">
        <f t="shared" si="10"/>
      </c>
      <c r="U32" s="6"/>
    </row>
    <row r="33" spans="2:21" s="5" customFormat="1" ht="16.5" customHeight="1">
      <c r="B33" s="51"/>
      <c r="C33" s="408"/>
      <c r="D33" s="568"/>
      <c r="E33" s="568"/>
      <c r="F33" s="569"/>
      <c r="G33" s="140">
        <f t="shared" si="0"/>
        <v>14.279</v>
      </c>
      <c r="H33" s="570"/>
      <c r="I33" s="166"/>
      <c r="J33" s="571">
        <f t="shared" si="1"/>
      </c>
      <c r="K33" s="572">
        <f t="shared" si="2"/>
      </c>
      <c r="L33" s="322"/>
      <c r="M33" s="168">
        <f t="shared" si="3"/>
      </c>
      <c r="N33" s="573">
        <f t="shared" si="4"/>
        <v>40</v>
      </c>
      <c r="O33" s="574" t="str">
        <f t="shared" si="5"/>
        <v>--</v>
      </c>
      <c r="P33" s="575" t="str">
        <f t="shared" si="6"/>
        <v>--</v>
      </c>
      <c r="Q33" s="576" t="str">
        <f t="shared" si="7"/>
        <v>--</v>
      </c>
      <c r="R33" s="176" t="str">
        <f t="shared" si="8"/>
        <v>--</v>
      </c>
      <c r="S33" s="168">
        <f t="shared" si="9"/>
      </c>
      <c r="T33" s="577">
        <f t="shared" si="10"/>
      </c>
      <c r="U33" s="6"/>
    </row>
    <row r="34" spans="2:21" s="5" customFormat="1" ht="16.5" customHeight="1">
      <c r="B34" s="51"/>
      <c r="C34" s="171"/>
      <c r="D34" s="568"/>
      <c r="E34" s="568"/>
      <c r="F34" s="569"/>
      <c r="G34" s="140">
        <f t="shared" si="0"/>
        <v>14.279</v>
      </c>
      <c r="H34" s="570"/>
      <c r="I34" s="166"/>
      <c r="J34" s="571">
        <f t="shared" si="1"/>
      </c>
      <c r="K34" s="572">
        <f t="shared" si="2"/>
      </c>
      <c r="L34" s="322"/>
      <c r="M34" s="168">
        <f t="shared" si="3"/>
      </c>
      <c r="N34" s="573">
        <f t="shared" si="4"/>
        <v>40</v>
      </c>
      <c r="O34" s="574" t="str">
        <f t="shared" si="5"/>
        <v>--</v>
      </c>
      <c r="P34" s="575" t="str">
        <f t="shared" si="6"/>
        <v>--</v>
      </c>
      <c r="Q34" s="576" t="str">
        <f t="shared" si="7"/>
        <v>--</v>
      </c>
      <c r="R34" s="176" t="str">
        <f t="shared" si="8"/>
        <v>--</v>
      </c>
      <c r="S34" s="168">
        <f t="shared" si="9"/>
      </c>
      <c r="T34" s="577">
        <f t="shared" si="10"/>
      </c>
      <c r="U34" s="6"/>
    </row>
    <row r="35" spans="2:21" s="5" customFormat="1" ht="16.5" customHeight="1">
      <c r="B35" s="51"/>
      <c r="C35" s="408"/>
      <c r="D35" s="568"/>
      <c r="E35" s="568"/>
      <c r="F35" s="569"/>
      <c r="G35" s="140">
        <f t="shared" si="0"/>
        <v>14.279</v>
      </c>
      <c r="H35" s="570"/>
      <c r="I35" s="166"/>
      <c r="J35" s="571">
        <f t="shared" si="1"/>
      </c>
      <c r="K35" s="572">
        <f t="shared" si="2"/>
      </c>
      <c r="L35" s="322"/>
      <c r="M35" s="168">
        <f t="shared" si="3"/>
      </c>
      <c r="N35" s="573">
        <f t="shared" si="4"/>
        <v>40</v>
      </c>
      <c r="O35" s="574" t="str">
        <f t="shared" si="5"/>
        <v>--</v>
      </c>
      <c r="P35" s="575" t="str">
        <f t="shared" si="6"/>
        <v>--</v>
      </c>
      <c r="Q35" s="576" t="str">
        <f t="shared" si="7"/>
        <v>--</v>
      </c>
      <c r="R35" s="176" t="str">
        <f t="shared" si="8"/>
        <v>--</v>
      </c>
      <c r="S35" s="168">
        <f t="shared" si="9"/>
      </c>
      <c r="T35" s="577">
        <f t="shared" si="10"/>
      </c>
      <c r="U35" s="6"/>
    </row>
    <row r="36" spans="2:21" s="5" customFormat="1" ht="16.5" customHeight="1">
      <c r="B36" s="51"/>
      <c r="C36" s="171"/>
      <c r="D36" s="568"/>
      <c r="E36" s="568"/>
      <c r="F36" s="569"/>
      <c r="G36" s="140">
        <f t="shared" si="0"/>
        <v>14.279</v>
      </c>
      <c r="H36" s="570"/>
      <c r="I36" s="166"/>
      <c r="J36" s="571">
        <f t="shared" si="1"/>
      </c>
      <c r="K36" s="572">
        <f t="shared" si="2"/>
      </c>
      <c r="L36" s="322"/>
      <c r="M36" s="168">
        <f t="shared" si="3"/>
      </c>
      <c r="N36" s="573">
        <f t="shared" si="4"/>
        <v>40</v>
      </c>
      <c r="O36" s="574" t="str">
        <f t="shared" si="5"/>
        <v>--</v>
      </c>
      <c r="P36" s="575" t="str">
        <f t="shared" si="6"/>
        <v>--</v>
      </c>
      <c r="Q36" s="576" t="str">
        <f t="shared" si="7"/>
        <v>--</v>
      </c>
      <c r="R36" s="176" t="str">
        <f t="shared" si="8"/>
        <v>--</v>
      </c>
      <c r="S36" s="168">
        <f t="shared" si="9"/>
      </c>
      <c r="T36" s="577">
        <f t="shared" si="10"/>
      </c>
      <c r="U36" s="6"/>
    </row>
    <row r="37" spans="2:21" s="5" customFormat="1" ht="16.5" customHeight="1">
      <c r="B37" s="51"/>
      <c r="C37" s="408"/>
      <c r="D37" s="568"/>
      <c r="E37" s="568"/>
      <c r="F37" s="569"/>
      <c r="G37" s="140">
        <f t="shared" si="0"/>
        <v>14.279</v>
      </c>
      <c r="H37" s="570"/>
      <c r="I37" s="166"/>
      <c r="J37" s="571">
        <f t="shared" si="1"/>
      </c>
      <c r="K37" s="572">
        <f t="shared" si="2"/>
      </c>
      <c r="L37" s="322"/>
      <c r="M37" s="168">
        <f t="shared" si="3"/>
      </c>
      <c r="N37" s="573">
        <f t="shared" si="4"/>
        <v>40</v>
      </c>
      <c r="O37" s="574" t="str">
        <f t="shared" si="5"/>
        <v>--</v>
      </c>
      <c r="P37" s="575" t="str">
        <f t="shared" si="6"/>
        <v>--</v>
      </c>
      <c r="Q37" s="576" t="str">
        <f t="shared" si="7"/>
        <v>--</v>
      </c>
      <c r="R37" s="176" t="str">
        <f t="shared" si="8"/>
        <v>--</v>
      </c>
      <c r="S37" s="168">
        <f t="shared" si="9"/>
      </c>
      <c r="T37" s="577">
        <f t="shared" si="10"/>
      </c>
      <c r="U37" s="6"/>
    </row>
    <row r="38" spans="2:21" s="5" customFormat="1" ht="16.5" customHeight="1">
      <c r="B38" s="51"/>
      <c r="C38" s="171"/>
      <c r="D38" s="568"/>
      <c r="E38" s="568"/>
      <c r="F38" s="569"/>
      <c r="G38" s="140">
        <f t="shared" si="0"/>
        <v>14.279</v>
      </c>
      <c r="H38" s="570"/>
      <c r="I38" s="166"/>
      <c r="J38" s="571">
        <f t="shared" si="1"/>
      </c>
      <c r="K38" s="572">
        <f t="shared" si="2"/>
      </c>
      <c r="L38" s="322"/>
      <c r="M38" s="168">
        <f t="shared" si="3"/>
      </c>
      <c r="N38" s="573">
        <f t="shared" si="4"/>
        <v>40</v>
      </c>
      <c r="O38" s="574" t="str">
        <f t="shared" si="5"/>
        <v>--</v>
      </c>
      <c r="P38" s="575" t="str">
        <f t="shared" si="6"/>
        <v>--</v>
      </c>
      <c r="Q38" s="576" t="str">
        <f t="shared" si="7"/>
        <v>--</v>
      </c>
      <c r="R38" s="176" t="str">
        <f t="shared" si="8"/>
        <v>--</v>
      </c>
      <c r="S38" s="168">
        <f t="shared" si="9"/>
      </c>
      <c r="T38" s="577">
        <f t="shared" si="10"/>
      </c>
      <c r="U38" s="6"/>
    </row>
    <row r="39" spans="2:21" s="5" customFormat="1" ht="16.5" customHeight="1">
      <c r="B39" s="51"/>
      <c r="C39" s="408"/>
      <c r="D39" s="568"/>
      <c r="E39" s="568"/>
      <c r="F39" s="569"/>
      <c r="G39" s="140">
        <f t="shared" si="0"/>
        <v>14.279</v>
      </c>
      <c r="H39" s="570"/>
      <c r="I39" s="166"/>
      <c r="J39" s="571">
        <f t="shared" si="1"/>
      </c>
      <c r="K39" s="572">
        <f t="shared" si="2"/>
      </c>
      <c r="L39" s="322"/>
      <c r="M39" s="168">
        <f t="shared" si="3"/>
      </c>
      <c r="N39" s="573">
        <f t="shared" si="4"/>
        <v>40</v>
      </c>
      <c r="O39" s="574" t="str">
        <f t="shared" si="5"/>
        <v>--</v>
      </c>
      <c r="P39" s="575" t="str">
        <f t="shared" si="6"/>
        <v>--</v>
      </c>
      <c r="Q39" s="576" t="str">
        <f t="shared" si="7"/>
        <v>--</v>
      </c>
      <c r="R39" s="176" t="str">
        <f t="shared" si="8"/>
        <v>--</v>
      </c>
      <c r="S39" s="168">
        <f t="shared" si="9"/>
      </c>
      <c r="T39" s="577">
        <f t="shared" si="10"/>
      </c>
      <c r="U39" s="6"/>
    </row>
    <row r="40" spans="2:21" s="5" customFormat="1" ht="16.5" customHeight="1">
      <c r="B40" s="51"/>
      <c r="C40" s="171"/>
      <c r="D40" s="568"/>
      <c r="E40" s="568"/>
      <c r="F40" s="569"/>
      <c r="G40" s="140">
        <f t="shared" si="0"/>
        <v>14.279</v>
      </c>
      <c r="H40" s="570"/>
      <c r="I40" s="166"/>
      <c r="J40" s="571">
        <f t="shared" si="1"/>
      </c>
      <c r="K40" s="572">
        <f t="shared" si="2"/>
      </c>
      <c r="L40" s="322"/>
      <c r="M40" s="168">
        <f t="shared" si="3"/>
      </c>
      <c r="N40" s="573">
        <f t="shared" si="4"/>
        <v>40</v>
      </c>
      <c r="O40" s="574" t="str">
        <f t="shared" si="5"/>
        <v>--</v>
      </c>
      <c r="P40" s="575" t="str">
        <f t="shared" si="6"/>
        <v>--</v>
      </c>
      <c r="Q40" s="576" t="str">
        <f t="shared" si="7"/>
        <v>--</v>
      </c>
      <c r="R40" s="176" t="str">
        <f t="shared" si="8"/>
        <v>--</v>
      </c>
      <c r="S40" s="168">
        <f t="shared" si="9"/>
      </c>
      <c r="T40" s="577">
        <f t="shared" si="10"/>
      </c>
      <c r="U40" s="6"/>
    </row>
    <row r="41" spans="2:21" s="5" customFormat="1" ht="16.5" customHeight="1">
      <c r="B41" s="51"/>
      <c r="C41" s="408"/>
      <c r="D41" s="568"/>
      <c r="E41" s="568"/>
      <c r="F41" s="569"/>
      <c r="G41" s="140">
        <f t="shared" si="0"/>
        <v>14.279</v>
      </c>
      <c r="H41" s="570"/>
      <c r="I41" s="166"/>
      <c r="J41" s="571">
        <f t="shared" si="1"/>
      </c>
      <c r="K41" s="572">
        <f t="shared" si="2"/>
      </c>
      <c r="L41" s="322"/>
      <c r="M41" s="168">
        <f t="shared" si="3"/>
      </c>
      <c r="N41" s="573">
        <f t="shared" si="4"/>
        <v>40</v>
      </c>
      <c r="O41" s="574" t="str">
        <f t="shared" si="5"/>
        <v>--</v>
      </c>
      <c r="P41" s="575" t="str">
        <f t="shared" si="6"/>
        <v>--</v>
      </c>
      <c r="Q41" s="576" t="str">
        <f t="shared" si="7"/>
        <v>--</v>
      </c>
      <c r="R41" s="176" t="str">
        <f t="shared" si="8"/>
        <v>--</v>
      </c>
      <c r="S41" s="168">
        <f t="shared" si="9"/>
      </c>
      <c r="T41" s="577">
        <f t="shared" si="10"/>
      </c>
      <c r="U41" s="6"/>
    </row>
    <row r="42" spans="2:21" s="5" customFormat="1" ht="16.5" customHeight="1" thickBot="1">
      <c r="B42" s="51"/>
      <c r="C42" s="171"/>
      <c r="D42" s="161"/>
      <c r="E42" s="161"/>
      <c r="F42" s="339"/>
      <c r="G42" s="141"/>
      <c r="H42" s="578"/>
      <c r="I42" s="578"/>
      <c r="J42" s="579"/>
      <c r="K42" s="579"/>
      <c r="L42" s="578"/>
      <c r="M42" s="167"/>
      <c r="N42" s="580"/>
      <c r="O42" s="581"/>
      <c r="P42" s="582"/>
      <c r="Q42" s="583"/>
      <c r="R42" s="178"/>
      <c r="S42" s="167"/>
      <c r="T42" s="584"/>
      <c r="U42" s="6"/>
    </row>
    <row r="43" spans="2:21" s="5" customFormat="1" ht="16.5" customHeight="1" thickBot="1" thickTop="1">
      <c r="B43" s="51"/>
      <c r="C43" s="131" t="s">
        <v>25</v>
      </c>
      <c r="D43" s="132" t="s">
        <v>305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585">
        <f>SUM(O20:O42)</f>
        <v>502.6208000000001</v>
      </c>
      <c r="P43" s="586">
        <f>SUM(P20:P42)</f>
        <v>3569.6</v>
      </c>
      <c r="Q43" s="587">
        <f>SUM(Q20:Q42)</f>
        <v>6139.7119999999995</v>
      </c>
      <c r="R43" s="588">
        <f>SUM(R20:R42)</f>
        <v>0</v>
      </c>
      <c r="S43" s="589"/>
      <c r="T43" s="102">
        <f>ROUND(SUM(T20:T42),2)</f>
        <v>10211.93</v>
      </c>
      <c r="U43" s="6"/>
    </row>
    <row r="44" spans="2:21" s="137" customFormat="1" ht="13.5" thickTop="1">
      <c r="B44" s="136"/>
      <c r="C44" s="133"/>
      <c r="D44" s="134" t="s">
        <v>302</v>
      </c>
      <c r="E44"/>
      <c r="F44" s="135"/>
      <c r="G44" s="135"/>
      <c r="H44" s="135"/>
      <c r="I44" s="135"/>
      <c r="J44" s="135"/>
      <c r="K44" s="135"/>
      <c r="L44" s="135"/>
      <c r="M44" s="135"/>
      <c r="N44" s="135"/>
      <c r="O44" s="469"/>
      <c r="P44" s="469"/>
      <c r="Q44" s="469"/>
      <c r="R44" s="469"/>
      <c r="S44" s="469"/>
      <c r="T44" s="253"/>
      <c r="U44" s="590"/>
    </row>
    <row r="45" spans="2:21" s="5" customFormat="1" ht="16.5" customHeight="1" thickBot="1"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7"/>
    </row>
    <row r="46" spans="21:23" ht="16.5" customHeight="1" thickTop="1">
      <c r="U46" s="193"/>
      <c r="V46" s="193"/>
      <c r="W46" s="193"/>
    </row>
    <row r="47" spans="21:23" ht="16.5" customHeight="1">
      <c r="U47" s="193"/>
      <c r="V47" s="193"/>
      <c r="W47" s="193"/>
    </row>
    <row r="48" spans="21:23" ht="16.5" customHeight="1">
      <c r="U48" s="193"/>
      <c r="V48" s="193"/>
      <c r="W48" s="193"/>
    </row>
    <row r="49" spans="21:23" ht="16.5" customHeight="1">
      <c r="U49" s="193"/>
      <c r="V49" s="193"/>
      <c r="W49" s="193"/>
    </row>
    <row r="50" spans="21:23" ht="16.5" customHeight="1">
      <c r="U50" s="193"/>
      <c r="V50" s="193"/>
      <c r="W50" s="193"/>
    </row>
    <row r="51" spans="4:23" ht="16.5" customHeight="1"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</row>
    <row r="52" spans="4:23" ht="16.5" customHeight="1"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</row>
    <row r="53" spans="4:23" ht="16.5" customHeight="1"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</row>
    <row r="54" spans="4:23" ht="16.5" customHeight="1"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</row>
    <row r="55" spans="4:23" ht="16.5" customHeight="1"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</row>
    <row r="56" spans="4:23" ht="16.5" customHeight="1"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</row>
    <row r="57" spans="4:23" ht="16.5" customHeight="1"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</row>
    <row r="58" spans="4:23" ht="16.5" customHeight="1"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</row>
    <row r="59" spans="4:23" ht="16.5" customHeight="1"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</row>
    <row r="60" spans="4:23" ht="16.5" customHeight="1"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</row>
    <row r="61" spans="4:23" ht="16.5" customHeight="1"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</row>
    <row r="62" spans="4:23" ht="16.5" customHeight="1"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</row>
    <row r="63" spans="4:23" ht="16.5" customHeight="1"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</row>
    <row r="64" spans="4:23" ht="16.5" customHeight="1"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</row>
    <row r="65" spans="4:23" ht="16.5" customHeight="1"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</row>
    <row r="66" spans="4:23" ht="16.5" customHeight="1"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</row>
    <row r="67" spans="4:23" ht="16.5" customHeight="1"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</row>
    <row r="68" spans="4:23" ht="16.5" customHeight="1"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</row>
    <row r="69" spans="4:23" ht="16.5" customHeight="1"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</row>
    <row r="70" spans="4:23" ht="16.5" customHeight="1"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</row>
    <row r="71" spans="4:23" ht="16.5" customHeight="1"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</row>
    <row r="72" spans="4:23" ht="16.5" customHeight="1"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</row>
    <row r="73" spans="4:23" ht="16.5" customHeight="1"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</row>
    <row r="74" spans="4:23" ht="16.5" customHeight="1"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</row>
    <row r="75" spans="4:23" ht="16.5" customHeight="1"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</row>
    <row r="76" spans="4:23" ht="16.5" customHeight="1"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</row>
    <row r="77" spans="4:23" ht="16.5" customHeight="1"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</row>
    <row r="78" spans="4:23" ht="16.5" customHeight="1"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</row>
    <row r="79" spans="4:23" ht="16.5" customHeight="1"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</row>
    <row r="80" spans="4:23" ht="16.5" customHeight="1"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</row>
    <row r="81" spans="4:23" ht="16.5" customHeight="1"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</row>
    <row r="82" spans="4:23" ht="16.5" customHeight="1"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</row>
    <row r="83" spans="4:23" ht="16.5" customHeight="1"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</row>
    <row r="84" spans="4:23" ht="16.5" customHeight="1"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</row>
    <row r="85" spans="4:23" ht="16.5" customHeight="1"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</row>
    <row r="86" spans="4:23" ht="16.5" customHeight="1"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</row>
    <row r="87" spans="4:23" ht="16.5" customHeight="1"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</row>
    <row r="88" spans="4:23" ht="16.5" customHeight="1"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</row>
    <row r="89" spans="4:23" ht="16.5" customHeight="1"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</row>
    <row r="90" spans="4:23" ht="16.5" customHeight="1"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</row>
    <row r="91" spans="4:23" ht="16.5" customHeight="1"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</row>
    <row r="92" spans="4:23" ht="16.5" customHeight="1"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</row>
    <row r="93" spans="4:23" ht="16.5" customHeight="1"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</row>
    <row r="94" spans="4:23" ht="16.5" customHeight="1"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</row>
    <row r="95" spans="4:23" ht="16.5" customHeight="1"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</row>
    <row r="96" spans="4:23" ht="16.5" customHeight="1"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</row>
    <row r="97" spans="4:23" ht="16.5" customHeight="1"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</row>
    <row r="98" spans="4:23" ht="16.5" customHeight="1"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</row>
    <row r="99" spans="4:23" ht="16.5" customHeight="1"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</row>
    <row r="100" spans="4:23" ht="16.5" customHeight="1"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</row>
    <row r="101" spans="4:23" ht="16.5" customHeight="1"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</row>
    <row r="102" spans="4:23" ht="16.5" customHeight="1"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</row>
    <row r="103" spans="4:23" ht="16.5" customHeight="1"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</row>
    <row r="104" spans="4:23" ht="16.5" customHeight="1"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</row>
    <row r="105" spans="4:23" ht="16.5" customHeight="1"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</row>
    <row r="106" spans="4:23" ht="16.5" customHeight="1"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</row>
    <row r="107" spans="4:23" ht="16.5" customHeight="1"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</row>
    <row r="108" spans="4:23" ht="16.5" customHeight="1"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</row>
    <row r="109" spans="4:23" ht="16.5" customHeight="1"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</row>
    <row r="110" spans="4:23" ht="16.5" customHeight="1"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</row>
    <row r="111" spans="4:23" ht="16.5" customHeight="1"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</row>
    <row r="112" spans="4:23" ht="16.5" customHeight="1"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</row>
    <row r="113" spans="4:23" ht="16.5" customHeight="1"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</row>
    <row r="114" spans="4:23" ht="16.5" customHeight="1"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</row>
    <row r="115" spans="4:23" ht="16.5" customHeight="1"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</row>
    <row r="116" spans="4:23" ht="16.5" customHeight="1"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</row>
    <row r="117" spans="4:23" ht="16.5" customHeight="1"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</row>
    <row r="118" spans="4:23" ht="16.5" customHeight="1"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</row>
    <row r="119" spans="4:23" ht="16.5" customHeight="1"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</row>
    <row r="120" spans="4:23" ht="16.5" customHeight="1"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</row>
    <row r="121" spans="4:23" ht="16.5" customHeight="1"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</row>
    <row r="122" spans="4:23" ht="16.5" customHeight="1"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</row>
    <row r="123" spans="4:23" ht="16.5" customHeight="1"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</row>
    <row r="124" spans="4:23" ht="16.5" customHeight="1"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</row>
    <row r="125" spans="4:23" ht="16.5" customHeight="1"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</row>
    <row r="126" spans="4:23" ht="16.5" customHeight="1"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</row>
    <row r="127" spans="4:23" ht="16.5" customHeight="1"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</row>
    <row r="128" spans="4:23" ht="16.5" customHeight="1"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</row>
    <row r="129" spans="4:23" ht="16.5" customHeight="1"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</row>
    <row r="130" spans="4:23" ht="16.5" customHeight="1"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</row>
    <row r="131" spans="4:23" ht="16.5" customHeight="1"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</row>
    <row r="132" spans="4:23" ht="16.5" customHeight="1"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</row>
    <row r="133" spans="4:23" ht="16.5" customHeight="1"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</row>
    <row r="134" spans="4:23" ht="16.5" customHeight="1"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</row>
    <row r="135" spans="4:23" ht="16.5" customHeight="1"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</row>
    <row r="136" spans="4:23" ht="16.5" customHeight="1"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</row>
    <row r="137" spans="4:23" ht="16.5" customHeight="1"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</row>
    <row r="138" spans="4:23" ht="16.5" customHeight="1"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</row>
    <row r="139" spans="4:23" ht="16.5" customHeight="1"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</row>
    <row r="140" spans="4:23" ht="16.5" customHeight="1"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</row>
    <row r="141" spans="4:23" ht="16.5" customHeight="1"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</row>
    <row r="142" spans="4:23" ht="16.5" customHeight="1"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</row>
    <row r="143" spans="4:23" ht="16.5" customHeight="1"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</row>
    <row r="144" spans="4:23" ht="16.5" customHeight="1"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</row>
    <row r="145" spans="4:23" ht="16.5" customHeight="1"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</row>
    <row r="146" spans="4:23" ht="16.5" customHeight="1"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</row>
    <row r="147" spans="4:23" ht="16.5" customHeight="1"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</row>
    <row r="148" spans="4:23" ht="16.5" customHeight="1"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</row>
    <row r="149" spans="4:23" ht="16.5" customHeight="1"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</row>
    <row r="150" spans="4:23" ht="16.5" customHeight="1"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</row>
    <row r="151" spans="4:23" ht="16.5" customHeight="1"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</row>
    <row r="152" spans="4:23" ht="16.5" customHeight="1"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</row>
    <row r="153" spans="4:23" ht="16.5" customHeight="1"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</row>
    <row r="154" spans="4:23" ht="16.5" customHeight="1"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</row>
    <row r="155" spans="4:23" ht="16.5" customHeight="1"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</row>
    <row r="156" spans="4:23" ht="16.5" customHeight="1"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</row>
    <row r="157" spans="4:23" ht="16.5" customHeight="1"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</row>
    <row r="158" spans="4:23" ht="16.5" customHeight="1"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2">
    <pageSetUpPr fitToPage="1"/>
  </sheetPr>
  <dimension ref="A1:W158"/>
  <sheetViews>
    <sheetView zoomScale="75" zoomScaleNormal="75" workbookViewId="0" topLeftCell="C1">
      <selection activeCell="T22" sqref="T22:T2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9" customFormat="1" ht="26.25">
      <c r="U1" s="158"/>
    </row>
    <row r="2" spans="1:21" s="19" customFormat="1" ht="26.25">
      <c r="A2" s="92"/>
      <c r="B2" s="20" t="str">
        <f>+'TOT-0907'!B2</f>
        <v>ANEXO IV al Memorandum D.T.E.E. N°  1955 /2009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="5" customFormat="1" ht="12.75">
      <c r="A3" s="91"/>
    </row>
    <row r="4" spans="1:2" s="26" customFormat="1" ht="11.25">
      <c r="A4" s="24" t="s">
        <v>2</v>
      </c>
      <c r="B4" s="128"/>
    </row>
    <row r="5" spans="1:2" s="26" customFormat="1" ht="11.25">
      <c r="A5" s="24" t="s">
        <v>3</v>
      </c>
      <c r="B5" s="128"/>
    </row>
    <row r="6" s="5" customFormat="1" ht="13.5" thickBot="1"/>
    <row r="7" spans="2:21" s="5" customFormat="1" ht="13.5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2:21" s="30" customFormat="1" ht="20.25">
      <c r="B8" s="80"/>
      <c r="C8" s="31"/>
      <c r="D8" s="12" t="s">
        <v>61</v>
      </c>
      <c r="L8" s="108"/>
      <c r="M8" s="108"/>
      <c r="N8" s="97"/>
      <c r="O8" s="31"/>
      <c r="P8" s="31"/>
      <c r="Q8" s="31"/>
      <c r="R8" s="31"/>
      <c r="S8" s="31"/>
      <c r="T8" s="31"/>
      <c r="U8" s="81"/>
    </row>
    <row r="9" spans="2:21" s="5" customFormat="1" ht="12.75">
      <c r="B9" s="51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30" customFormat="1" ht="20.25">
      <c r="B10" s="80"/>
      <c r="C10" s="31"/>
      <c r="D10" s="116" t="s">
        <v>91</v>
      </c>
      <c r="E10" s="525"/>
      <c r="F10" s="108"/>
      <c r="G10" s="111"/>
      <c r="I10" s="111"/>
      <c r="J10" s="111"/>
      <c r="K10" s="111"/>
      <c r="L10" s="111"/>
      <c r="M10" s="111"/>
      <c r="N10" s="111"/>
      <c r="O10" s="31"/>
      <c r="P10" s="31"/>
      <c r="Q10" s="31"/>
      <c r="R10" s="31"/>
      <c r="S10" s="31"/>
      <c r="T10" s="31"/>
      <c r="U10" s="81"/>
    </row>
    <row r="11" spans="2:21" s="5" customFormat="1" ht="13.5">
      <c r="B11" s="51"/>
      <c r="C11" s="4"/>
      <c r="D11" s="526"/>
      <c r="E11" s="526"/>
      <c r="F11" s="91"/>
      <c r="G11" s="98"/>
      <c r="H11" s="53"/>
      <c r="I11" s="98"/>
      <c r="J11" s="98"/>
      <c r="K11" s="98"/>
      <c r="L11" s="98"/>
      <c r="M11" s="98"/>
      <c r="N11" s="98"/>
      <c r="O11" s="4"/>
      <c r="P11" s="4"/>
      <c r="Q11" s="4"/>
      <c r="R11" s="4"/>
      <c r="S11" s="4"/>
      <c r="T11" s="4"/>
      <c r="U11" s="6"/>
    </row>
    <row r="12" spans="2:21" s="5" customFormat="1" ht="19.5">
      <c r="B12" s="38" t="str">
        <f>'TOT-0907'!B14</f>
        <v>Desde el 01 al 30 de septiembre de 2007</v>
      </c>
      <c r="C12" s="41"/>
      <c r="D12" s="41"/>
      <c r="E12" s="41"/>
      <c r="F12" s="41"/>
      <c r="G12" s="527"/>
      <c r="H12" s="527"/>
      <c r="I12" s="527"/>
      <c r="J12" s="527"/>
      <c r="K12" s="527"/>
      <c r="L12" s="527"/>
      <c r="M12" s="527"/>
      <c r="N12" s="527"/>
      <c r="O12" s="41"/>
      <c r="P12" s="41"/>
      <c r="Q12" s="41"/>
      <c r="R12" s="41"/>
      <c r="S12" s="41"/>
      <c r="T12" s="41"/>
      <c r="U12" s="528"/>
    </row>
    <row r="13" spans="2:21" s="5" customFormat="1" ht="14.25" thickBot="1">
      <c r="B13" s="529"/>
      <c r="C13" s="530"/>
      <c r="D13" s="530"/>
      <c r="E13" s="530"/>
      <c r="F13" s="530"/>
      <c r="G13" s="531"/>
      <c r="H13" s="531"/>
      <c r="I13" s="531"/>
      <c r="J13" s="531"/>
      <c r="K13" s="531"/>
      <c r="L13" s="531"/>
      <c r="M13" s="531"/>
      <c r="N13" s="531"/>
      <c r="O13" s="530"/>
      <c r="P13" s="530"/>
      <c r="Q13" s="530"/>
      <c r="R13" s="530"/>
      <c r="S13" s="530"/>
      <c r="T13" s="530"/>
      <c r="U13" s="532"/>
    </row>
    <row r="14" spans="2:21" s="5" customFormat="1" ht="15" thickBot="1" thickTop="1">
      <c r="B14" s="51"/>
      <c r="C14" s="4"/>
      <c r="D14" s="533"/>
      <c r="E14" s="533"/>
      <c r="F14" s="121" t="s">
        <v>86</v>
      </c>
      <c r="G14" s="4"/>
      <c r="H14" s="5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51"/>
      <c r="C15" s="4"/>
      <c r="D15" s="534" t="s">
        <v>87</v>
      </c>
      <c r="E15" s="535">
        <v>11.787</v>
      </c>
      <c r="F15" s="536">
        <v>200</v>
      </c>
      <c r="T15" s="118"/>
      <c r="U15" s="6"/>
    </row>
    <row r="16" spans="2:21" s="5" customFormat="1" ht="16.5" customHeight="1" thickBot="1" thickTop="1">
      <c r="B16" s="51"/>
      <c r="C16" s="4"/>
      <c r="D16" s="537" t="s">
        <v>88</v>
      </c>
      <c r="E16" s="538">
        <v>10.609</v>
      </c>
      <c r="F16" s="536">
        <v>100</v>
      </c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1"/>
      <c r="C17" s="4"/>
      <c r="D17" s="539" t="s">
        <v>89</v>
      </c>
      <c r="E17" s="538">
        <v>9.43</v>
      </c>
      <c r="F17" s="536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51"/>
      <c r="C18" s="540"/>
      <c r="D18" s="541"/>
      <c r="E18" s="541"/>
      <c r="F18" s="542"/>
      <c r="G18" s="543"/>
      <c r="H18" s="543"/>
      <c r="I18" s="543"/>
      <c r="J18" s="543"/>
      <c r="K18" s="543"/>
      <c r="L18" s="543"/>
      <c r="M18" s="543"/>
      <c r="N18" s="544"/>
      <c r="O18" s="545"/>
      <c r="P18" s="546"/>
      <c r="Q18" s="546"/>
      <c r="R18" s="546"/>
      <c r="S18" s="547"/>
      <c r="T18" s="548"/>
      <c r="U18" s="6"/>
    </row>
    <row r="19" spans="2:21" s="5" customFormat="1" ht="33.75" customHeight="1" thickBot="1" thickTop="1">
      <c r="B19" s="51"/>
      <c r="C19" s="85" t="s">
        <v>13</v>
      </c>
      <c r="D19" s="87" t="s">
        <v>28</v>
      </c>
      <c r="E19" s="549" t="s">
        <v>29</v>
      </c>
      <c r="F19" s="550" t="s">
        <v>14</v>
      </c>
      <c r="G19" s="139" t="s">
        <v>16</v>
      </c>
      <c r="H19" s="86" t="s">
        <v>17</v>
      </c>
      <c r="I19" s="549" t="s">
        <v>18</v>
      </c>
      <c r="J19" s="551" t="s">
        <v>37</v>
      </c>
      <c r="K19" s="551" t="s">
        <v>32</v>
      </c>
      <c r="L19" s="89" t="s">
        <v>19</v>
      </c>
      <c r="M19" s="209" t="s">
        <v>33</v>
      </c>
      <c r="N19" s="147" t="s">
        <v>38</v>
      </c>
      <c r="O19" s="552" t="s">
        <v>63</v>
      </c>
      <c r="P19" s="214" t="s">
        <v>36</v>
      </c>
      <c r="Q19" s="553"/>
      <c r="R19" s="146" t="s">
        <v>22</v>
      </c>
      <c r="S19" s="144" t="s">
        <v>76</v>
      </c>
      <c r="T19" s="125" t="s">
        <v>24</v>
      </c>
      <c r="U19" s="6"/>
    </row>
    <row r="20" spans="2:21" s="5" customFormat="1" ht="16.5" customHeight="1" thickTop="1">
      <c r="B20" s="51"/>
      <c r="C20" s="7"/>
      <c r="D20" s="554"/>
      <c r="E20" s="554"/>
      <c r="F20" s="554"/>
      <c r="G20" s="319"/>
      <c r="H20" s="554"/>
      <c r="I20" s="554"/>
      <c r="J20" s="554"/>
      <c r="K20" s="554"/>
      <c r="L20" s="554"/>
      <c r="M20" s="554"/>
      <c r="N20" s="555"/>
      <c r="O20" s="556"/>
      <c r="P20" s="557"/>
      <c r="Q20" s="558"/>
      <c r="R20" s="559"/>
      <c r="S20" s="554"/>
      <c r="T20" s="560"/>
      <c r="U20" s="6"/>
    </row>
    <row r="21" spans="2:21" s="5" customFormat="1" ht="16.5" customHeight="1">
      <c r="B21" s="51"/>
      <c r="C21" s="408"/>
      <c r="D21" s="561"/>
      <c r="E21" s="561"/>
      <c r="F21" s="561"/>
      <c r="G21" s="562"/>
      <c r="H21" s="561"/>
      <c r="I21" s="561"/>
      <c r="J21" s="561"/>
      <c r="K21" s="561"/>
      <c r="L21" s="561"/>
      <c r="M21" s="561"/>
      <c r="N21" s="563"/>
      <c r="O21" s="564"/>
      <c r="P21" s="237"/>
      <c r="Q21" s="565"/>
      <c r="R21" s="566"/>
      <c r="S21" s="561"/>
      <c r="T21" s="567"/>
      <c r="U21" s="6"/>
    </row>
    <row r="22" spans="2:21" s="5" customFormat="1" ht="16.5" customHeight="1">
      <c r="B22" s="51"/>
      <c r="C22" s="408">
        <v>122</v>
      </c>
      <c r="D22" s="568" t="s">
        <v>258</v>
      </c>
      <c r="E22" s="568" t="s">
        <v>259</v>
      </c>
      <c r="F22" s="569">
        <v>132</v>
      </c>
      <c r="G22" s="140">
        <f aca="true" t="shared" si="0" ref="G22:G41">IF(F22=500,$E$15,IF(F22=220,$E$16,$E$17))</f>
        <v>9.43</v>
      </c>
      <c r="H22" s="570">
        <v>39329.353472222225</v>
      </c>
      <c r="I22" s="166">
        <v>39329.680555555555</v>
      </c>
      <c r="J22" s="571">
        <f aca="true" t="shared" si="1" ref="J22:J41">IF(D22="","",(I22-H22)*24)</f>
        <v>7.849999999918509</v>
      </c>
      <c r="K22" s="572">
        <f aca="true" t="shared" si="2" ref="K22:K41">IF(D22="","",ROUND((I22-H22)*24*60,0))</f>
        <v>471</v>
      </c>
      <c r="L22" s="322" t="s">
        <v>182</v>
      </c>
      <c r="M22" s="168" t="str">
        <f aca="true" t="shared" si="3" ref="M22:M41">IF(D22="","",IF(L22="P","--","NO"))</f>
        <v>--</v>
      </c>
      <c r="N22" s="573">
        <f aca="true" t="shared" si="4" ref="N22:N41">IF(F22=500,$F$15,IF(F22=220,$F$16,$F$17))</f>
        <v>40</v>
      </c>
      <c r="O22" s="574">
        <f aca="true" t="shared" si="5" ref="O22:O41">IF(L22="P",G22*N22*ROUND(K22/60,2)*0.1,"--")</f>
        <v>296.10200000000003</v>
      </c>
      <c r="P22" s="575" t="str">
        <f aca="true" t="shared" si="6" ref="P22:P41">IF(AND(L22="F",M22="NO"),G22*N22,"--")</f>
        <v>--</v>
      </c>
      <c r="Q22" s="576" t="str">
        <f aca="true" t="shared" si="7" ref="Q22:Q41">IF(L22="F",G22*N22*ROUND(K22/60,2),"--")</f>
        <v>--</v>
      </c>
      <c r="R22" s="176" t="str">
        <f aca="true" t="shared" si="8" ref="R22:R41">IF(L22="RF",G22*N22*ROUND(K22/60,2),"--")</f>
        <v>--</v>
      </c>
      <c r="S22" s="168" t="str">
        <f aca="true" t="shared" si="9" ref="S22:S41">IF(D22="","","SI")</f>
        <v>SI</v>
      </c>
      <c r="T22" s="577">
        <f aca="true" t="shared" si="10" ref="T22:T41">IF(D22="","",SUM(O22:R22)*IF(S22="SI",1,2))</f>
        <v>296.10200000000003</v>
      </c>
      <c r="U22" s="6"/>
    </row>
    <row r="23" spans="2:21" s="5" customFormat="1" ht="16.5" customHeight="1">
      <c r="B23" s="51"/>
      <c r="C23" s="171">
        <v>123</v>
      </c>
      <c r="D23" s="568" t="s">
        <v>258</v>
      </c>
      <c r="E23" s="568" t="s">
        <v>259</v>
      </c>
      <c r="F23" s="569">
        <v>132</v>
      </c>
      <c r="G23" s="140">
        <f t="shared" si="0"/>
        <v>9.43</v>
      </c>
      <c r="H23" s="570">
        <v>39330.353472222225</v>
      </c>
      <c r="I23" s="166">
        <v>39330.66388888889</v>
      </c>
      <c r="J23" s="571">
        <f t="shared" si="1"/>
        <v>7.4500000000116415</v>
      </c>
      <c r="K23" s="572">
        <f t="shared" si="2"/>
        <v>447</v>
      </c>
      <c r="L23" s="322" t="s">
        <v>182</v>
      </c>
      <c r="M23" s="168" t="str">
        <f t="shared" si="3"/>
        <v>--</v>
      </c>
      <c r="N23" s="573">
        <f t="shared" si="4"/>
        <v>40</v>
      </c>
      <c r="O23" s="574">
        <f t="shared" si="5"/>
        <v>281.014</v>
      </c>
      <c r="P23" s="575" t="str">
        <f t="shared" si="6"/>
        <v>--</v>
      </c>
      <c r="Q23" s="576" t="str">
        <f t="shared" si="7"/>
        <v>--</v>
      </c>
      <c r="R23" s="176" t="str">
        <f t="shared" si="8"/>
        <v>--</v>
      </c>
      <c r="S23" s="168" t="str">
        <f t="shared" si="9"/>
        <v>SI</v>
      </c>
      <c r="T23" s="577">
        <f t="shared" si="10"/>
        <v>281.014</v>
      </c>
      <c r="U23" s="6"/>
    </row>
    <row r="24" spans="2:21" s="5" customFormat="1" ht="16.5" customHeight="1">
      <c r="B24" s="51"/>
      <c r="C24" s="408">
        <v>124</v>
      </c>
      <c r="D24" s="568" t="s">
        <v>258</v>
      </c>
      <c r="E24" s="568" t="s">
        <v>260</v>
      </c>
      <c r="F24" s="569">
        <v>132</v>
      </c>
      <c r="G24" s="140">
        <f t="shared" si="0"/>
        <v>9.43</v>
      </c>
      <c r="H24" s="570">
        <v>39331.35138888889</v>
      </c>
      <c r="I24" s="166">
        <v>39331.67638888889</v>
      </c>
      <c r="J24" s="571">
        <f t="shared" si="1"/>
        <v>7.799999999930151</v>
      </c>
      <c r="K24" s="572">
        <f t="shared" si="2"/>
        <v>468</v>
      </c>
      <c r="L24" s="322" t="s">
        <v>182</v>
      </c>
      <c r="M24" s="168" t="str">
        <f t="shared" si="3"/>
        <v>--</v>
      </c>
      <c r="N24" s="573">
        <f t="shared" si="4"/>
        <v>40</v>
      </c>
      <c r="O24" s="574">
        <f t="shared" si="5"/>
        <v>294.216</v>
      </c>
      <c r="P24" s="575" t="str">
        <f t="shared" si="6"/>
        <v>--</v>
      </c>
      <c r="Q24" s="576" t="str">
        <f t="shared" si="7"/>
        <v>--</v>
      </c>
      <c r="R24" s="176" t="str">
        <f t="shared" si="8"/>
        <v>--</v>
      </c>
      <c r="S24" s="168" t="str">
        <f t="shared" si="9"/>
        <v>SI</v>
      </c>
      <c r="T24" s="577">
        <f t="shared" si="10"/>
        <v>294.216</v>
      </c>
      <c r="U24" s="6"/>
    </row>
    <row r="25" spans="2:21" s="5" customFormat="1" ht="16.5" customHeight="1">
      <c r="B25" s="51"/>
      <c r="C25" s="408">
        <v>125</v>
      </c>
      <c r="D25" s="568" t="s">
        <v>258</v>
      </c>
      <c r="E25" s="568" t="s">
        <v>260</v>
      </c>
      <c r="F25" s="569">
        <v>132</v>
      </c>
      <c r="G25" s="140">
        <f t="shared" si="0"/>
        <v>9.43</v>
      </c>
      <c r="H25" s="570">
        <v>39332.347916666666</v>
      </c>
      <c r="I25" s="166">
        <v>39332.6125</v>
      </c>
      <c r="J25" s="571">
        <f t="shared" si="1"/>
        <v>6.350000000093132</v>
      </c>
      <c r="K25" s="572">
        <f t="shared" si="2"/>
        <v>381</v>
      </c>
      <c r="L25" s="322" t="s">
        <v>182</v>
      </c>
      <c r="M25" s="168" t="str">
        <f t="shared" si="3"/>
        <v>--</v>
      </c>
      <c r="N25" s="573">
        <f t="shared" si="4"/>
        <v>40</v>
      </c>
      <c r="O25" s="574">
        <f t="shared" si="5"/>
        <v>239.522</v>
      </c>
      <c r="P25" s="575" t="str">
        <f t="shared" si="6"/>
        <v>--</v>
      </c>
      <c r="Q25" s="576" t="str">
        <f t="shared" si="7"/>
        <v>--</v>
      </c>
      <c r="R25" s="176" t="str">
        <f t="shared" si="8"/>
        <v>--</v>
      </c>
      <c r="S25" s="168" t="str">
        <f t="shared" si="9"/>
        <v>SI</v>
      </c>
      <c r="T25" s="577">
        <f t="shared" si="10"/>
        <v>239.522</v>
      </c>
      <c r="U25" s="6"/>
    </row>
    <row r="26" spans="2:21" s="5" customFormat="1" ht="16.5" customHeight="1">
      <c r="B26" s="51"/>
      <c r="C26" s="171"/>
      <c r="D26" s="568"/>
      <c r="E26" s="568"/>
      <c r="F26" s="569"/>
      <c r="G26" s="140">
        <f t="shared" si="0"/>
        <v>9.43</v>
      </c>
      <c r="H26" s="570"/>
      <c r="I26" s="166"/>
      <c r="J26" s="571">
        <f t="shared" si="1"/>
      </c>
      <c r="K26" s="572">
        <f t="shared" si="2"/>
      </c>
      <c r="L26" s="322"/>
      <c r="M26" s="168">
        <f t="shared" si="3"/>
      </c>
      <c r="N26" s="573">
        <f t="shared" si="4"/>
        <v>40</v>
      </c>
      <c r="O26" s="574" t="str">
        <f t="shared" si="5"/>
        <v>--</v>
      </c>
      <c r="P26" s="575" t="str">
        <f t="shared" si="6"/>
        <v>--</v>
      </c>
      <c r="Q26" s="576" t="str">
        <f t="shared" si="7"/>
        <v>--</v>
      </c>
      <c r="R26" s="176" t="str">
        <f t="shared" si="8"/>
        <v>--</v>
      </c>
      <c r="S26" s="168">
        <f t="shared" si="9"/>
      </c>
      <c r="T26" s="577">
        <f t="shared" si="10"/>
      </c>
      <c r="U26" s="6"/>
    </row>
    <row r="27" spans="2:21" s="5" customFormat="1" ht="16.5" customHeight="1">
      <c r="B27" s="51"/>
      <c r="C27" s="408"/>
      <c r="D27" s="568"/>
      <c r="E27" s="568"/>
      <c r="F27" s="569"/>
      <c r="G27" s="140">
        <f t="shared" si="0"/>
        <v>9.43</v>
      </c>
      <c r="H27" s="570"/>
      <c r="I27" s="166"/>
      <c r="J27" s="571">
        <f t="shared" si="1"/>
      </c>
      <c r="K27" s="572">
        <f t="shared" si="2"/>
      </c>
      <c r="L27" s="322"/>
      <c r="M27" s="168">
        <f t="shared" si="3"/>
      </c>
      <c r="N27" s="573">
        <f t="shared" si="4"/>
        <v>40</v>
      </c>
      <c r="O27" s="574" t="str">
        <f t="shared" si="5"/>
        <v>--</v>
      </c>
      <c r="P27" s="575" t="str">
        <f t="shared" si="6"/>
        <v>--</v>
      </c>
      <c r="Q27" s="576" t="str">
        <f t="shared" si="7"/>
        <v>--</v>
      </c>
      <c r="R27" s="176" t="str">
        <f t="shared" si="8"/>
        <v>--</v>
      </c>
      <c r="S27" s="168">
        <f t="shared" si="9"/>
      </c>
      <c r="T27" s="577">
        <f t="shared" si="10"/>
      </c>
      <c r="U27" s="6"/>
    </row>
    <row r="28" spans="2:21" s="5" customFormat="1" ht="16.5" customHeight="1">
      <c r="B28" s="51"/>
      <c r="C28" s="171"/>
      <c r="D28" s="568"/>
      <c r="E28" s="568"/>
      <c r="F28" s="569"/>
      <c r="G28" s="140">
        <f t="shared" si="0"/>
        <v>9.43</v>
      </c>
      <c r="H28" s="570"/>
      <c r="I28" s="166"/>
      <c r="J28" s="571">
        <f t="shared" si="1"/>
      </c>
      <c r="K28" s="572">
        <f t="shared" si="2"/>
      </c>
      <c r="L28" s="322"/>
      <c r="M28" s="168">
        <f t="shared" si="3"/>
      </c>
      <c r="N28" s="573">
        <f t="shared" si="4"/>
        <v>40</v>
      </c>
      <c r="O28" s="574" t="str">
        <f t="shared" si="5"/>
        <v>--</v>
      </c>
      <c r="P28" s="575" t="str">
        <f t="shared" si="6"/>
        <v>--</v>
      </c>
      <c r="Q28" s="576" t="str">
        <f t="shared" si="7"/>
        <v>--</v>
      </c>
      <c r="R28" s="176" t="str">
        <f t="shared" si="8"/>
        <v>--</v>
      </c>
      <c r="S28" s="168">
        <f t="shared" si="9"/>
      </c>
      <c r="T28" s="577">
        <f t="shared" si="10"/>
      </c>
      <c r="U28" s="6"/>
    </row>
    <row r="29" spans="2:21" s="5" customFormat="1" ht="16.5" customHeight="1">
      <c r="B29" s="51"/>
      <c r="C29" s="408"/>
      <c r="D29" s="568"/>
      <c r="E29" s="568"/>
      <c r="F29" s="569"/>
      <c r="G29" s="140">
        <f t="shared" si="0"/>
        <v>9.43</v>
      </c>
      <c r="H29" s="570"/>
      <c r="I29" s="166"/>
      <c r="J29" s="571">
        <f t="shared" si="1"/>
      </c>
      <c r="K29" s="572">
        <f t="shared" si="2"/>
      </c>
      <c r="L29" s="322"/>
      <c r="M29" s="168">
        <f t="shared" si="3"/>
      </c>
      <c r="N29" s="573">
        <f t="shared" si="4"/>
        <v>40</v>
      </c>
      <c r="O29" s="574" t="str">
        <f t="shared" si="5"/>
        <v>--</v>
      </c>
      <c r="P29" s="575" t="str">
        <f t="shared" si="6"/>
        <v>--</v>
      </c>
      <c r="Q29" s="576" t="str">
        <f t="shared" si="7"/>
        <v>--</v>
      </c>
      <c r="R29" s="176" t="str">
        <f t="shared" si="8"/>
        <v>--</v>
      </c>
      <c r="S29" s="168">
        <f t="shared" si="9"/>
      </c>
      <c r="T29" s="577">
        <f t="shared" si="10"/>
      </c>
      <c r="U29" s="6"/>
    </row>
    <row r="30" spans="2:21" s="5" customFormat="1" ht="16.5" customHeight="1">
      <c r="B30" s="51"/>
      <c r="C30" s="171"/>
      <c r="D30" s="568"/>
      <c r="E30" s="568"/>
      <c r="F30" s="569"/>
      <c r="G30" s="140">
        <f t="shared" si="0"/>
        <v>9.43</v>
      </c>
      <c r="H30" s="570"/>
      <c r="I30" s="166"/>
      <c r="J30" s="571">
        <f t="shared" si="1"/>
      </c>
      <c r="K30" s="572">
        <f t="shared" si="2"/>
      </c>
      <c r="L30" s="322"/>
      <c r="M30" s="168">
        <f t="shared" si="3"/>
      </c>
      <c r="N30" s="573">
        <f t="shared" si="4"/>
        <v>40</v>
      </c>
      <c r="O30" s="574" t="str">
        <f t="shared" si="5"/>
        <v>--</v>
      </c>
      <c r="P30" s="575" t="str">
        <f t="shared" si="6"/>
        <v>--</v>
      </c>
      <c r="Q30" s="576" t="str">
        <f t="shared" si="7"/>
        <v>--</v>
      </c>
      <c r="R30" s="176" t="str">
        <f t="shared" si="8"/>
        <v>--</v>
      </c>
      <c r="S30" s="168">
        <f t="shared" si="9"/>
      </c>
      <c r="T30" s="577">
        <f t="shared" si="10"/>
      </c>
      <c r="U30" s="6"/>
    </row>
    <row r="31" spans="2:21" s="5" customFormat="1" ht="16.5" customHeight="1">
      <c r="B31" s="51"/>
      <c r="C31" s="408"/>
      <c r="D31" s="568"/>
      <c r="E31" s="568"/>
      <c r="F31" s="569"/>
      <c r="G31" s="140">
        <f t="shared" si="0"/>
        <v>9.43</v>
      </c>
      <c r="H31" s="570"/>
      <c r="I31" s="166"/>
      <c r="J31" s="571">
        <f t="shared" si="1"/>
      </c>
      <c r="K31" s="572">
        <f t="shared" si="2"/>
      </c>
      <c r="L31" s="322"/>
      <c r="M31" s="168">
        <f t="shared" si="3"/>
      </c>
      <c r="N31" s="573">
        <f t="shared" si="4"/>
        <v>40</v>
      </c>
      <c r="O31" s="574" t="str">
        <f t="shared" si="5"/>
        <v>--</v>
      </c>
      <c r="P31" s="575" t="str">
        <f t="shared" si="6"/>
        <v>--</v>
      </c>
      <c r="Q31" s="576" t="str">
        <f t="shared" si="7"/>
        <v>--</v>
      </c>
      <c r="R31" s="176" t="str">
        <f t="shared" si="8"/>
        <v>--</v>
      </c>
      <c r="S31" s="168">
        <f t="shared" si="9"/>
      </c>
      <c r="T31" s="577">
        <f t="shared" si="10"/>
      </c>
      <c r="U31" s="6"/>
    </row>
    <row r="32" spans="2:21" s="5" customFormat="1" ht="16.5" customHeight="1">
      <c r="B32" s="51"/>
      <c r="C32" s="171"/>
      <c r="D32" s="568"/>
      <c r="E32" s="568"/>
      <c r="F32" s="569"/>
      <c r="G32" s="140">
        <f t="shared" si="0"/>
        <v>9.43</v>
      </c>
      <c r="H32" s="570"/>
      <c r="I32" s="166"/>
      <c r="J32" s="571">
        <f t="shared" si="1"/>
      </c>
      <c r="K32" s="572">
        <f t="shared" si="2"/>
      </c>
      <c r="L32" s="322"/>
      <c r="M32" s="168">
        <f t="shared" si="3"/>
      </c>
      <c r="N32" s="573">
        <f t="shared" si="4"/>
        <v>40</v>
      </c>
      <c r="O32" s="574" t="str">
        <f t="shared" si="5"/>
        <v>--</v>
      </c>
      <c r="P32" s="575" t="str">
        <f t="shared" si="6"/>
        <v>--</v>
      </c>
      <c r="Q32" s="576" t="str">
        <f t="shared" si="7"/>
        <v>--</v>
      </c>
      <c r="R32" s="176" t="str">
        <f t="shared" si="8"/>
        <v>--</v>
      </c>
      <c r="S32" s="168">
        <f t="shared" si="9"/>
      </c>
      <c r="T32" s="577">
        <f t="shared" si="10"/>
      </c>
      <c r="U32" s="6"/>
    </row>
    <row r="33" spans="2:21" s="5" customFormat="1" ht="16.5" customHeight="1">
      <c r="B33" s="51"/>
      <c r="C33" s="408"/>
      <c r="D33" s="568"/>
      <c r="E33" s="568"/>
      <c r="F33" s="569"/>
      <c r="G33" s="140">
        <f t="shared" si="0"/>
        <v>9.43</v>
      </c>
      <c r="H33" s="570"/>
      <c r="I33" s="166"/>
      <c r="J33" s="571">
        <f t="shared" si="1"/>
      </c>
      <c r="K33" s="572">
        <f t="shared" si="2"/>
      </c>
      <c r="L33" s="322"/>
      <c r="M33" s="168">
        <f t="shared" si="3"/>
      </c>
      <c r="N33" s="573">
        <f t="shared" si="4"/>
        <v>40</v>
      </c>
      <c r="O33" s="574" t="str">
        <f t="shared" si="5"/>
        <v>--</v>
      </c>
      <c r="P33" s="575" t="str">
        <f t="shared" si="6"/>
        <v>--</v>
      </c>
      <c r="Q33" s="576" t="str">
        <f t="shared" si="7"/>
        <v>--</v>
      </c>
      <c r="R33" s="176" t="str">
        <f t="shared" si="8"/>
        <v>--</v>
      </c>
      <c r="S33" s="168">
        <f t="shared" si="9"/>
      </c>
      <c r="T33" s="577">
        <f t="shared" si="10"/>
      </c>
      <c r="U33" s="6"/>
    </row>
    <row r="34" spans="2:21" s="5" customFormat="1" ht="16.5" customHeight="1">
      <c r="B34" s="51"/>
      <c r="C34" s="171"/>
      <c r="D34" s="568"/>
      <c r="E34" s="568"/>
      <c r="F34" s="569"/>
      <c r="G34" s="140">
        <f t="shared" si="0"/>
        <v>9.43</v>
      </c>
      <c r="H34" s="570"/>
      <c r="I34" s="166"/>
      <c r="J34" s="571">
        <f t="shared" si="1"/>
      </c>
      <c r="K34" s="572">
        <f t="shared" si="2"/>
      </c>
      <c r="L34" s="322"/>
      <c r="M34" s="168">
        <f t="shared" si="3"/>
      </c>
      <c r="N34" s="573">
        <f t="shared" si="4"/>
        <v>40</v>
      </c>
      <c r="O34" s="574" t="str">
        <f t="shared" si="5"/>
        <v>--</v>
      </c>
      <c r="P34" s="575" t="str">
        <f t="shared" si="6"/>
        <v>--</v>
      </c>
      <c r="Q34" s="576" t="str">
        <f t="shared" si="7"/>
        <v>--</v>
      </c>
      <c r="R34" s="176" t="str">
        <f t="shared" si="8"/>
        <v>--</v>
      </c>
      <c r="S34" s="168">
        <f t="shared" si="9"/>
      </c>
      <c r="T34" s="577">
        <f t="shared" si="10"/>
      </c>
      <c r="U34" s="6"/>
    </row>
    <row r="35" spans="2:21" s="5" customFormat="1" ht="16.5" customHeight="1">
      <c r="B35" s="51"/>
      <c r="C35" s="408"/>
      <c r="D35" s="568"/>
      <c r="E35" s="568"/>
      <c r="F35" s="569"/>
      <c r="G35" s="140">
        <f t="shared" si="0"/>
        <v>9.43</v>
      </c>
      <c r="H35" s="570"/>
      <c r="I35" s="166"/>
      <c r="J35" s="571">
        <f t="shared" si="1"/>
      </c>
      <c r="K35" s="572">
        <f t="shared" si="2"/>
      </c>
      <c r="L35" s="322"/>
      <c r="M35" s="168">
        <f t="shared" si="3"/>
      </c>
      <c r="N35" s="573">
        <f t="shared" si="4"/>
        <v>40</v>
      </c>
      <c r="O35" s="574" t="str">
        <f t="shared" si="5"/>
        <v>--</v>
      </c>
      <c r="P35" s="575" t="str">
        <f t="shared" si="6"/>
        <v>--</v>
      </c>
      <c r="Q35" s="576" t="str">
        <f t="shared" si="7"/>
        <v>--</v>
      </c>
      <c r="R35" s="176" t="str">
        <f t="shared" si="8"/>
        <v>--</v>
      </c>
      <c r="S35" s="168">
        <f t="shared" si="9"/>
      </c>
      <c r="T35" s="577">
        <f t="shared" si="10"/>
      </c>
      <c r="U35" s="6"/>
    </row>
    <row r="36" spans="2:21" s="5" customFormat="1" ht="16.5" customHeight="1">
      <c r="B36" s="51"/>
      <c r="C36" s="171"/>
      <c r="D36" s="568"/>
      <c r="E36" s="568"/>
      <c r="F36" s="569"/>
      <c r="G36" s="140">
        <f t="shared" si="0"/>
        <v>9.43</v>
      </c>
      <c r="H36" s="570"/>
      <c r="I36" s="166"/>
      <c r="J36" s="571">
        <f t="shared" si="1"/>
      </c>
      <c r="K36" s="572">
        <f t="shared" si="2"/>
      </c>
      <c r="L36" s="322"/>
      <c r="M36" s="168">
        <f t="shared" si="3"/>
      </c>
      <c r="N36" s="573">
        <f t="shared" si="4"/>
        <v>40</v>
      </c>
      <c r="O36" s="574" t="str">
        <f t="shared" si="5"/>
        <v>--</v>
      </c>
      <c r="P36" s="575" t="str">
        <f t="shared" si="6"/>
        <v>--</v>
      </c>
      <c r="Q36" s="576" t="str">
        <f t="shared" si="7"/>
        <v>--</v>
      </c>
      <c r="R36" s="176" t="str">
        <f t="shared" si="8"/>
        <v>--</v>
      </c>
      <c r="S36" s="168">
        <f t="shared" si="9"/>
      </c>
      <c r="T36" s="577">
        <f t="shared" si="10"/>
      </c>
      <c r="U36" s="6"/>
    </row>
    <row r="37" spans="2:21" s="5" customFormat="1" ht="16.5" customHeight="1">
      <c r="B37" s="51"/>
      <c r="C37" s="408"/>
      <c r="D37" s="568"/>
      <c r="E37" s="568"/>
      <c r="F37" s="569"/>
      <c r="G37" s="140">
        <f t="shared" si="0"/>
        <v>9.43</v>
      </c>
      <c r="H37" s="570"/>
      <c r="I37" s="166"/>
      <c r="J37" s="571">
        <f t="shared" si="1"/>
      </c>
      <c r="K37" s="572">
        <f t="shared" si="2"/>
      </c>
      <c r="L37" s="322"/>
      <c r="M37" s="168">
        <f t="shared" si="3"/>
      </c>
      <c r="N37" s="573">
        <f t="shared" si="4"/>
        <v>40</v>
      </c>
      <c r="O37" s="574" t="str">
        <f t="shared" si="5"/>
        <v>--</v>
      </c>
      <c r="P37" s="575" t="str">
        <f t="shared" si="6"/>
        <v>--</v>
      </c>
      <c r="Q37" s="576" t="str">
        <f t="shared" si="7"/>
        <v>--</v>
      </c>
      <c r="R37" s="176" t="str">
        <f t="shared" si="8"/>
        <v>--</v>
      </c>
      <c r="S37" s="168">
        <f t="shared" si="9"/>
      </c>
      <c r="T37" s="577">
        <f t="shared" si="10"/>
      </c>
      <c r="U37" s="6"/>
    </row>
    <row r="38" spans="2:21" s="5" customFormat="1" ht="16.5" customHeight="1">
      <c r="B38" s="51"/>
      <c r="C38" s="171"/>
      <c r="D38" s="568"/>
      <c r="E38" s="568"/>
      <c r="F38" s="569"/>
      <c r="G38" s="140">
        <f t="shared" si="0"/>
        <v>9.43</v>
      </c>
      <c r="H38" s="570"/>
      <c r="I38" s="166"/>
      <c r="J38" s="571">
        <f t="shared" si="1"/>
      </c>
      <c r="K38" s="572">
        <f t="shared" si="2"/>
      </c>
      <c r="L38" s="322"/>
      <c r="M38" s="168">
        <f t="shared" si="3"/>
      </c>
      <c r="N38" s="573">
        <f t="shared" si="4"/>
        <v>40</v>
      </c>
      <c r="O38" s="574" t="str">
        <f t="shared" si="5"/>
        <v>--</v>
      </c>
      <c r="P38" s="575" t="str">
        <f t="shared" si="6"/>
        <v>--</v>
      </c>
      <c r="Q38" s="576" t="str">
        <f t="shared" si="7"/>
        <v>--</v>
      </c>
      <c r="R38" s="176" t="str">
        <f t="shared" si="8"/>
        <v>--</v>
      </c>
      <c r="S38" s="168">
        <f t="shared" si="9"/>
      </c>
      <c r="T38" s="577">
        <f t="shared" si="10"/>
      </c>
      <c r="U38" s="6"/>
    </row>
    <row r="39" spans="2:21" s="5" customFormat="1" ht="16.5" customHeight="1">
      <c r="B39" s="51"/>
      <c r="C39" s="408"/>
      <c r="D39" s="568"/>
      <c r="E39" s="568"/>
      <c r="F39" s="569"/>
      <c r="G39" s="140">
        <f t="shared" si="0"/>
        <v>9.43</v>
      </c>
      <c r="H39" s="570"/>
      <c r="I39" s="166"/>
      <c r="J39" s="571">
        <f t="shared" si="1"/>
      </c>
      <c r="K39" s="572">
        <f t="shared" si="2"/>
      </c>
      <c r="L39" s="322"/>
      <c r="M39" s="168">
        <f t="shared" si="3"/>
      </c>
      <c r="N39" s="573">
        <f t="shared" si="4"/>
        <v>40</v>
      </c>
      <c r="O39" s="574" t="str">
        <f t="shared" si="5"/>
        <v>--</v>
      </c>
      <c r="P39" s="575" t="str">
        <f t="shared" si="6"/>
        <v>--</v>
      </c>
      <c r="Q39" s="576" t="str">
        <f t="shared" si="7"/>
        <v>--</v>
      </c>
      <c r="R39" s="176" t="str">
        <f t="shared" si="8"/>
        <v>--</v>
      </c>
      <c r="S39" s="168">
        <f t="shared" si="9"/>
      </c>
      <c r="T39" s="577">
        <f t="shared" si="10"/>
      </c>
      <c r="U39" s="6"/>
    </row>
    <row r="40" spans="2:21" s="5" customFormat="1" ht="16.5" customHeight="1">
      <c r="B40" s="51"/>
      <c r="C40" s="171"/>
      <c r="D40" s="568"/>
      <c r="E40" s="568"/>
      <c r="F40" s="569"/>
      <c r="G40" s="140">
        <f t="shared" si="0"/>
        <v>9.43</v>
      </c>
      <c r="H40" s="570"/>
      <c r="I40" s="166"/>
      <c r="J40" s="571">
        <f t="shared" si="1"/>
      </c>
      <c r="K40" s="572">
        <f t="shared" si="2"/>
      </c>
      <c r="L40" s="322"/>
      <c r="M40" s="168">
        <f t="shared" si="3"/>
      </c>
      <c r="N40" s="573">
        <f t="shared" si="4"/>
        <v>40</v>
      </c>
      <c r="O40" s="574" t="str">
        <f t="shared" si="5"/>
        <v>--</v>
      </c>
      <c r="P40" s="575" t="str">
        <f t="shared" si="6"/>
        <v>--</v>
      </c>
      <c r="Q40" s="576" t="str">
        <f t="shared" si="7"/>
        <v>--</v>
      </c>
      <c r="R40" s="176" t="str">
        <f t="shared" si="8"/>
        <v>--</v>
      </c>
      <c r="S40" s="168">
        <f t="shared" si="9"/>
      </c>
      <c r="T40" s="577">
        <f t="shared" si="10"/>
      </c>
      <c r="U40" s="6"/>
    </row>
    <row r="41" spans="2:21" s="5" customFormat="1" ht="16.5" customHeight="1">
      <c r="B41" s="51"/>
      <c r="C41" s="408"/>
      <c r="D41" s="568"/>
      <c r="E41" s="568"/>
      <c r="F41" s="569"/>
      <c r="G41" s="140">
        <f t="shared" si="0"/>
        <v>9.43</v>
      </c>
      <c r="H41" s="570"/>
      <c r="I41" s="166"/>
      <c r="J41" s="571">
        <f t="shared" si="1"/>
      </c>
      <c r="K41" s="572">
        <f t="shared" si="2"/>
      </c>
      <c r="L41" s="322"/>
      <c r="M41" s="168">
        <f t="shared" si="3"/>
      </c>
      <c r="N41" s="573">
        <f t="shared" si="4"/>
        <v>40</v>
      </c>
      <c r="O41" s="574" t="str">
        <f t="shared" si="5"/>
        <v>--</v>
      </c>
      <c r="P41" s="575" t="str">
        <f t="shared" si="6"/>
        <v>--</v>
      </c>
      <c r="Q41" s="576" t="str">
        <f t="shared" si="7"/>
        <v>--</v>
      </c>
      <c r="R41" s="176" t="str">
        <f t="shared" si="8"/>
        <v>--</v>
      </c>
      <c r="S41" s="168">
        <f t="shared" si="9"/>
      </c>
      <c r="T41" s="577">
        <f t="shared" si="10"/>
      </c>
      <c r="U41" s="6"/>
    </row>
    <row r="42" spans="2:21" s="5" customFormat="1" ht="16.5" customHeight="1" thickBot="1">
      <c r="B42" s="51"/>
      <c r="C42" s="171"/>
      <c r="D42" s="161"/>
      <c r="E42" s="161"/>
      <c r="F42" s="339"/>
      <c r="G42" s="141"/>
      <c r="H42" s="578"/>
      <c r="I42" s="578"/>
      <c r="J42" s="579"/>
      <c r="K42" s="579"/>
      <c r="L42" s="578"/>
      <c r="M42" s="167"/>
      <c r="N42" s="580"/>
      <c r="O42" s="581"/>
      <c r="P42" s="582"/>
      <c r="Q42" s="583"/>
      <c r="R42" s="178"/>
      <c r="S42" s="167"/>
      <c r="T42" s="584"/>
      <c r="U42" s="6"/>
    </row>
    <row r="43" spans="2:21" s="5" customFormat="1" ht="16.5" customHeight="1" thickBot="1" thickTop="1">
      <c r="B43" s="51"/>
      <c r="C43" s="131" t="s">
        <v>25</v>
      </c>
      <c r="D43" s="132" t="s">
        <v>304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585">
        <f>SUM(O20:O42)</f>
        <v>1110.854</v>
      </c>
      <c r="P43" s="586">
        <f>SUM(P20:P42)</f>
        <v>0</v>
      </c>
      <c r="Q43" s="587">
        <f>SUM(Q20:Q42)</f>
        <v>0</v>
      </c>
      <c r="R43" s="588">
        <f>SUM(R20:R42)</f>
        <v>0</v>
      </c>
      <c r="S43" s="589"/>
      <c r="T43" s="102">
        <f>ROUND(SUM(T20:T42),2)</f>
        <v>1110.85</v>
      </c>
      <c r="U43" s="6"/>
    </row>
    <row r="44" spans="2:21" s="137" customFormat="1" ht="13.5" thickTop="1">
      <c r="B44" s="136"/>
      <c r="C44" s="133"/>
      <c r="D44" s="134"/>
      <c r="E44"/>
      <c r="F44" s="135"/>
      <c r="G44" s="135"/>
      <c r="H44" s="135"/>
      <c r="I44" s="135"/>
      <c r="J44" s="135"/>
      <c r="K44" s="135"/>
      <c r="L44" s="135"/>
      <c r="M44" s="135"/>
      <c r="N44" s="135"/>
      <c r="O44" s="469"/>
      <c r="P44" s="469"/>
      <c r="Q44" s="469"/>
      <c r="R44" s="469"/>
      <c r="S44" s="469"/>
      <c r="T44" s="253"/>
      <c r="U44" s="590"/>
    </row>
    <row r="45" spans="2:21" s="5" customFormat="1" ht="16.5" customHeight="1" thickBot="1"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7"/>
    </row>
    <row r="46" spans="21:23" ht="16.5" customHeight="1" thickTop="1">
      <c r="U46" s="193"/>
      <c r="V46" s="193"/>
      <c r="W46" s="193"/>
    </row>
    <row r="47" spans="21:23" ht="16.5" customHeight="1">
      <c r="U47" s="193"/>
      <c r="V47" s="193"/>
      <c r="W47" s="193"/>
    </row>
    <row r="48" spans="21:23" ht="16.5" customHeight="1">
      <c r="U48" s="193"/>
      <c r="V48" s="193"/>
      <c r="W48" s="193"/>
    </row>
    <row r="49" spans="21:23" ht="16.5" customHeight="1">
      <c r="U49" s="193"/>
      <c r="V49" s="193"/>
      <c r="W49" s="193"/>
    </row>
    <row r="50" spans="21:23" ht="16.5" customHeight="1">
      <c r="U50" s="193"/>
      <c r="V50" s="193"/>
      <c r="W50" s="193"/>
    </row>
    <row r="51" spans="4:23" ht="16.5" customHeight="1"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</row>
    <row r="52" spans="4:23" ht="16.5" customHeight="1"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</row>
    <row r="53" spans="4:23" ht="16.5" customHeight="1"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</row>
    <row r="54" spans="4:23" ht="16.5" customHeight="1"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</row>
    <row r="55" spans="4:23" ht="16.5" customHeight="1"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</row>
    <row r="56" spans="4:23" ht="16.5" customHeight="1"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</row>
    <row r="57" spans="4:23" ht="16.5" customHeight="1"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</row>
    <row r="58" spans="4:23" ht="16.5" customHeight="1"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</row>
    <row r="59" spans="4:23" ht="16.5" customHeight="1"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</row>
    <row r="60" spans="4:23" ht="16.5" customHeight="1"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</row>
    <row r="61" spans="4:23" ht="16.5" customHeight="1"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</row>
    <row r="62" spans="4:23" ht="16.5" customHeight="1"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</row>
    <row r="63" spans="4:23" ht="16.5" customHeight="1"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</row>
    <row r="64" spans="4:23" ht="16.5" customHeight="1"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</row>
    <row r="65" spans="4:23" ht="16.5" customHeight="1"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</row>
    <row r="66" spans="4:23" ht="16.5" customHeight="1"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</row>
    <row r="67" spans="4:23" ht="16.5" customHeight="1"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</row>
    <row r="68" spans="4:23" ht="16.5" customHeight="1"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</row>
    <row r="69" spans="4:23" ht="16.5" customHeight="1"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</row>
    <row r="70" spans="4:23" ht="16.5" customHeight="1"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</row>
    <row r="71" spans="4:23" ht="16.5" customHeight="1"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</row>
    <row r="72" spans="4:23" ht="16.5" customHeight="1"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</row>
    <row r="73" spans="4:23" ht="16.5" customHeight="1"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</row>
    <row r="74" spans="4:23" ht="16.5" customHeight="1"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</row>
    <row r="75" spans="4:23" ht="16.5" customHeight="1"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</row>
    <row r="76" spans="4:23" ht="16.5" customHeight="1"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</row>
    <row r="77" spans="4:23" ht="16.5" customHeight="1"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</row>
    <row r="78" spans="4:23" ht="16.5" customHeight="1"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</row>
    <row r="79" spans="4:23" ht="16.5" customHeight="1"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</row>
    <row r="80" spans="4:23" ht="16.5" customHeight="1"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</row>
    <row r="81" spans="4:23" ht="16.5" customHeight="1"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</row>
    <row r="82" spans="4:23" ht="16.5" customHeight="1"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</row>
    <row r="83" spans="4:23" ht="16.5" customHeight="1"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</row>
    <row r="84" spans="4:23" ht="16.5" customHeight="1"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</row>
    <row r="85" spans="4:23" ht="16.5" customHeight="1"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</row>
    <row r="86" spans="4:23" ht="16.5" customHeight="1"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</row>
    <row r="87" spans="4:23" ht="16.5" customHeight="1"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</row>
    <row r="88" spans="4:23" ht="16.5" customHeight="1"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</row>
    <row r="89" spans="4:23" ht="16.5" customHeight="1"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</row>
    <row r="90" spans="4:23" ht="16.5" customHeight="1"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</row>
    <row r="91" spans="4:23" ht="16.5" customHeight="1"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</row>
    <row r="92" spans="4:23" ht="16.5" customHeight="1"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</row>
    <row r="93" spans="4:23" ht="16.5" customHeight="1"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</row>
    <row r="94" spans="4:23" ht="16.5" customHeight="1"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</row>
    <row r="95" spans="4:23" ht="16.5" customHeight="1"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</row>
    <row r="96" spans="4:23" ht="16.5" customHeight="1"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</row>
    <row r="97" spans="4:23" ht="16.5" customHeight="1"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</row>
    <row r="98" spans="4:23" ht="16.5" customHeight="1"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</row>
    <row r="99" spans="4:23" ht="16.5" customHeight="1"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</row>
    <row r="100" spans="4:23" ht="16.5" customHeight="1"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</row>
    <row r="101" spans="4:23" ht="16.5" customHeight="1"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</row>
    <row r="102" spans="4:23" ht="16.5" customHeight="1"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</row>
    <row r="103" spans="4:23" ht="16.5" customHeight="1"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</row>
    <row r="104" spans="4:23" ht="16.5" customHeight="1"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</row>
    <row r="105" spans="4:23" ht="16.5" customHeight="1"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</row>
    <row r="106" spans="4:23" ht="16.5" customHeight="1"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</row>
    <row r="107" spans="4:23" ht="16.5" customHeight="1"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</row>
    <row r="108" spans="4:23" ht="16.5" customHeight="1"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</row>
    <row r="109" spans="4:23" ht="16.5" customHeight="1"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</row>
    <row r="110" spans="4:23" ht="16.5" customHeight="1"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</row>
    <row r="111" spans="4:23" ht="16.5" customHeight="1"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</row>
    <row r="112" spans="4:23" ht="16.5" customHeight="1"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</row>
    <row r="113" spans="4:23" ht="16.5" customHeight="1"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</row>
    <row r="114" spans="4:23" ht="16.5" customHeight="1"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</row>
    <row r="115" spans="4:23" ht="16.5" customHeight="1"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</row>
    <row r="116" spans="4:23" ht="16.5" customHeight="1"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</row>
    <row r="117" spans="4:23" ht="16.5" customHeight="1"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</row>
    <row r="118" spans="4:23" ht="16.5" customHeight="1"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</row>
    <row r="119" spans="4:23" ht="16.5" customHeight="1"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</row>
    <row r="120" spans="4:23" ht="16.5" customHeight="1"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</row>
    <row r="121" spans="4:23" ht="16.5" customHeight="1"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</row>
    <row r="122" spans="4:23" ht="16.5" customHeight="1"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</row>
    <row r="123" spans="4:23" ht="16.5" customHeight="1"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</row>
    <row r="124" spans="4:23" ht="16.5" customHeight="1"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</row>
    <row r="125" spans="4:23" ht="16.5" customHeight="1"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</row>
    <row r="126" spans="4:23" ht="16.5" customHeight="1"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</row>
    <row r="127" spans="4:23" ht="16.5" customHeight="1"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</row>
    <row r="128" spans="4:23" ht="16.5" customHeight="1"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</row>
    <row r="129" spans="4:23" ht="16.5" customHeight="1"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</row>
    <row r="130" spans="4:23" ht="16.5" customHeight="1"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</row>
    <row r="131" spans="4:23" ht="16.5" customHeight="1"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</row>
    <row r="132" spans="4:23" ht="16.5" customHeight="1"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</row>
    <row r="133" spans="4:23" ht="16.5" customHeight="1"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</row>
    <row r="134" spans="4:23" ht="16.5" customHeight="1"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</row>
    <row r="135" spans="4:23" ht="16.5" customHeight="1"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</row>
    <row r="136" spans="4:23" ht="16.5" customHeight="1"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</row>
    <row r="137" spans="4:23" ht="16.5" customHeight="1"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</row>
    <row r="138" spans="4:23" ht="16.5" customHeight="1"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</row>
    <row r="139" spans="4:23" ht="16.5" customHeight="1"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</row>
    <row r="140" spans="4:23" ht="16.5" customHeight="1"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</row>
    <row r="141" spans="4:23" ht="16.5" customHeight="1"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</row>
    <row r="142" spans="4:23" ht="16.5" customHeight="1"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</row>
    <row r="143" spans="4:23" ht="16.5" customHeight="1"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</row>
    <row r="144" spans="4:23" ht="16.5" customHeight="1"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</row>
    <row r="145" spans="4:23" ht="16.5" customHeight="1"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</row>
    <row r="146" spans="4:23" ht="16.5" customHeight="1"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</row>
    <row r="147" spans="4:23" ht="16.5" customHeight="1"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</row>
    <row r="148" spans="4:23" ht="16.5" customHeight="1"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</row>
    <row r="149" spans="4:23" ht="16.5" customHeight="1"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</row>
    <row r="150" spans="4:23" ht="16.5" customHeight="1"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</row>
    <row r="151" spans="4:23" ht="16.5" customHeight="1"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</row>
    <row r="152" spans="4:23" ht="16.5" customHeight="1"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</row>
    <row r="153" spans="4:23" ht="16.5" customHeight="1"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</row>
    <row r="154" spans="4:23" ht="16.5" customHeight="1"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</row>
    <row r="155" spans="4:23" ht="16.5" customHeight="1"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</row>
    <row r="156" spans="4:23" ht="16.5" customHeight="1"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</row>
    <row r="157" spans="4:23" ht="16.5" customHeight="1"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</row>
    <row r="158" spans="4:23" ht="16.5" customHeight="1"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AG95"/>
  <sheetViews>
    <sheetView zoomScale="75" zoomScaleNormal="75" workbookViewId="0" topLeftCell="C10">
      <selection activeCell="K49" sqref="K4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30.00390625" style="0" customWidth="1"/>
    <col min="5" max="5" width="23.7109375" style="0" customWidth="1"/>
    <col min="6" max="6" width="10.8515625" style="0" customWidth="1"/>
    <col min="7" max="7" width="25.140625" style="0" customWidth="1"/>
    <col min="8" max="8" width="13.8515625" style="0" hidden="1" customWidth="1"/>
    <col min="9" max="9" width="18.7109375" style="0" hidden="1" customWidth="1"/>
    <col min="10" max="10" width="25.57421875" style="0" customWidth="1"/>
    <col min="11" max="11" width="16.421875" style="0" customWidth="1"/>
    <col min="12" max="13" width="10.7109375" style="0" customWidth="1"/>
    <col min="14" max="14" width="9.00390625" style="0" customWidth="1"/>
    <col min="15" max="15" width="9.8515625" style="0" customWidth="1"/>
    <col min="16" max="16" width="6.00390625" style="0" customWidth="1"/>
    <col min="17" max="17" width="6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13.57421875" style="0" customWidth="1"/>
    <col min="29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58"/>
    </row>
    <row r="2" spans="1:23" ht="27" customHeight="1">
      <c r="A2" s="9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681" customFormat="1" ht="30.75">
      <c r="A3" s="678"/>
      <c r="B3" s="679" t="str">
        <f>'TOT-0907'!B2</f>
        <v>ANEXO IV al Memorandum D.T.E.E. N°  1955 /2009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AB3" s="680"/>
      <c r="AC3" s="680"/>
      <c r="AD3" s="680"/>
    </row>
    <row r="4" spans="1:2" s="26" customFormat="1" ht="11.25">
      <c r="A4" s="24" t="s">
        <v>2</v>
      </c>
      <c r="B4" s="24"/>
    </row>
    <row r="5" spans="1:2" s="26" customFormat="1" ht="11.25">
      <c r="A5" s="24" t="s">
        <v>3</v>
      </c>
      <c r="B5" s="24"/>
    </row>
    <row r="6" s="26" customFormat="1" ht="12" thickBot="1">
      <c r="A6" s="24"/>
    </row>
    <row r="7" spans="1:30" ht="16.5" customHeight="1" thickTop="1">
      <c r="A7" s="5"/>
      <c r="B7" s="70"/>
      <c r="C7" s="71"/>
      <c r="D7" s="71"/>
      <c r="E7" s="259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196"/>
      <c r="X7" s="196"/>
      <c r="Y7" s="196"/>
      <c r="Z7" s="196"/>
      <c r="AA7" s="196"/>
      <c r="AB7" s="196"/>
      <c r="AC7" s="196"/>
      <c r="AD7" s="95"/>
    </row>
    <row r="8" spans="1:30" ht="20.25">
      <c r="A8" s="5"/>
      <c r="B8" s="51"/>
      <c r="C8" s="4"/>
      <c r="D8" s="192" t="s">
        <v>100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8"/>
      <c r="Q8" s="78"/>
      <c r="R8" s="4"/>
      <c r="S8" s="4"/>
      <c r="T8" s="4"/>
      <c r="U8" s="4"/>
      <c r="V8" s="4"/>
      <c r="AD8" s="18"/>
    </row>
    <row r="9" spans="1:30" ht="16.5" customHeight="1">
      <c r="A9" s="5"/>
      <c r="B9" s="5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D9" s="18"/>
    </row>
    <row r="10" spans="2:30" s="37" customFormat="1" ht="20.25">
      <c r="B10" s="45"/>
      <c r="C10" s="44"/>
      <c r="D10" s="192" t="s">
        <v>101</v>
      </c>
      <c r="E10" s="44"/>
      <c r="F10" s="44"/>
      <c r="G10" s="44"/>
      <c r="H10" s="44"/>
      <c r="N10" s="44"/>
      <c r="O10" s="44"/>
      <c r="P10" s="261"/>
      <c r="Q10" s="261"/>
      <c r="R10" s="44"/>
      <c r="S10" s="44"/>
      <c r="T10" s="44"/>
      <c r="U10" s="44"/>
      <c r="V10" s="44"/>
      <c r="W10"/>
      <c r="X10" s="44"/>
      <c r="Y10" s="44"/>
      <c r="Z10" s="44"/>
      <c r="AA10" s="44"/>
      <c r="AB10" s="44"/>
      <c r="AC10"/>
      <c r="AD10" s="262"/>
    </row>
    <row r="11" spans="1:30" ht="16.5" customHeight="1">
      <c r="A11" s="5"/>
      <c r="B11" s="5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AD11" s="18"/>
    </row>
    <row r="12" spans="2:30" s="37" customFormat="1" ht="20.25">
      <c r="B12" s="45"/>
      <c r="C12" s="44"/>
      <c r="D12" s="192" t="s">
        <v>102</v>
      </c>
      <c r="E12" s="44"/>
      <c r="F12" s="44"/>
      <c r="G12" s="44"/>
      <c r="H12" s="44"/>
      <c r="N12" s="44"/>
      <c r="O12" s="44"/>
      <c r="P12" s="261"/>
      <c r="Q12" s="261"/>
      <c r="R12" s="44"/>
      <c r="S12" s="44"/>
      <c r="T12" s="44"/>
      <c r="U12" s="44"/>
      <c r="V12" s="44"/>
      <c r="W12"/>
      <c r="X12" s="44"/>
      <c r="Y12" s="44"/>
      <c r="Z12" s="44"/>
      <c r="AA12" s="44"/>
      <c r="AB12" s="44"/>
      <c r="AC12"/>
      <c r="AD12" s="262"/>
    </row>
    <row r="13" spans="1:30" ht="16.5" customHeight="1">
      <c r="A13" s="5"/>
      <c r="B13" s="51"/>
      <c r="C13" s="4"/>
      <c r="D13" s="4"/>
      <c r="E13" s="5"/>
      <c r="F13" s="5"/>
      <c r="G13" s="5"/>
      <c r="H13" s="5"/>
      <c r="I13" s="73"/>
      <c r="J13" s="73"/>
      <c r="K13" s="73"/>
      <c r="L13" s="73"/>
      <c r="M13" s="73"/>
      <c r="N13" s="73"/>
      <c r="O13" s="73"/>
      <c r="P13" s="73"/>
      <c r="Q13" s="73"/>
      <c r="R13" s="4"/>
      <c r="S13" s="4"/>
      <c r="T13" s="4"/>
      <c r="U13" s="4"/>
      <c r="V13" s="4"/>
      <c r="AD13" s="18"/>
    </row>
    <row r="14" spans="2:30" s="37" customFormat="1" ht="19.5">
      <c r="B14" s="38" t="str">
        <f>'TOT-0907'!B14</f>
        <v>Desde el 01 al 30 de septiembre de 2007</v>
      </c>
      <c r="C14" s="39"/>
      <c r="D14" s="41"/>
      <c r="E14" s="41"/>
      <c r="F14" s="41"/>
      <c r="G14" s="41"/>
      <c r="H14" s="41"/>
      <c r="I14" s="42"/>
      <c r="J14" s="190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130"/>
      <c r="V14" s="130"/>
      <c r="W14"/>
      <c r="X14" s="682"/>
      <c r="Y14" s="682"/>
      <c r="Z14" s="682"/>
      <c r="AA14" s="682"/>
      <c r="AB14" s="130"/>
      <c r="AC14" s="190"/>
      <c r="AD14" s="43"/>
    </row>
    <row r="15" spans="1:30" ht="16.5" customHeight="1">
      <c r="A15" s="5"/>
      <c r="B15" s="51"/>
      <c r="C15" s="4"/>
      <c r="D15" s="4"/>
      <c r="E15" s="67"/>
      <c r="F15" s="67"/>
      <c r="G15" s="4"/>
      <c r="H15" s="4"/>
      <c r="I15" s="4"/>
      <c r="J15" s="683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4"/>
      <c r="AD15" s="18"/>
    </row>
    <row r="16" spans="1:30" ht="16.5" customHeight="1">
      <c r="A16" s="5"/>
      <c r="B16" s="51"/>
      <c r="C16" s="4"/>
      <c r="D16" s="4"/>
      <c r="E16" s="67"/>
      <c r="F16" s="67"/>
      <c r="G16" s="4"/>
      <c r="H16" s="4"/>
      <c r="I16" s="153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8"/>
    </row>
    <row r="17" spans="1:30" ht="16.5" customHeight="1">
      <c r="A17" s="5"/>
      <c r="B17" s="51"/>
      <c r="C17" s="4"/>
      <c r="D17" s="4"/>
      <c r="E17" s="67"/>
      <c r="F17" s="67"/>
      <c r="G17" s="4"/>
      <c r="H17" s="4"/>
      <c r="I17" s="153"/>
      <c r="J17" s="4"/>
      <c r="K17" s="1"/>
      <c r="M17" s="4"/>
      <c r="N17" s="5"/>
      <c r="O17" s="5"/>
      <c r="P17" s="4"/>
      <c r="Q17" s="4"/>
      <c r="R17" s="4"/>
      <c r="S17" s="4"/>
      <c r="T17" s="4"/>
      <c r="U17" s="4"/>
      <c r="V17" s="4"/>
      <c r="AD17" s="18"/>
    </row>
    <row r="18" spans="1:30" ht="16.5" customHeight="1" thickBot="1">
      <c r="A18" s="5"/>
      <c r="B18" s="51"/>
      <c r="C18" s="180" t="s">
        <v>103</v>
      </c>
      <c r="D18" s="55" t="s">
        <v>104</v>
      </c>
      <c r="E18" s="67"/>
      <c r="F18" s="67"/>
      <c r="G18" s="4"/>
      <c r="H18" s="4"/>
      <c r="I18" s="4"/>
      <c r="J18" s="683"/>
      <c r="K18" s="4"/>
      <c r="L18" s="4"/>
      <c r="M18" s="4"/>
      <c r="N18" s="5"/>
      <c r="O18" s="5"/>
      <c r="P18" s="4"/>
      <c r="Q18" s="4"/>
      <c r="R18" s="4"/>
      <c r="S18" s="4"/>
      <c r="T18" s="4"/>
      <c r="U18" s="4"/>
      <c r="V18" s="4"/>
      <c r="AD18" s="18"/>
    </row>
    <row r="19" spans="2:30" s="33" customFormat="1" ht="16.5" customHeight="1" thickBot="1" thickTop="1">
      <c r="B19" s="684"/>
      <c r="C19" s="34"/>
      <c r="D19" s="120" t="s">
        <v>266</v>
      </c>
      <c r="E19" s="1049"/>
      <c r="F19" s="386">
        <v>89.969</v>
      </c>
      <c r="G19" s="690"/>
      <c r="H19" s="34"/>
      <c r="I19" s="34"/>
      <c r="J19" s="688"/>
      <c r="K19" s="34"/>
      <c r="L19" s="34"/>
      <c r="M19" s="34"/>
      <c r="P19" s="34"/>
      <c r="Q19" s="34"/>
      <c r="R19" s="34"/>
      <c r="S19" s="34"/>
      <c r="T19" s="34"/>
      <c r="U19" s="34"/>
      <c r="V19" s="34"/>
      <c r="W19"/>
      <c r="AD19" s="689"/>
    </row>
    <row r="20" spans="2:30" s="33" customFormat="1" ht="16.5" customHeight="1" thickBot="1" thickTop="1">
      <c r="B20" s="684"/>
      <c r="C20" s="34"/>
      <c r="D20" s="384" t="s">
        <v>78</v>
      </c>
      <c r="E20" s="1050"/>
      <c r="F20" s="386">
        <v>0.245</v>
      </c>
      <c r="G20" s="690"/>
      <c r="H20" s="34"/>
      <c r="I20" s="34"/>
      <c r="J20" s="692"/>
      <c r="K20" s="693" t="s">
        <v>41</v>
      </c>
      <c r="L20" s="892">
        <v>0.0065</v>
      </c>
      <c r="R20" s="34"/>
      <c r="S20" s="34"/>
      <c r="T20" s="34"/>
      <c r="U20" s="34"/>
      <c r="V20" s="34"/>
      <c r="W20"/>
      <c r="AD20" s="689"/>
    </row>
    <row r="21" spans="2:30" s="33" customFormat="1" ht="16.5" customHeight="1" thickBot="1" thickTop="1">
      <c r="B21" s="684"/>
      <c r="C21" s="34"/>
      <c r="D21" s="384" t="s">
        <v>267</v>
      </c>
      <c r="E21" s="1051"/>
      <c r="F21" s="1052">
        <v>5678157</v>
      </c>
      <c r="G21" s="695"/>
      <c r="H21" s="34"/>
      <c r="I21" s="34"/>
      <c r="J21" s="34"/>
      <c r="K21" s="685" t="s">
        <v>39</v>
      </c>
      <c r="L21" s="687">
        <v>720</v>
      </c>
      <c r="M21" s="34" t="s">
        <v>40</v>
      </c>
      <c r="N21" s="34"/>
      <c r="O21" s="273"/>
      <c r="P21" s="274"/>
      <c r="Q21" s="4"/>
      <c r="R21" s="34"/>
      <c r="S21" s="34"/>
      <c r="T21" s="34"/>
      <c r="U21" s="34"/>
      <c r="V21" s="34"/>
      <c r="W21"/>
      <c r="AD21" s="689"/>
    </row>
    <row r="22" spans="2:30" s="33" customFormat="1" ht="16.5" customHeight="1" thickTop="1">
      <c r="B22" s="684"/>
      <c r="C22" s="34"/>
      <c r="D22" s="34"/>
      <c r="E22" s="696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/>
      <c r="AD22" s="689"/>
    </row>
    <row r="23" spans="1:30" ht="16.5" customHeight="1">
      <c r="A23" s="5"/>
      <c r="B23" s="51"/>
      <c r="C23" s="180" t="s">
        <v>107</v>
      </c>
      <c r="D23" s="3" t="s">
        <v>160</v>
      </c>
      <c r="I23" s="4"/>
      <c r="J23" s="33"/>
      <c r="O23" s="4"/>
      <c r="P23" s="4"/>
      <c r="Q23" s="4"/>
      <c r="R23" s="4"/>
      <c r="S23" s="4"/>
      <c r="T23" s="4"/>
      <c r="V23" s="4"/>
      <c r="X23" s="4"/>
      <c r="Y23" s="4"/>
      <c r="Z23" s="4"/>
      <c r="AA23" s="4"/>
      <c r="AB23" s="4"/>
      <c r="AC23" s="4"/>
      <c r="AD23" s="18"/>
    </row>
    <row r="24" spans="1:30" ht="10.5" customHeight="1" thickBot="1">
      <c r="A24" s="5"/>
      <c r="B24" s="51"/>
      <c r="C24" s="67"/>
      <c r="D24" s="3"/>
      <c r="I24" s="4"/>
      <c r="J24" s="33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8"/>
    </row>
    <row r="25" spans="2:30" s="33" customFormat="1" ht="16.5" customHeight="1" thickBot="1" thickTop="1">
      <c r="B25" s="684"/>
      <c r="C25" s="687"/>
      <c r="D25"/>
      <c r="E25"/>
      <c r="F25"/>
      <c r="G25"/>
      <c r="H25"/>
      <c r="I25"/>
      <c r="J25" s="697" t="s">
        <v>46</v>
      </c>
      <c r="K25" s="698">
        <f>F21*L20</f>
        <v>36908.0205</v>
      </c>
      <c r="L25"/>
      <c r="S25"/>
      <c r="T25"/>
      <c r="U25"/>
      <c r="W25"/>
      <c r="AD25" s="689"/>
    </row>
    <row r="26" spans="2:30" s="33" customFormat="1" ht="11.25" customHeight="1" thickTop="1">
      <c r="B26" s="684"/>
      <c r="C26" s="687"/>
      <c r="D26" s="34"/>
      <c r="E26" s="69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/>
      <c r="W26"/>
      <c r="AD26" s="689"/>
    </row>
    <row r="27" spans="1:30" ht="16.5" customHeight="1">
      <c r="A27" s="5"/>
      <c r="B27" s="51"/>
      <c r="C27" s="180" t="s">
        <v>108</v>
      </c>
      <c r="D27" s="3" t="s">
        <v>161</v>
      </c>
      <c r="E27" s="27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AD27" s="18"/>
    </row>
    <row r="28" spans="1:30" ht="21.75" customHeight="1" thickBot="1">
      <c r="A28" s="5"/>
      <c r="B28" s="51"/>
      <c r="C28" s="4"/>
      <c r="D28" s="4"/>
      <c r="E28" s="27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8"/>
    </row>
    <row r="29" spans="1:30" ht="13.5" customHeight="1" thickBot="1" thickTop="1">
      <c r="A29" s="33"/>
      <c r="B29" s="51"/>
      <c r="C29" s="687"/>
      <c r="D29" s="687"/>
      <c r="E29" s="767"/>
      <c r="F29" s="696"/>
      <c r="G29" s="768"/>
      <c r="H29" s="768"/>
      <c r="I29" s="769"/>
      <c r="J29" s="769"/>
      <c r="K29" s="769"/>
      <c r="L29" s="769"/>
      <c r="M29" s="769"/>
      <c r="N29" s="769"/>
      <c r="O29" s="770"/>
      <c r="P29" s="769"/>
      <c r="Q29" s="769"/>
      <c r="R29" s="779"/>
      <c r="S29" s="780"/>
      <c r="T29" s="781"/>
      <c r="U29" s="781"/>
      <c r="V29" s="781"/>
      <c r="W29" s="779"/>
      <c r="X29" s="779"/>
      <c r="Y29" s="779"/>
      <c r="Z29" s="779"/>
      <c r="AA29" s="779"/>
      <c r="AB29" s="782"/>
      <c r="AC29" s="783"/>
      <c r="AD29" s="337"/>
    </row>
    <row r="30" spans="1:33" s="5" customFormat="1" ht="33.75" customHeight="1" thickBot="1" thickTop="1">
      <c r="A30" s="91"/>
      <c r="B30" s="96"/>
      <c r="C30" s="127" t="s">
        <v>13</v>
      </c>
      <c r="D30" s="123" t="s">
        <v>28</v>
      </c>
      <c r="E30" s="122" t="s">
        <v>29</v>
      </c>
      <c r="F30" s="1053" t="s">
        <v>30</v>
      </c>
      <c r="G30" s="1054"/>
      <c r="H30" s="139" t="s">
        <v>16</v>
      </c>
      <c r="I30" s="784"/>
      <c r="J30" s="122" t="s">
        <v>17</v>
      </c>
      <c r="K30" s="122" t="s">
        <v>18</v>
      </c>
      <c r="L30" s="123" t="s">
        <v>31</v>
      </c>
      <c r="M30" s="123" t="s">
        <v>32</v>
      </c>
      <c r="N30" s="89" t="s">
        <v>111</v>
      </c>
      <c r="O30" s="122" t="s">
        <v>33</v>
      </c>
      <c r="P30" s="785" t="s">
        <v>34</v>
      </c>
      <c r="Q30" s="786"/>
      <c r="R30" s="139" t="s">
        <v>35</v>
      </c>
      <c r="S30" s="787" t="s">
        <v>20</v>
      </c>
      <c r="T30" s="788" t="s">
        <v>112</v>
      </c>
      <c r="U30" s="789"/>
      <c r="V30" s="790" t="s">
        <v>22</v>
      </c>
      <c r="W30" s="791"/>
      <c r="X30" s="792"/>
      <c r="Y30" s="792"/>
      <c r="Z30" s="792"/>
      <c r="AA30" s="793"/>
      <c r="AB30" s="144" t="s">
        <v>76</v>
      </c>
      <c r="AC30" s="125" t="s">
        <v>24</v>
      </c>
      <c r="AD30" s="18"/>
      <c r="AF30"/>
      <c r="AG30"/>
    </row>
    <row r="31" spans="1:30" ht="16.5" customHeight="1" thickTop="1">
      <c r="A31" s="5"/>
      <c r="B31" s="51"/>
      <c r="C31" s="10"/>
      <c r="D31" s="10"/>
      <c r="E31" s="10"/>
      <c r="F31" s="798"/>
      <c r="G31" s="1055"/>
      <c r="H31" s="795"/>
      <c r="I31" s="796"/>
      <c r="J31" s="10"/>
      <c r="K31" s="10"/>
      <c r="L31" s="10"/>
      <c r="M31" s="10"/>
      <c r="N31" s="10"/>
      <c r="O31" s="797"/>
      <c r="P31" s="798"/>
      <c r="Q31" s="799"/>
      <c r="R31" s="145"/>
      <c r="S31" s="800"/>
      <c r="T31" s="801"/>
      <c r="U31" s="802"/>
      <c r="V31" s="803"/>
      <c r="W31" s="804"/>
      <c r="X31" s="805"/>
      <c r="Y31" s="805"/>
      <c r="Z31" s="805"/>
      <c r="AA31" s="806"/>
      <c r="AB31" s="797"/>
      <c r="AC31" s="807"/>
      <c r="AD31" s="18"/>
    </row>
    <row r="32" spans="1:30" ht="16.5" customHeight="1">
      <c r="A32" s="5"/>
      <c r="B32" s="51"/>
      <c r="C32" s="10"/>
      <c r="D32" s="797"/>
      <c r="E32" s="1058"/>
      <c r="F32" s="798"/>
      <c r="G32" s="1059"/>
      <c r="H32" s="795"/>
      <c r="I32" s="796"/>
      <c r="J32" s="10"/>
      <c r="K32" s="1060"/>
      <c r="L32" s="10"/>
      <c r="M32" s="10"/>
      <c r="N32" s="10"/>
      <c r="O32" s="797"/>
      <c r="P32" s="798"/>
      <c r="Q32" s="799"/>
      <c r="R32" s="1061"/>
      <c r="S32" s="1062"/>
      <c r="T32" s="1063"/>
      <c r="U32" s="1064"/>
      <c r="V32" s="1065"/>
      <c r="W32" s="804"/>
      <c r="X32" s="805"/>
      <c r="Y32" s="805"/>
      <c r="Z32" s="805"/>
      <c r="AA32" s="806"/>
      <c r="AB32" s="797"/>
      <c r="AC32" s="807"/>
      <c r="AD32" s="18"/>
    </row>
    <row r="33" spans="1:30" ht="16.5" customHeight="1" thickBot="1">
      <c r="A33" s="5"/>
      <c r="B33" s="51"/>
      <c r="C33" s="10" t="s">
        <v>172</v>
      </c>
      <c r="D33" s="170" t="s">
        <v>212</v>
      </c>
      <c r="E33" s="170" t="s">
        <v>276</v>
      </c>
      <c r="F33" s="1152">
        <v>80</v>
      </c>
      <c r="G33" s="1153"/>
      <c r="H33" s="812">
        <f>F33*$F$20</f>
        <v>19.6</v>
      </c>
      <c r="I33" s="813"/>
      <c r="J33" s="232">
        <v>39345.35486111111</v>
      </c>
      <c r="K33" s="233">
        <v>39345.39861111111</v>
      </c>
      <c r="L33" s="426">
        <f>IF(D33="","",(K33-J33)*24)</f>
        <v>1.0499999999301508</v>
      </c>
      <c r="M33" s="14">
        <f>IF(D33="","",(K33-J33)*24*60)</f>
        <v>62.99999999580905</v>
      </c>
      <c r="N33" s="13" t="s">
        <v>182</v>
      </c>
      <c r="O33" s="8" t="str">
        <f>IF(D33="","",IF(N33="P","--","NO"))</f>
        <v>--</v>
      </c>
      <c r="P33" s="815" t="str">
        <f>IF(D33="","","NO")</f>
        <v>NO</v>
      </c>
      <c r="Q33" s="816"/>
      <c r="R33" s="817">
        <f>200*IF(P33="SI",1,0.1)*IF(N33="P",0.1,1)</f>
        <v>2</v>
      </c>
      <c r="S33" s="818">
        <f>IF(N33="P",H33*R33*ROUND(M33/60,2),"--")</f>
        <v>41.160000000000004</v>
      </c>
      <c r="T33" s="819" t="str">
        <f>IF(AND(N33="F",O33="NO"),H33*R33,"--")</f>
        <v>--</v>
      </c>
      <c r="U33" s="820" t="str">
        <f>IF(N33="F",H33*R33*ROUND(M33/60,2),"--")</f>
        <v>--</v>
      </c>
      <c r="V33" s="566" t="str">
        <f>IF(N33="RF",H33*R33*ROUND(M33/60,2),"--")</f>
        <v>--</v>
      </c>
      <c r="W33" s="821"/>
      <c r="X33" s="822"/>
      <c r="Y33" s="822"/>
      <c r="Z33" s="822"/>
      <c r="AA33" s="823"/>
      <c r="AB33" s="436" t="str">
        <f>IF(D33="","","SI")</f>
        <v>SI</v>
      </c>
      <c r="AC33" s="437">
        <f>IF(D33="","",SUM(S33:V33)*IF(AB33="SI",1,2))</f>
        <v>41.160000000000004</v>
      </c>
      <c r="AD33" s="18"/>
    </row>
    <row r="34" spans="1:30" ht="16.5" customHeight="1" thickBot="1" thickTop="1">
      <c r="A34" s="33"/>
      <c r="B34" s="51"/>
      <c r="C34" s="99"/>
      <c r="D34" s="277"/>
      <c r="E34" s="277"/>
      <c r="F34" s="604"/>
      <c r="G34" s="848"/>
      <c r="H34" s="849"/>
      <c r="I34" s="850"/>
      <c r="J34" s="851"/>
      <c r="K34" s="852"/>
      <c r="L34" s="853"/>
      <c r="M34" s="849"/>
      <c r="N34" s="854"/>
      <c r="O34" s="242"/>
      <c r="P34" s="855"/>
      <c r="Q34" s="856"/>
      <c r="R34" s="857"/>
      <c r="S34" s="857"/>
      <c r="T34" s="857"/>
      <c r="U34" s="245"/>
      <c r="V34" s="245"/>
      <c r="W34" s="245"/>
      <c r="X34" s="245"/>
      <c r="Y34" s="245"/>
      <c r="Z34" s="245"/>
      <c r="AA34" s="245"/>
      <c r="AB34" s="245"/>
      <c r="AC34" s="858">
        <f>SUM(AC31:AC33)</f>
        <v>41.160000000000004</v>
      </c>
      <c r="AD34" s="337"/>
    </row>
    <row r="35" spans="1:30" ht="16.5" customHeight="1" thickBot="1" thickTop="1">
      <c r="A35" s="33"/>
      <c r="B35" s="51"/>
      <c r="C35" s="99"/>
      <c r="D35" s="277"/>
      <c r="E35" s="277"/>
      <c r="F35" s="604"/>
      <c r="G35" s="848"/>
      <c r="H35" s="849"/>
      <c r="I35" s="850"/>
      <c r="J35" s="697" t="s">
        <v>43</v>
      </c>
      <c r="K35" s="698">
        <f>+AC34</f>
        <v>41.160000000000004</v>
      </c>
      <c r="L35" s="853"/>
      <c r="M35" s="849"/>
      <c r="N35" s="859"/>
      <c r="O35" s="860"/>
      <c r="P35" s="855"/>
      <c r="Q35" s="856"/>
      <c r="R35" s="857"/>
      <c r="S35" s="857"/>
      <c r="T35" s="857"/>
      <c r="U35" s="245"/>
      <c r="V35" s="245"/>
      <c r="W35" s="245"/>
      <c r="X35" s="245"/>
      <c r="Y35" s="245"/>
      <c r="Z35" s="245"/>
      <c r="AA35" s="245"/>
      <c r="AB35" s="245"/>
      <c r="AC35" s="861"/>
      <c r="AD35" s="337"/>
    </row>
    <row r="36" spans="1:30" ht="13.5" customHeight="1" thickTop="1">
      <c r="A36" s="33"/>
      <c r="B36" s="684"/>
      <c r="C36" s="687"/>
      <c r="D36" s="862"/>
      <c r="E36" s="863"/>
      <c r="F36" s="864"/>
      <c r="G36" s="865"/>
      <c r="H36" s="865"/>
      <c r="I36" s="863"/>
      <c r="J36" s="675"/>
      <c r="K36" s="675"/>
      <c r="L36" s="863"/>
      <c r="M36" s="863"/>
      <c r="N36" s="863"/>
      <c r="O36" s="866"/>
      <c r="P36" s="863"/>
      <c r="Q36" s="863"/>
      <c r="R36" s="867"/>
      <c r="S36" s="868"/>
      <c r="T36" s="868"/>
      <c r="U36" s="869"/>
      <c r="AC36" s="869"/>
      <c r="AD36" s="870"/>
    </row>
    <row r="37" spans="1:30" ht="16.5" customHeight="1">
      <c r="A37" s="33"/>
      <c r="B37" s="684"/>
      <c r="C37" s="871" t="s">
        <v>113</v>
      </c>
      <c r="D37" s="872" t="s">
        <v>162</v>
      </c>
      <c r="E37" s="863"/>
      <c r="F37" s="864"/>
      <c r="G37" s="865"/>
      <c r="H37" s="865"/>
      <c r="I37" s="863"/>
      <c r="J37" s="675"/>
      <c r="K37" s="675"/>
      <c r="L37" s="863"/>
      <c r="M37" s="863"/>
      <c r="N37" s="863"/>
      <c r="O37" s="866"/>
      <c r="P37" s="863"/>
      <c r="Q37" s="863"/>
      <c r="R37" s="867"/>
      <c r="S37" s="868"/>
      <c r="T37" s="868"/>
      <c r="U37" s="869"/>
      <c r="AC37" s="869"/>
      <c r="AD37" s="870"/>
    </row>
    <row r="38" spans="1:30" ht="16.5" customHeight="1">
      <c r="A38" s="33"/>
      <c r="B38" s="684"/>
      <c r="C38" s="871"/>
      <c r="D38" s="862"/>
      <c r="E38" s="863"/>
      <c r="F38" s="864"/>
      <c r="G38" s="865"/>
      <c r="H38" s="865"/>
      <c r="I38" s="863"/>
      <c r="J38" s="675"/>
      <c r="K38" s="675"/>
      <c r="L38" s="863"/>
      <c r="M38" s="863"/>
      <c r="N38" s="863"/>
      <c r="O38" s="866"/>
      <c r="P38" s="863"/>
      <c r="Q38" s="863"/>
      <c r="R38" s="863"/>
      <c r="S38" s="867"/>
      <c r="T38" s="868"/>
      <c r="AD38" s="870"/>
    </row>
    <row r="39" spans="2:30" s="33" customFormat="1" ht="16.5" customHeight="1">
      <c r="B39" s="684"/>
      <c r="C39" s="687"/>
      <c r="D39" s="873" t="s">
        <v>0</v>
      </c>
      <c r="E39" s="769" t="s">
        <v>114</v>
      </c>
      <c r="F39" s="769" t="s">
        <v>44</v>
      </c>
      <c r="G39" s="874" t="s">
        <v>163</v>
      </c>
      <c r="H39" s="770"/>
      <c r="I39" s="769"/>
      <c r="J39"/>
      <c r="K39" s="875" t="s">
        <v>164</v>
      </c>
      <c r="L39"/>
      <c r="M39"/>
      <c r="O39" s="875" t="s">
        <v>165</v>
      </c>
      <c r="P39" s="876"/>
      <c r="Q39" s="877"/>
      <c r="R39" s="878"/>
      <c r="S39" s="34"/>
      <c r="T39"/>
      <c r="U39"/>
      <c r="V39"/>
      <c r="W39"/>
      <c r="X39" s="34"/>
      <c r="Y39" s="34"/>
      <c r="Z39" s="34"/>
      <c r="AA39" s="34"/>
      <c r="AB39" s="34"/>
      <c r="AC39" s="879" t="s">
        <v>166</v>
      </c>
      <c r="AD39" s="870"/>
    </row>
    <row r="40" spans="2:30" s="33" customFormat="1" ht="16.5" customHeight="1">
      <c r="B40" s="684"/>
      <c r="C40" s="687"/>
      <c r="D40" s="769" t="s">
        <v>115</v>
      </c>
      <c r="E40" s="880">
        <v>267</v>
      </c>
      <c r="F40" s="881">
        <v>500</v>
      </c>
      <c r="G40" s="1066">
        <f>E40*$F$19*$L$21/100</f>
        <v>172956.4056</v>
      </c>
      <c r="H40" s="882">
        <f>F40*$F$20*$L$21/100</f>
        <v>882</v>
      </c>
      <c r="I40" s="882">
        <f>G40*$F$20*$L$21/100</f>
        <v>305095.09947839996</v>
      </c>
      <c r="J40" s="882"/>
      <c r="K40" s="882">
        <f>617874+73113</f>
        <v>690987</v>
      </c>
      <c r="L40" s="190"/>
      <c r="M40" s="1056" t="s">
        <v>268</v>
      </c>
      <c r="R40" s="878"/>
      <c r="S40" s="34"/>
      <c r="T40"/>
      <c r="U40"/>
      <c r="V40"/>
      <c r="W40"/>
      <c r="X40" s="34"/>
      <c r="Y40" s="34"/>
      <c r="Z40" s="34"/>
      <c r="AA40" s="34"/>
      <c r="AB40" s="885"/>
      <c r="AC40" s="695">
        <f>K40+G40</f>
        <v>863943.4055999999</v>
      </c>
      <c r="AD40" s="870"/>
    </row>
    <row r="41" spans="2:30" s="33" customFormat="1" ht="16.5" customHeight="1">
      <c r="B41" s="684"/>
      <c r="C41" s="687"/>
      <c r="D41" s="769" t="s">
        <v>116</v>
      </c>
      <c r="E41" s="880">
        <f>3*3.6</f>
        <v>10.8</v>
      </c>
      <c r="F41" s="881">
        <v>500</v>
      </c>
      <c r="G41" s="1066">
        <f>E41*$F$19*$L$21/100</f>
        <v>6995.98944</v>
      </c>
      <c r="H41" s="886"/>
      <c r="I41" s="887"/>
      <c r="J41" s="882"/>
      <c r="K41" s="882">
        <f>10729+5029</f>
        <v>15758</v>
      </c>
      <c r="L41" s="190"/>
      <c r="M41" s="1056" t="s">
        <v>268</v>
      </c>
      <c r="O41" s="888"/>
      <c r="P41"/>
      <c r="Q41" s="878"/>
      <c r="R41" s="878"/>
      <c r="S41" s="34"/>
      <c r="T41"/>
      <c r="U41"/>
      <c r="V41"/>
      <c r="W41"/>
      <c r="X41" s="34"/>
      <c r="Y41" s="34"/>
      <c r="Z41" s="34"/>
      <c r="AA41" s="34"/>
      <c r="AB41" s="34"/>
      <c r="AC41" s="695">
        <f>K41+J41</f>
        <v>15758</v>
      </c>
      <c r="AD41" s="870"/>
    </row>
    <row r="42" spans="2:30" s="33" customFormat="1" ht="16.5" customHeight="1">
      <c r="B42" s="684"/>
      <c r="C42" s="687"/>
      <c r="E42" s="692"/>
      <c r="F42" s="769"/>
      <c r="G42" s="770"/>
      <c r="H42"/>
      <c r="I42" s="769"/>
      <c r="J42" s="769"/>
      <c r="K42" s="1057"/>
      <c r="L42" s="695"/>
      <c r="M42" s="877"/>
      <c r="N42" s="877"/>
      <c r="O42" s="883">
        <v>0</v>
      </c>
      <c r="P42" s="190"/>
      <c r="Q42" s="1056" t="s">
        <v>268</v>
      </c>
      <c r="R42" s="878"/>
      <c r="S42" s="34"/>
      <c r="T42"/>
      <c r="U42"/>
      <c r="V42"/>
      <c r="W42"/>
      <c r="X42" s="34"/>
      <c r="Y42" s="34"/>
      <c r="Z42" s="34"/>
      <c r="AA42" s="34"/>
      <c r="AB42" s="34"/>
      <c r="AC42" s="889">
        <f>+O42</f>
        <v>0</v>
      </c>
      <c r="AD42" s="870"/>
    </row>
    <row r="43" spans="1:30" ht="16.5" customHeight="1">
      <c r="A43" s="33"/>
      <c r="B43" s="684"/>
      <c r="C43" s="687"/>
      <c r="D43" s="675"/>
      <c r="E43" s="692"/>
      <c r="F43" s="769"/>
      <c r="G43" s="769"/>
      <c r="H43" s="770"/>
      <c r="J43" s="769"/>
      <c r="L43" s="890"/>
      <c r="M43" s="877"/>
      <c r="N43" s="877"/>
      <c r="O43" s="878"/>
      <c r="P43" s="878"/>
      <c r="Q43" s="878"/>
      <c r="R43" s="878"/>
      <c r="S43" s="878"/>
      <c r="AC43" s="686">
        <f>SUM(AC40:AC42)</f>
        <v>879701.4055999999</v>
      </c>
      <c r="AD43" s="870"/>
    </row>
    <row r="44" spans="2:30" ht="16.5" customHeight="1">
      <c r="B44" s="684"/>
      <c r="C44" s="871" t="s">
        <v>117</v>
      </c>
      <c r="D44" s="891" t="s">
        <v>118</v>
      </c>
      <c r="E44" s="769"/>
      <c r="F44" s="892"/>
      <c r="G44" s="768"/>
      <c r="H44" s="675"/>
      <c r="I44" s="675"/>
      <c r="J44" s="675"/>
      <c r="K44" s="769"/>
      <c r="L44" s="769"/>
      <c r="M44" s="675"/>
      <c r="N44" s="769"/>
      <c r="O44" s="675"/>
      <c r="P44" s="675"/>
      <c r="Q44" s="675"/>
      <c r="R44" s="675"/>
      <c r="S44" s="675"/>
      <c r="T44" s="675"/>
      <c r="U44" s="675"/>
      <c r="AC44" s="675"/>
      <c r="AD44" s="870"/>
    </row>
    <row r="45" spans="2:30" s="33" customFormat="1" ht="16.5" customHeight="1">
      <c r="B45" s="684"/>
      <c r="C45" s="687"/>
      <c r="D45" s="873" t="s">
        <v>119</v>
      </c>
      <c r="E45" s="893">
        <f>10*K35*K25/AC43</f>
        <v>17.268747260257875</v>
      </c>
      <c r="G45" s="768"/>
      <c r="L45" s="769"/>
      <c r="N45" s="769"/>
      <c r="O45" s="770"/>
      <c r="V45"/>
      <c r="W45"/>
      <c r="AD45" s="870"/>
    </row>
    <row r="46" spans="2:30" s="33" customFormat="1" ht="16.5" customHeight="1">
      <c r="B46" s="684"/>
      <c r="C46" s="687"/>
      <c r="E46" s="894"/>
      <c r="F46" s="696"/>
      <c r="G46" s="768"/>
      <c r="J46" s="768"/>
      <c r="K46" s="783"/>
      <c r="L46" s="769"/>
      <c r="M46" s="769"/>
      <c r="N46" s="769"/>
      <c r="O46" s="770"/>
      <c r="P46" s="769"/>
      <c r="Q46" s="769"/>
      <c r="R46" s="782"/>
      <c r="S46" s="782"/>
      <c r="T46" s="782"/>
      <c r="U46" s="895"/>
      <c r="V46"/>
      <c r="W46"/>
      <c r="AC46" s="895"/>
      <c r="AD46" s="870"/>
    </row>
    <row r="47" spans="2:30" ht="16.5" customHeight="1">
      <c r="B47" s="684"/>
      <c r="C47" s="687"/>
      <c r="D47" s="896" t="s">
        <v>120</v>
      </c>
      <c r="E47" s="897"/>
      <c r="F47" s="696"/>
      <c r="G47" s="768"/>
      <c r="H47" s="675"/>
      <c r="I47" s="675"/>
      <c r="N47" s="769"/>
      <c r="O47" s="770"/>
      <c r="P47" s="769"/>
      <c r="Q47" s="769"/>
      <c r="R47" s="876"/>
      <c r="S47" s="876"/>
      <c r="T47" s="876"/>
      <c r="U47" s="877"/>
      <c r="AC47" s="877"/>
      <c r="AD47" s="870"/>
    </row>
    <row r="48" spans="2:30" ht="16.5" customHeight="1" thickBot="1">
      <c r="B48" s="684"/>
      <c r="C48" s="687"/>
      <c r="D48" s="896"/>
      <c r="E48" s="897"/>
      <c r="F48" s="696"/>
      <c r="G48" s="768"/>
      <c r="H48" s="675"/>
      <c r="I48" s="675"/>
      <c r="N48" s="769"/>
      <c r="O48" s="770"/>
      <c r="P48" s="769"/>
      <c r="Q48" s="769"/>
      <c r="R48" s="876"/>
      <c r="S48" s="876"/>
      <c r="T48" s="876"/>
      <c r="U48" s="877"/>
      <c r="AC48" s="877"/>
      <c r="AD48" s="870"/>
    </row>
    <row r="49" spans="2:30" s="898" customFormat="1" ht="21" thickBot="1" thickTop="1">
      <c r="B49" s="899"/>
      <c r="C49" s="900"/>
      <c r="D49" s="901"/>
      <c r="E49" s="902"/>
      <c r="F49" s="903"/>
      <c r="G49" s="904"/>
      <c r="I49"/>
      <c r="J49" s="905" t="s">
        <v>121</v>
      </c>
      <c r="K49" s="906">
        <f>IF(E45&gt;3*K25,K25*3,E45)</f>
        <v>17.268747260257875</v>
      </c>
      <c r="M49" s="907"/>
      <c r="N49" s="907"/>
      <c r="O49" s="908"/>
      <c r="P49" s="907"/>
      <c r="Q49" s="907"/>
      <c r="R49" s="909"/>
      <c r="S49" s="909"/>
      <c r="T49" s="909"/>
      <c r="U49" s="910"/>
      <c r="V49"/>
      <c r="W49"/>
      <c r="AC49" s="910"/>
      <c r="AD49" s="911"/>
    </row>
    <row r="50" spans="2:30" ht="16.5" customHeight="1" thickBot="1" thickTop="1">
      <c r="B50" s="5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256"/>
      <c r="W50" s="256"/>
      <c r="X50" s="256"/>
      <c r="Y50" s="256"/>
      <c r="Z50" s="256"/>
      <c r="AA50" s="256"/>
      <c r="AB50" s="256"/>
      <c r="AC50" s="60"/>
      <c r="AD50" s="912"/>
    </row>
    <row r="51" spans="2:23" ht="16.5" customHeight="1" thickTop="1">
      <c r="B51" s="1"/>
      <c r="C51" s="74"/>
      <c r="W51" s="1"/>
    </row>
    <row r="95" ht="12.75">
      <c r="T95">
        <v>0</v>
      </c>
    </row>
  </sheetData>
  <sheetProtection password="CC12"/>
  <mergeCells count="1">
    <mergeCell ref="F33:G33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6" r:id="rId2"/>
  <headerFooter alignWithMargins="0">
    <oddFooter>&amp;L&amp;"Times New Roman,Normal"&amp;5&amp;F  - TRANSPORTE de ENERGÍA ELÉCTRICA - AJF/PJL - 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G69"/>
  <sheetViews>
    <sheetView zoomScale="70" zoomScaleNormal="70" workbookViewId="0" topLeftCell="C1">
      <selection activeCell="K47" sqref="K47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5.8515625" style="0" hidden="1" customWidth="1"/>
    <col min="9" max="9" width="15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5.7109375" style="0" bestFit="1" customWidth="1"/>
    <col min="18" max="19" width="12.140625" style="0" hidden="1" customWidth="1"/>
    <col min="20" max="27" width="5.710937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58"/>
    </row>
    <row r="2" spans="1:23" ht="27" customHeight="1">
      <c r="A2" s="9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681" customFormat="1" ht="30.75">
      <c r="A3" s="678"/>
      <c r="B3" s="679" t="str">
        <f>+'TOT-0907'!B2</f>
        <v>ANEXO IV al Memorandum D.T.E.E. N°  1955 /2009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AB3" s="680"/>
      <c r="AC3" s="680"/>
      <c r="AD3" s="680"/>
    </row>
    <row r="4" spans="1:2" s="26" customFormat="1" ht="11.25">
      <c r="A4" s="913" t="s">
        <v>2</v>
      </c>
      <c r="B4" s="914"/>
    </row>
    <row r="5" spans="1:2" s="26" customFormat="1" ht="12" thickBot="1">
      <c r="A5" s="913" t="s">
        <v>3</v>
      </c>
      <c r="B5" s="913"/>
    </row>
    <row r="6" spans="1:30" ht="16.5" customHeight="1" thickTop="1">
      <c r="A6" s="5"/>
      <c r="B6" s="70"/>
      <c r="C6" s="71"/>
      <c r="D6" s="71"/>
      <c r="E6" s="259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196"/>
      <c r="X6" s="196"/>
      <c r="Y6" s="196"/>
      <c r="Z6" s="196"/>
      <c r="AA6" s="196"/>
      <c r="AB6" s="196"/>
      <c r="AC6" s="196"/>
      <c r="AD6" s="95"/>
    </row>
    <row r="7" spans="1:30" ht="20.25">
      <c r="A7" s="5"/>
      <c r="B7" s="51"/>
      <c r="C7" s="4"/>
      <c r="D7" s="192" t="s">
        <v>100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8"/>
      <c r="Q7" s="78"/>
      <c r="R7" s="4"/>
      <c r="S7" s="4"/>
      <c r="T7" s="4"/>
      <c r="U7" s="4"/>
      <c r="V7" s="4"/>
      <c r="AD7" s="18"/>
    </row>
    <row r="8" spans="1:30" ht="16.5" customHeight="1">
      <c r="A8" s="5"/>
      <c r="B8" s="5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8"/>
    </row>
    <row r="9" spans="2:30" s="37" customFormat="1" ht="20.25">
      <c r="B9" s="45"/>
      <c r="C9" s="44"/>
      <c r="D9" s="192" t="s">
        <v>101</v>
      </c>
      <c r="E9" s="44"/>
      <c r="F9" s="44"/>
      <c r="G9" s="44"/>
      <c r="H9" s="44"/>
      <c r="N9" s="44"/>
      <c r="O9" s="44"/>
      <c r="P9" s="261"/>
      <c r="Q9" s="261"/>
      <c r="R9" s="44"/>
      <c r="S9" s="44"/>
      <c r="T9" s="44"/>
      <c r="U9" s="44"/>
      <c r="V9" s="44"/>
      <c r="W9"/>
      <c r="X9" s="44"/>
      <c r="Y9" s="44"/>
      <c r="Z9" s="44"/>
      <c r="AA9" s="44"/>
      <c r="AB9" s="44"/>
      <c r="AC9"/>
      <c r="AD9" s="262"/>
    </row>
    <row r="10" spans="1:30" ht="16.5" customHeight="1">
      <c r="A10" s="5"/>
      <c r="B10" s="5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8"/>
    </row>
    <row r="11" spans="2:30" s="37" customFormat="1" ht="20.25">
      <c r="B11" s="45"/>
      <c r="C11" s="44"/>
      <c r="D11" s="192" t="s">
        <v>122</v>
      </c>
      <c r="E11" s="44"/>
      <c r="F11" s="44"/>
      <c r="G11" s="44"/>
      <c r="H11" s="44"/>
      <c r="N11" s="44"/>
      <c r="O11" s="44"/>
      <c r="P11" s="261"/>
      <c r="Q11" s="261"/>
      <c r="R11" s="44"/>
      <c r="S11" s="44"/>
      <c r="T11" s="44"/>
      <c r="U11" s="44"/>
      <c r="V11" s="44"/>
      <c r="W11"/>
      <c r="X11" s="44"/>
      <c r="Y11" s="44"/>
      <c r="Z11" s="44"/>
      <c r="AA11" s="44"/>
      <c r="AB11" s="44"/>
      <c r="AC11"/>
      <c r="AD11" s="262"/>
    </row>
    <row r="12" spans="1:30" ht="16.5" customHeight="1">
      <c r="A12" s="5"/>
      <c r="B12" s="51"/>
      <c r="C12" s="4"/>
      <c r="D12" s="4"/>
      <c r="E12" s="5"/>
      <c r="F12" s="5"/>
      <c r="G12" s="5"/>
      <c r="H12" s="5"/>
      <c r="I12" s="73"/>
      <c r="J12" s="73"/>
      <c r="K12" s="73"/>
      <c r="L12" s="73"/>
      <c r="M12" s="73"/>
      <c r="N12" s="73"/>
      <c r="O12" s="73"/>
      <c r="P12" s="73"/>
      <c r="Q12" s="73"/>
      <c r="R12" s="4"/>
      <c r="S12" s="4"/>
      <c r="T12" s="4"/>
      <c r="U12" s="4"/>
      <c r="V12" s="4"/>
      <c r="AD12" s="18"/>
    </row>
    <row r="13" spans="2:30" s="37" customFormat="1" ht="19.5">
      <c r="B13" s="38" t="str">
        <f>'TOT-0907'!B14</f>
        <v>Desde el 01 al 30 de septiembre de 2007</v>
      </c>
      <c r="C13" s="39"/>
      <c r="D13" s="41"/>
      <c r="E13" s="41"/>
      <c r="F13" s="41"/>
      <c r="G13" s="41"/>
      <c r="H13" s="41"/>
      <c r="I13" s="42"/>
      <c r="J13" s="190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130"/>
      <c r="V13" s="130"/>
      <c r="W13"/>
      <c r="X13" s="682"/>
      <c r="Y13" s="682"/>
      <c r="Z13" s="682"/>
      <c r="AA13" s="682"/>
      <c r="AB13" s="130"/>
      <c r="AC13" s="190"/>
      <c r="AD13" s="43"/>
    </row>
    <row r="14" spans="1:30" ht="16.5" customHeight="1">
      <c r="A14" s="5"/>
      <c r="B14" s="51"/>
      <c r="C14" s="4"/>
      <c r="D14" s="4"/>
      <c r="E14" s="67"/>
      <c r="F14" s="67"/>
      <c r="G14" s="4"/>
      <c r="H14" s="4"/>
      <c r="I14" s="4"/>
      <c r="J14" s="683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8"/>
    </row>
    <row r="15" spans="1:30" ht="16.5" customHeight="1">
      <c r="A15" s="5"/>
      <c r="B15" s="51"/>
      <c r="C15" s="4"/>
      <c r="D15" s="4"/>
      <c r="E15" s="67"/>
      <c r="F15" s="67"/>
      <c r="G15" s="4"/>
      <c r="H15" s="4"/>
      <c r="I15" s="153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8"/>
    </row>
    <row r="16" spans="1:30" ht="16.5" customHeight="1">
      <c r="A16" s="5"/>
      <c r="B16" s="51"/>
      <c r="C16" s="4"/>
      <c r="D16" s="4"/>
      <c r="E16" s="67"/>
      <c r="F16" s="67"/>
      <c r="G16" s="4"/>
      <c r="H16" s="4"/>
      <c r="I16" s="153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8"/>
    </row>
    <row r="17" spans="1:30" ht="16.5" customHeight="1">
      <c r="A17" s="5"/>
      <c r="B17" s="51"/>
      <c r="C17" s="180" t="s">
        <v>103</v>
      </c>
      <c r="D17" s="55" t="s">
        <v>104</v>
      </c>
      <c r="E17" s="67"/>
      <c r="F17" s="67"/>
      <c r="G17" s="4"/>
      <c r="H17" s="4"/>
      <c r="I17" s="4"/>
      <c r="J17" s="683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8"/>
    </row>
    <row r="18" spans="2:30" s="33" customFormat="1" ht="16.5" customHeight="1">
      <c r="B18" s="684"/>
      <c r="C18" s="34"/>
      <c r="D18" s="685"/>
      <c r="E18" s="686"/>
      <c r="F18" s="687"/>
      <c r="G18" s="34"/>
      <c r="H18" s="34"/>
      <c r="I18" s="34"/>
      <c r="J18" s="688"/>
      <c r="K18" s="34"/>
      <c r="L18" s="34"/>
      <c r="M18" s="34"/>
      <c r="P18" s="34"/>
      <c r="Q18" s="34"/>
      <c r="R18" s="34"/>
      <c r="S18" s="34"/>
      <c r="T18" s="34"/>
      <c r="U18" s="34"/>
      <c r="V18" s="34"/>
      <c r="W18"/>
      <c r="AD18" s="689"/>
    </row>
    <row r="19" spans="2:30" s="33" customFormat="1" ht="16.5" customHeight="1">
      <c r="B19" s="684"/>
      <c r="C19" s="34"/>
      <c r="D19" s="690" t="s">
        <v>105</v>
      </c>
      <c r="F19" s="691">
        <v>89.969</v>
      </c>
      <c r="G19" s="690" t="s">
        <v>106</v>
      </c>
      <c r="H19" s="34"/>
      <c r="I19" s="34"/>
      <c r="J19" s="692"/>
      <c r="K19" s="693" t="s">
        <v>41</v>
      </c>
      <c r="L19" s="694">
        <v>0.04</v>
      </c>
      <c r="R19" s="34"/>
      <c r="S19" s="34"/>
      <c r="T19" s="34"/>
      <c r="U19" s="34"/>
      <c r="V19" s="34"/>
      <c r="W19"/>
      <c r="AD19" s="689"/>
    </row>
    <row r="20" spans="2:30" s="33" customFormat="1" ht="16.5" customHeight="1">
      <c r="B20" s="684"/>
      <c r="C20" s="34"/>
      <c r="D20" s="690" t="s">
        <v>123</v>
      </c>
      <c r="F20" s="691">
        <v>0.245</v>
      </c>
      <c r="G20" s="690" t="s">
        <v>124</v>
      </c>
      <c r="H20" s="34"/>
      <c r="I20" s="34"/>
      <c r="J20" s="34"/>
      <c r="K20" s="685" t="s">
        <v>39</v>
      </c>
      <c r="L20" s="34">
        <v>720</v>
      </c>
      <c r="M20" s="34" t="s">
        <v>40</v>
      </c>
      <c r="N20" s="34"/>
      <c r="O20" s="34"/>
      <c r="P20" s="915"/>
      <c r="Q20" s="34"/>
      <c r="R20" s="34"/>
      <c r="S20" s="34"/>
      <c r="T20" s="34"/>
      <c r="U20" s="34"/>
      <c r="V20" s="34"/>
      <c r="W20"/>
      <c r="AD20" s="689"/>
    </row>
    <row r="21" spans="2:30" s="33" customFormat="1" ht="16.5" customHeight="1">
      <c r="B21" s="684"/>
      <c r="C21" s="34"/>
      <c r="D21" s="690" t="s">
        <v>125</v>
      </c>
      <c r="F21" s="691">
        <v>39.254</v>
      </c>
      <c r="G21" s="690" t="s">
        <v>126</v>
      </c>
      <c r="H21" s="34"/>
      <c r="I21" s="34"/>
      <c r="J21" s="34"/>
      <c r="K21" s="273"/>
      <c r="L21" s="274"/>
      <c r="M21" s="34"/>
      <c r="N21" s="34"/>
      <c r="O21" s="34"/>
      <c r="P21" s="915"/>
      <c r="Q21" s="34"/>
      <c r="R21" s="34"/>
      <c r="S21" s="34"/>
      <c r="T21" s="34"/>
      <c r="U21" s="34"/>
      <c r="V21" s="34"/>
      <c r="W21"/>
      <c r="AD21" s="689"/>
    </row>
    <row r="22" spans="2:30" s="33" customFormat="1" ht="16.5" customHeight="1">
      <c r="B22" s="684"/>
      <c r="C22" s="34"/>
      <c r="D22" s="690" t="s">
        <v>127</v>
      </c>
      <c r="F22" s="691">
        <v>49.065</v>
      </c>
      <c r="G22" s="690" t="s">
        <v>126</v>
      </c>
      <c r="H22" s="34"/>
      <c r="I22" s="34"/>
      <c r="J22" s="34"/>
      <c r="K22" s="273"/>
      <c r="L22" s="274"/>
      <c r="M22" s="34"/>
      <c r="N22" s="34"/>
      <c r="O22" s="34"/>
      <c r="P22" s="915"/>
      <c r="Q22" s="34"/>
      <c r="R22" s="34"/>
      <c r="S22" s="34"/>
      <c r="T22" s="34"/>
      <c r="U22" s="34"/>
      <c r="V22" s="34"/>
      <c r="W22"/>
      <c r="AD22" s="689"/>
    </row>
    <row r="23" spans="2:30" s="33" customFormat="1" ht="8.25" customHeight="1">
      <c r="B23" s="684"/>
      <c r="C23" s="34"/>
      <c r="D23" s="34"/>
      <c r="E23" s="696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/>
      <c r="AD23" s="689"/>
    </row>
    <row r="24" spans="1:30" ht="16.5" customHeight="1">
      <c r="A24" s="5"/>
      <c r="B24" s="51"/>
      <c r="C24" s="180" t="s">
        <v>107</v>
      </c>
      <c r="D24" s="3" t="s">
        <v>160</v>
      </c>
      <c r="I24" s="4"/>
      <c r="J24" s="33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8"/>
    </row>
    <row r="25" spans="1:30" ht="10.5" customHeight="1" thickBot="1">
      <c r="A25" s="5"/>
      <c r="B25" s="51"/>
      <c r="C25" s="67"/>
      <c r="D25" s="3"/>
      <c r="I25" s="4"/>
      <c r="J25" s="33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8"/>
    </row>
    <row r="26" spans="2:30" s="33" customFormat="1" ht="16.5" customHeight="1" thickBot="1" thickTop="1">
      <c r="B26" s="684"/>
      <c r="C26" s="687"/>
      <c r="D26"/>
      <c r="E26"/>
      <c r="F26"/>
      <c r="G26"/>
      <c r="H26"/>
      <c r="I26"/>
      <c r="J26" s="697" t="s">
        <v>46</v>
      </c>
      <c r="K26" s="698">
        <f>L19*AC61</f>
        <v>24965.043552000003</v>
      </c>
      <c r="L26"/>
      <c r="S26"/>
      <c r="T26"/>
      <c r="U26"/>
      <c r="W26"/>
      <c r="AD26" s="689"/>
    </row>
    <row r="27" spans="2:30" s="33" customFormat="1" ht="11.25" customHeight="1" thickTop="1">
      <c r="B27" s="684"/>
      <c r="C27" s="687"/>
      <c r="D27" s="34"/>
      <c r="E27" s="696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/>
      <c r="W27"/>
      <c r="AD27" s="689"/>
    </row>
    <row r="28" spans="1:30" ht="16.5" customHeight="1">
      <c r="A28" s="5"/>
      <c r="B28" s="51"/>
      <c r="C28" s="180" t="s">
        <v>108</v>
      </c>
      <c r="D28" s="3" t="s">
        <v>161</v>
      </c>
      <c r="E28" s="27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8"/>
    </row>
    <row r="29" spans="1:30" ht="21.75" customHeight="1" thickBot="1">
      <c r="A29" s="5"/>
      <c r="B29" s="51"/>
      <c r="C29" s="4"/>
      <c r="D29" s="4"/>
      <c r="E29" s="27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8"/>
    </row>
    <row r="30" spans="2:31" s="5" customFormat="1" ht="33.75" customHeight="1" thickBot="1" thickTop="1">
      <c r="B30" s="51"/>
      <c r="C30" s="85" t="s">
        <v>13</v>
      </c>
      <c r="D30" s="279" t="s">
        <v>0</v>
      </c>
      <c r="E30" s="208" t="s">
        <v>14</v>
      </c>
      <c r="F30" s="88" t="s">
        <v>15</v>
      </c>
      <c r="G30" s="280" t="s">
        <v>72</v>
      </c>
      <c r="H30" s="281" t="s">
        <v>38</v>
      </c>
      <c r="I30" s="147" t="s">
        <v>16</v>
      </c>
      <c r="J30" s="86" t="s">
        <v>17</v>
      </c>
      <c r="K30" s="209" t="s">
        <v>18</v>
      </c>
      <c r="L30" s="89" t="s">
        <v>37</v>
      </c>
      <c r="M30" s="87" t="s">
        <v>32</v>
      </c>
      <c r="N30" s="89" t="s">
        <v>109</v>
      </c>
      <c r="O30" s="89" t="s">
        <v>47</v>
      </c>
      <c r="P30" s="209" t="s">
        <v>48</v>
      </c>
      <c r="Q30" s="86" t="s">
        <v>33</v>
      </c>
      <c r="R30" s="149" t="s">
        <v>20</v>
      </c>
      <c r="S30" s="699" t="s">
        <v>21</v>
      </c>
      <c r="T30" s="700" t="s">
        <v>73</v>
      </c>
      <c r="U30" s="701"/>
      <c r="V30" s="702"/>
      <c r="W30" s="703" t="s">
        <v>110</v>
      </c>
      <c r="X30" s="704"/>
      <c r="Y30" s="705"/>
      <c r="Z30" s="706" t="s">
        <v>22</v>
      </c>
      <c r="AA30" s="707" t="s">
        <v>23</v>
      </c>
      <c r="AB30" s="90" t="s">
        <v>76</v>
      </c>
      <c r="AC30" s="125" t="s">
        <v>24</v>
      </c>
      <c r="AD30" s="293"/>
      <c r="AE30"/>
    </row>
    <row r="31" spans="1:30" ht="16.5" customHeight="1" thickTop="1">
      <c r="A31" s="5"/>
      <c r="B31" s="51"/>
      <c r="C31" s="7"/>
      <c r="D31" s="708"/>
      <c r="E31" s="709"/>
      <c r="F31" s="710"/>
      <c r="G31" s="711"/>
      <c r="H31" s="712"/>
      <c r="I31" s="713"/>
      <c r="J31" s="714"/>
      <c r="K31" s="715"/>
      <c r="L31" s="7"/>
      <c r="M31" s="7"/>
      <c r="N31" s="227"/>
      <c r="O31" s="227"/>
      <c r="P31" s="7"/>
      <c r="Q31" s="221"/>
      <c r="R31" s="716"/>
      <c r="S31" s="717"/>
      <c r="T31" s="718"/>
      <c r="U31" s="719"/>
      <c r="V31" s="720"/>
      <c r="W31" s="721"/>
      <c r="X31" s="722"/>
      <c r="Y31" s="723"/>
      <c r="Z31" s="724"/>
      <c r="AA31" s="725"/>
      <c r="AB31" s="726"/>
      <c r="AC31" s="727"/>
      <c r="AD31" s="18"/>
    </row>
    <row r="32" spans="1:30" ht="16.5" customHeight="1">
      <c r="A32" s="5"/>
      <c r="B32" s="51"/>
      <c r="C32" s="1043" t="s">
        <v>173</v>
      </c>
      <c r="D32" s="7" t="s">
        <v>254</v>
      </c>
      <c r="E32" s="676">
        <v>500</v>
      </c>
      <c r="F32" s="728">
        <v>85</v>
      </c>
      <c r="G32" s="729" t="s">
        <v>185</v>
      </c>
      <c r="H32" s="730">
        <f>IF(G32="A",200,IF(G32="B",60,20))</f>
        <v>20</v>
      </c>
      <c r="I32" s="731">
        <f>IF(F32&gt;100,F32,100)*$F$19/100</f>
        <v>89.969</v>
      </c>
      <c r="J32" s="732">
        <v>39334.302777777775</v>
      </c>
      <c r="K32" s="677">
        <v>39334.513194444444</v>
      </c>
      <c r="L32" s="733">
        <f>IF(D32="","",(K32-J32)*24)</f>
        <v>5.050000000046566</v>
      </c>
      <c r="M32" s="572">
        <f>IF(D32="","",ROUND((K32-J32)*24*60,0))</f>
        <v>303</v>
      </c>
      <c r="N32" s="734" t="s">
        <v>182</v>
      </c>
      <c r="O32" s="735" t="str">
        <f>IF(D32="","","--")</f>
        <v>--</v>
      </c>
      <c r="P32" s="324" t="str">
        <f>IF(D32="","","NO")</f>
        <v>NO</v>
      </c>
      <c r="Q32" s="324" t="str">
        <f>IF(D32="","",IF(OR(N32="P",N32="RP"),"--","NO"))</f>
        <v>--</v>
      </c>
      <c r="R32" s="736">
        <f>IF(N32="P",+I32*H32*ROUND(M32/60,2)/100,"--")</f>
        <v>90.86868999999999</v>
      </c>
      <c r="S32" s="737" t="str">
        <f>IF(N32="RP",I32*H32*ROUND(M32/60,2)*0.01*O32/100,"--")</f>
        <v>--</v>
      </c>
      <c r="T32" s="738" t="str">
        <f>IF(AND(N32="F",Q32="NO"),IF(P32="SI",1.2,1)*I32*H32,"--")</f>
        <v>--</v>
      </c>
      <c r="U32" s="739" t="str">
        <f>IF(AND(M32&gt;10,N32="F"),IF(M32&lt;=300,ROUND(M32/60,2),5)*I32*H32*IF(P32="SI",1.2,1),"--")</f>
        <v>--</v>
      </c>
      <c r="V32" s="740" t="str">
        <f>IF(AND(N32="F",M32&gt;300),IF(P32="SI",1.2,1)*(ROUND(M32/60,2)-5)*I32*H32*0.1,"--")</f>
        <v>--</v>
      </c>
      <c r="W32" s="741" t="str">
        <f>IF(AND(N32="R",Q32="NO"),IF(P32="SI",1.2,1)*I32*H32*O32/100,"--")</f>
        <v>--</v>
      </c>
      <c r="X32" s="742" t="str">
        <f>IF(AND(M32&gt;10,N32="R"),IF(M32&lt;=300,ROUND(M32/60,2),5)*I32*H32*O32/100*IF(P32="SI",1.2,1),"--")</f>
        <v>--</v>
      </c>
      <c r="Y32" s="743" t="str">
        <f>IF(AND(N32="R",M32&gt;300),IF(P32="SI",1.2,1)*(ROUND(M32/60,2)-5)*I32*H32*O32/100*0.1,"--")</f>
        <v>--</v>
      </c>
      <c r="Z32" s="744" t="str">
        <f>IF(N32="RF",IF(P32="SI",1.2,1)*ROUND(M32/60,2)*I32*H32*0.1,"--")</f>
        <v>--</v>
      </c>
      <c r="AA32" s="745" t="str">
        <f>IF(N32="RR",IF(P32="SI",1.2,1)*ROUND(M32/60,2)*I32*H32*O32/100*0.1,"--")</f>
        <v>--</v>
      </c>
      <c r="AB32" s="746" t="s">
        <v>183</v>
      </c>
      <c r="AC32" s="16">
        <f>IF(D32="","",SUM(R32:AA32)*IF(AB32="SI",1,2))</f>
        <v>90.86868999999999</v>
      </c>
      <c r="AD32" s="18"/>
    </row>
    <row r="33" spans="1:30" ht="16.5" customHeight="1">
      <c r="A33" s="5"/>
      <c r="B33" s="51"/>
      <c r="C33" s="1043" t="s">
        <v>174</v>
      </c>
      <c r="D33" s="7" t="s">
        <v>254</v>
      </c>
      <c r="E33" s="676">
        <v>500</v>
      </c>
      <c r="F33" s="728">
        <v>85</v>
      </c>
      <c r="G33" s="729" t="s">
        <v>185</v>
      </c>
      <c r="H33" s="730">
        <f>IF(G33="A",200,IF(G33="B",60,20))</f>
        <v>20</v>
      </c>
      <c r="I33" s="731">
        <f>IF(F33&gt;100,F33,100)*$F$19/100</f>
        <v>89.969</v>
      </c>
      <c r="J33" s="732">
        <v>39341.29861111111</v>
      </c>
      <c r="K33" s="677">
        <v>39341.51458333333</v>
      </c>
      <c r="L33" s="733">
        <f>IF(D33="","",(K33-J33)*24)</f>
        <v>5.183333333290648</v>
      </c>
      <c r="M33" s="572">
        <f>IF(D33="","",ROUND((K33-J33)*24*60,0))</f>
        <v>311</v>
      </c>
      <c r="N33" s="734" t="s">
        <v>182</v>
      </c>
      <c r="O33" s="735" t="str">
        <f>IF(D33="","","--")</f>
        <v>--</v>
      </c>
      <c r="P33" s="324" t="str">
        <f>IF(D33="","","NO")</f>
        <v>NO</v>
      </c>
      <c r="Q33" s="324" t="str">
        <f>IF(D33="","",IF(OR(N33="P",N33="RP"),"--","NO"))</f>
        <v>--</v>
      </c>
      <c r="R33" s="736">
        <f>IF(N33="P",+I33*H33*ROUND(M33/60,2)/100,"--")</f>
        <v>93.20788399999999</v>
      </c>
      <c r="S33" s="737" t="str">
        <f>IF(N33="RP",I33*H33*ROUND(M33/60,2)*0.01*O33/100,"--")</f>
        <v>--</v>
      </c>
      <c r="T33" s="738" t="str">
        <f>IF(AND(N33="F",Q33="NO"),IF(P33="SI",1.2,1)*I33*H33,"--")</f>
        <v>--</v>
      </c>
      <c r="U33" s="739" t="str">
        <f>IF(AND(M33&gt;10,N33="F"),IF(M33&lt;=300,ROUND(M33/60,2),5)*I33*H33*IF(P33="SI",1.2,1),"--")</f>
        <v>--</v>
      </c>
      <c r="V33" s="740" t="str">
        <f>IF(AND(N33="F",M33&gt;300),IF(P33="SI",1.2,1)*(ROUND(M33/60,2)-5)*I33*H33*0.1,"--")</f>
        <v>--</v>
      </c>
      <c r="W33" s="741" t="str">
        <f>IF(AND(N33="R",Q33="NO"),IF(P33="SI",1.2,1)*I33*H33*O33/100,"--")</f>
        <v>--</v>
      </c>
      <c r="X33" s="742" t="str">
        <f>IF(AND(M33&gt;10,N33="R"),IF(M33&lt;=300,ROUND(M33/60,2),5)*I33*H33*O33/100*IF(P33="SI",1.2,1),"--")</f>
        <v>--</v>
      </c>
      <c r="Y33" s="743" t="str">
        <f>IF(AND(N33="R",M33&gt;300),IF(P33="SI",1.2,1)*(ROUND(M33/60,2)-5)*I33*H33*O33/100*0.1,"--")</f>
        <v>--</v>
      </c>
      <c r="Z33" s="744" t="str">
        <f>IF(N33="RF",IF(P33="SI",1.2,1)*ROUND(M33/60,2)*I33*H33*0.1,"--")</f>
        <v>--</v>
      </c>
      <c r="AA33" s="745" t="str">
        <f>IF(N33="RR",IF(P33="SI",1.2,1)*ROUND(M33/60,2)*I33*H33*O33/100*0.1,"--")</f>
        <v>--</v>
      </c>
      <c r="AB33" s="746" t="s">
        <v>183</v>
      </c>
      <c r="AC33" s="16">
        <f>IF(D33="","",SUM(R33:AA33)*IF(AB33="SI",1,2))</f>
        <v>93.20788399999999</v>
      </c>
      <c r="AD33" s="18"/>
    </row>
    <row r="34" spans="1:30" ht="16.5" customHeight="1">
      <c r="A34" s="5"/>
      <c r="B34" s="51"/>
      <c r="C34" s="1043" t="s">
        <v>175</v>
      </c>
      <c r="D34" s="7" t="s">
        <v>255</v>
      </c>
      <c r="E34" s="676">
        <v>500</v>
      </c>
      <c r="F34" s="728">
        <v>506</v>
      </c>
      <c r="G34" s="729" t="s">
        <v>185</v>
      </c>
      <c r="H34" s="730">
        <f>IF(G34="A",200,IF(G34="B",60,20))</f>
        <v>20</v>
      </c>
      <c r="I34" s="731">
        <f>IF(F34&gt;100,F34,100)*$F$19/100</f>
        <v>455.24314</v>
      </c>
      <c r="J34" s="732">
        <v>39355.342361111114</v>
      </c>
      <c r="K34" s="677">
        <v>39355.60277777778</v>
      </c>
      <c r="L34" s="733">
        <f>IF(D34="","",(K34-J34)*24)</f>
        <v>6.249999999941792</v>
      </c>
      <c r="M34" s="572">
        <f>IF(D34="","",ROUND((K34-J34)*24*60,0))</f>
        <v>375</v>
      </c>
      <c r="N34" s="734" t="s">
        <v>182</v>
      </c>
      <c r="O34" s="735" t="str">
        <f>IF(D34="","","--")</f>
        <v>--</v>
      </c>
      <c r="P34" s="324" t="str">
        <f>IF(D34="","","NO")</f>
        <v>NO</v>
      </c>
      <c r="Q34" s="324" t="str">
        <f>IF(D34="","",IF(OR(N34="P",N34="RP"),"--","NO"))</f>
        <v>--</v>
      </c>
      <c r="R34" s="736">
        <f>IF(N34="P",+I34*H34*ROUND(M34/60,2)/100,"--")</f>
        <v>569.0539249999999</v>
      </c>
      <c r="S34" s="737" t="str">
        <f>IF(N34="RP",I34*H34*ROUND(M34/60,2)*0.01*O34/100,"--")</f>
        <v>--</v>
      </c>
      <c r="T34" s="738" t="str">
        <f>IF(AND(N34="F",Q34="NO"),IF(P34="SI",1.2,1)*I34*H34,"--")</f>
        <v>--</v>
      </c>
      <c r="U34" s="739" t="str">
        <f>IF(AND(M34&gt;10,N34="F"),IF(M34&lt;=300,ROUND(M34/60,2),5)*I34*H34*IF(P34="SI",1.2,1),"--")</f>
        <v>--</v>
      </c>
      <c r="V34" s="740" t="str">
        <f>IF(AND(N34="F",M34&gt;300),IF(P34="SI",1.2,1)*(ROUND(M34/60,2)-5)*I34*H34*0.1,"--")</f>
        <v>--</v>
      </c>
      <c r="W34" s="741" t="str">
        <f>IF(AND(N34="R",Q34="NO"),IF(P34="SI",1.2,1)*I34*H34*O34/100,"--")</f>
        <v>--</v>
      </c>
      <c r="X34" s="742" t="str">
        <f>IF(AND(M34&gt;10,N34="R"),IF(M34&lt;=300,ROUND(M34/60,2),5)*I34*H34*O34/100*IF(P34="SI",1.2,1),"--")</f>
        <v>--</v>
      </c>
      <c r="Y34" s="743" t="str">
        <f>IF(AND(N34="R",M34&gt;300),IF(P34="SI",1.2,1)*(ROUND(M34/60,2)-5)*I34*H34*O34/100*0.1,"--")</f>
        <v>--</v>
      </c>
      <c r="Z34" s="744" t="str">
        <f>IF(N34="RF",IF(P34="SI",1.2,1)*ROUND(M34/60,2)*I34*H34*0.1,"--")</f>
        <v>--</v>
      </c>
      <c r="AA34" s="745" t="str">
        <f>IF(N34="RR",IF(P34="SI",1.2,1)*ROUND(M34/60,2)*I34*H34*O34/100*0.1,"--")</f>
        <v>--</v>
      </c>
      <c r="AB34" s="746" t="s">
        <v>183</v>
      </c>
      <c r="AC34" s="16">
        <f>IF(D34="","",SUM(R34:AA34)*IF(AB34="SI",1,2))</f>
        <v>569.0539249999999</v>
      </c>
      <c r="AD34" s="18"/>
    </row>
    <row r="35" spans="1:30" ht="16.5" customHeight="1">
      <c r="A35" s="5"/>
      <c r="B35" s="51"/>
      <c r="C35" s="1043"/>
      <c r="D35" s="7"/>
      <c r="E35" s="676"/>
      <c r="F35" s="728"/>
      <c r="G35" s="729"/>
      <c r="H35" s="730">
        <f>IF(G35="A",200,IF(G35="B",60,20))</f>
        <v>20</v>
      </c>
      <c r="I35" s="731">
        <f>IF(F35&gt;100,F35,100)*$F$19/100</f>
        <v>89.969</v>
      </c>
      <c r="J35" s="732"/>
      <c r="K35" s="677"/>
      <c r="L35" s="733">
        <f>IF(D35="","",(K35-J35)*24)</f>
      </c>
      <c r="M35" s="572">
        <f>IF(D35="","",ROUND((K35-J35)*24*60,0))</f>
      </c>
      <c r="N35" s="734"/>
      <c r="O35" s="735">
        <f>IF(D35="","","--")</f>
      </c>
      <c r="P35" s="324">
        <f>IF(D35="","","NO")</f>
      </c>
      <c r="Q35" s="324">
        <f>IF(D35="","",IF(OR(N35="P",N35="RP"),"--","NO"))</f>
      </c>
      <c r="R35" s="736" t="str">
        <f>IF(N35="P",+I35*H35*ROUND(M35/60,2)/100,"--")</f>
        <v>--</v>
      </c>
      <c r="S35" s="737" t="str">
        <f>IF(N35="RP",I35*H35*ROUND(M35/60,2)*0.01*O35/100,"--")</f>
        <v>--</v>
      </c>
      <c r="T35" s="738" t="str">
        <f>IF(AND(N35="F",Q35="NO"),IF(P35="SI",1.2,1)*I35*H35,"--")</f>
        <v>--</v>
      </c>
      <c r="U35" s="739" t="str">
        <f>IF(AND(M35&gt;10,N35="F"),IF(M35&lt;=300,ROUND(M35/60,2),5)*I35*H35*IF(P35="SI",1.2,1),"--")</f>
        <v>--</v>
      </c>
      <c r="V35" s="740" t="str">
        <f>IF(AND(N35="F",M35&gt;300),IF(P35="SI",1.2,1)*(ROUND(M35/60,2)-5)*I35*H35*0.1,"--")</f>
        <v>--</v>
      </c>
      <c r="W35" s="741" t="str">
        <f>IF(AND(N35="R",Q35="NO"),IF(P35="SI",1.2,1)*I35*H35*O35/100,"--")</f>
        <v>--</v>
      </c>
      <c r="X35" s="742" t="str">
        <f>IF(AND(M35&gt;10,N35="R"),IF(M35&lt;=300,ROUND(M35/60,2),5)*I35*H35*O35/100*IF(P35="SI",1.2,1),"--")</f>
        <v>--</v>
      </c>
      <c r="Y35" s="743" t="str">
        <f>IF(AND(N35="R",M35&gt;300),IF(P35="SI",1.2,1)*(ROUND(M35/60,2)-5)*I35*H35*O35/100*0.1,"--")</f>
        <v>--</v>
      </c>
      <c r="Z35" s="744" t="str">
        <f>IF(N35="RF",IF(P35="SI",1.2,1)*ROUND(M35/60,2)*I35*H35*0.1,"--")</f>
        <v>--</v>
      </c>
      <c r="AA35" s="745" t="str">
        <f>IF(N35="RR",IF(P35="SI",1.2,1)*ROUND(M35/60,2)*I35*H35*O35/100*0.1,"--")</f>
        <v>--</v>
      </c>
      <c r="AB35" s="746">
        <f>IF(D35="","","SI")</f>
      </c>
      <c r="AC35" s="16">
        <f>IF(D35="","",SUM(R35:AA35)*IF(AB35="SI",1,2))</f>
      </c>
      <c r="AD35" s="18"/>
    </row>
    <row r="36" spans="1:30" ht="16.5" customHeight="1">
      <c r="A36" s="5"/>
      <c r="B36" s="51"/>
      <c r="C36" s="1043"/>
      <c r="D36" s="7"/>
      <c r="E36" s="676"/>
      <c r="F36" s="728"/>
      <c r="G36" s="729"/>
      <c r="H36" s="730">
        <f>IF(G36="A",200,IF(G36="B",60,20))</f>
        <v>20</v>
      </c>
      <c r="I36" s="731">
        <f>IF(F36&gt;100,F36,100)*$F$19/100</f>
        <v>89.969</v>
      </c>
      <c r="J36" s="732"/>
      <c r="K36" s="677"/>
      <c r="L36" s="733">
        <f>IF(D36="","",(K36-J36)*24)</f>
      </c>
      <c r="M36" s="572">
        <f>IF(D36="","",ROUND((K36-J36)*24*60,0))</f>
      </c>
      <c r="N36" s="734"/>
      <c r="O36" s="735">
        <f>IF(D36="","","--")</f>
      </c>
      <c r="P36" s="324">
        <f>IF(D36="","","NO")</f>
      </c>
      <c r="Q36" s="324">
        <f>IF(D36="","",IF(OR(N36="P",N36="RP"),"--","NO"))</f>
      </c>
      <c r="R36" s="736" t="str">
        <f>IF(N36="P",+I36*H36*ROUND(M36/60,2)/100,"--")</f>
        <v>--</v>
      </c>
      <c r="S36" s="737" t="str">
        <f>IF(N36="RP",I36*H36*ROUND(M36/60,2)*0.01*O36/100,"--")</f>
        <v>--</v>
      </c>
      <c r="T36" s="738" t="str">
        <f>IF(AND(N36="F",Q36="NO"),IF(P36="SI",1.2,1)*I36*H36,"--")</f>
        <v>--</v>
      </c>
      <c r="U36" s="739" t="str">
        <f>IF(AND(M36&gt;10,N36="F"),IF(M36&lt;=300,ROUND(M36/60,2),5)*I36*H36*IF(P36="SI",1.2,1),"--")</f>
        <v>--</v>
      </c>
      <c r="V36" s="740" t="str">
        <f>IF(AND(N36="F",M36&gt;300),IF(P36="SI",1.2,1)*(ROUND(M36/60,2)-5)*I36*H36*0.1,"--")</f>
        <v>--</v>
      </c>
      <c r="W36" s="741" t="str">
        <f>IF(AND(N36="R",Q36="NO"),IF(P36="SI",1.2,1)*I36*H36*O36/100,"--")</f>
        <v>--</v>
      </c>
      <c r="X36" s="742" t="str">
        <f>IF(AND(M36&gt;10,N36="R"),IF(M36&lt;=300,ROUND(M36/60,2),5)*I36*H36*O36/100*IF(P36="SI",1.2,1),"--")</f>
        <v>--</v>
      </c>
      <c r="Y36" s="743" t="str">
        <f>IF(AND(N36="R",M36&gt;300),IF(P36="SI",1.2,1)*(ROUND(M36/60,2)-5)*I36*H36*O36/100*0.1,"--")</f>
        <v>--</v>
      </c>
      <c r="Z36" s="744" t="str">
        <f>IF(N36="RF",IF(P36="SI",1.2,1)*ROUND(M36/60,2)*I36*H36*0.1,"--")</f>
        <v>--</v>
      </c>
      <c r="AA36" s="745" t="str">
        <f>IF(N36="RR",IF(P36="SI",1.2,1)*ROUND(M36/60,2)*I36*H36*O36/100*0.1,"--")</f>
        <v>--</v>
      </c>
      <c r="AB36" s="746">
        <f>IF(D36="","","SI")</f>
      </c>
      <c r="AC36" s="16">
        <f>IF(D36="","",SUM(R36:AA36)*IF(AB36="SI",1,2))</f>
      </c>
      <c r="AD36" s="18"/>
    </row>
    <row r="37" spans="1:30" ht="16.5" customHeight="1" thickBot="1">
      <c r="A37" s="33"/>
      <c r="B37" s="51"/>
      <c r="C37" s="824"/>
      <c r="D37" s="747"/>
      <c r="E37" s="748"/>
      <c r="F37" s="749"/>
      <c r="G37" s="750"/>
      <c r="H37" s="751"/>
      <c r="I37" s="752"/>
      <c r="J37" s="753"/>
      <c r="K37" s="753"/>
      <c r="L37" s="9"/>
      <c r="M37" s="9"/>
      <c r="N37" s="9"/>
      <c r="O37" s="754"/>
      <c r="P37" s="9"/>
      <c r="Q37" s="9"/>
      <c r="R37" s="755"/>
      <c r="S37" s="756"/>
      <c r="T37" s="757"/>
      <c r="U37" s="758"/>
      <c r="V37" s="759"/>
      <c r="W37" s="760"/>
      <c r="X37" s="761"/>
      <c r="Y37" s="762"/>
      <c r="Z37" s="763"/>
      <c r="AA37" s="764"/>
      <c r="AB37" s="765"/>
      <c r="AC37" s="766"/>
      <c r="AD37" s="337"/>
    </row>
    <row r="38" spans="1:30" ht="16.5" customHeight="1" thickBot="1" thickTop="1">
      <c r="A38" s="33"/>
      <c r="B38" s="51"/>
      <c r="C38" s="687"/>
      <c r="D38" s="687"/>
      <c r="E38" s="767"/>
      <c r="F38" s="696"/>
      <c r="G38" s="768"/>
      <c r="H38" s="768"/>
      <c r="I38" s="769"/>
      <c r="J38" s="769"/>
      <c r="K38" s="769"/>
      <c r="L38" s="769"/>
      <c r="M38" s="769"/>
      <c r="N38" s="769"/>
      <c r="O38" s="770"/>
      <c r="P38" s="769"/>
      <c r="Q38" s="769"/>
      <c r="R38" s="771">
        <f aca="true" t="shared" si="0" ref="R38:AA38">SUM(R31:R37)</f>
        <v>753.1304989999999</v>
      </c>
      <c r="S38" s="772">
        <f t="shared" si="0"/>
        <v>0</v>
      </c>
      <c r="T38" s="773">
        <f t="shared" si="0"/>
        <v>0</v>
      </c>
      <c r="U38" s="773">
        <f t="shared" si="0"/>
        <v>0</v>
      </c>
      <c r="V38" s="773">
        <f t="shared" si="0"/>
        <v>0</v>
      </c>
      <c r="W38" s="774">
        <f t="shared" si="0"/>
        <v>0</v>
      </c>
      <c r="X38" s="774">
        <f t="shared" si="0"/>
        <v>0</v>
      </c>
      <c r="Y38" s="774">
        <f t="shared" si="0"/>
        <v>0</v>
      </c>
      <c r="Z38" s="775">
        <f t="shared" si="0"/>
        <v>0</v>
      </c>
      <c r="AA38" s="776">
        <f t="shared" si="0"/>
        <v>0</v>
      </c>
      <c r="AB38" s="777"/>
      <c r="AC38" s="778">
        <f>SUM(AC31:AC37)</f>
        <v>753.1304989999999</v>
      </c>
      <c r="AD38" s="337"/>
    </row>
    <row r="39" spans="1:30" ht="13.5" customHeight="1" thickBot="1" thickTop="1">
      <c r="A39" s="33"/>
      <c r="B39" s="51"/>
      <c r="C39" s="687"/>
      <c r="D39" s="687"/>
      <c r="E39" s="767"/>
      <c r="F39" s="696"/>
      <c r="G39" s="768"/>
      <c r="H39" s="768"/>
      <c r="I39" s="769"/>
      <c r="J39" s="769"/>
      <c r="K39" s="769"/>
      <c r="L39" s="769"/>
      <c r="M39" s="769"/>
      <c r="N39" s="769"/>
      <c r="O39" s="770"/>
      <c r="P39" s="769"/>
      <c r="Q39" s="769"/>
      <c r="R39" s="779"/>
      <c r="S39" s="780"/>
      <c r="T39" s="781"/>
      <c r="U39" s="781"/>
      <c r="V39" s="781"/>
      <c r="W39" s="779"/>
      <c r="X39" s="779"/>
      <c r="Y39" s="779"/>
      <c r="Z39" s="779"/>
      <c r="AA39" s="779"/>
      <c r="AB39" s="782"/>
      <c r="AC39" s="783"/>
      <c r="AD39" s="337"/>
    </row>
    <row r="40" spans="1:33" s="5" customFormat="1" ht="33.75" customHeight="1" thickBot="1" thickTop="1">
      <c r="A40" s="91"/>
      <c r="B40" s="96"/>
      <c r="C40" s="127" t="s">
        <v>13</v>
      </c>
      <c r="D40" s="123" t="s">
        <v>28</v>
      </c>
      <c r="E40" s="122" t="s">
        <v>29</v>
      </c>
      <c r="F40" s="124" t="s">
        <v>30</v>
      </c>
      <c r="G40" s="125" t="s">
        <v>14</v>
      </c>
      <c r="H40" s="139" t="s">
        <v>16</v>
      </c>
      <c r="I40" s="147" t="s">
        <v>16</v>
      </c>
      <c r="J40" s="122" t="s">
        <v>17</v>
      </c>
      <c r="K40" s="122" t="s">
        <v>18</v>
      </c>
      <c r="L40" s="123" t="s">
        <v>31</v>
      </c>
      <c r="M40" s="123" t="s">
        <v>32</v>
      </c>
      <c r="N40" s="89" t="s">
        <v>111</v>
      </c>
      <c r="O40" s="122" t="s">
        <v>33</v>
      </c>
      <c r="P40" s="785" t="s">
        <v>34</v>
      </c>
      <c r="Q40" s="786"/>
      <c r="R40" s="139" t="s">
        <v>35</v>
      </c>
      <c r="S40" s="787" t="s">
        <v>20</v>
      </c>
      <c r="T40" s="788" t="s">
        <v>112</v>
      </c>
      <c r="U40" s="789"/>
      <c r="V40" s="790" t="s">
        <v>22</v>
      </c>
      <c r="W40" s="791"/>
      <c r="X40" s="792"/>
      <c r="Y40" s="792"/>
      <c r="Z40" s="792"/>
      <c r="AA40" s="793"/>
      <c r="AB40" s="144" t="s">
        <v>76</v>
      </c>
      <c r="AC40" s="125" t="s">
        <v>24</v>
      </c>
      <c r="AD40" s="18"/>
      <c r="AF40"/>
      <c r="AG40"/>
    </row>
    <row r="41" spans="1:30" ht="16.5" customHeight="1" thickTop="1">
      <c r="A41" s="5"/>
      <c r="B41" s="51"/>
      <c r="C41" s="7"/>
      <c r="D41" s="10"/>
      <c r="E41" s="10"/>
      <c r="F41" s="10"/>
      <c r="G41" s="794"/>
      <c r="H41" s="795"/>
      <c r="I41" s="796"/>
      <c r="J41" s="10"/>
      <c r="K41" s="10"/>
      <c r="L41" s="10"/>
      <c r="M41" s="10"/>
      <c r="N41" s="10"/>
      <c r="O41" s="797"/>
      <c r="P41" s="798"/>
      <c r="Q41" s="799"/>
      <c r="R41" s="145"/>
      <c r="S41" s="800"/>
      <c r="T41" s="801"/>
      <c r="U41" s="802"/>
      <c r="V41" s="803"/>
      <c r="W41" s="804"/>
      <c r="X41" s="805"/>
      <c r="Y41" s="805"/>
      <c r="Z41" s="805"/>
      <c r="AA41" s="806"/>
      <c r="AB41" s="797"/>
      <c r="AC41" s="807"/>
      <c r="AD41" s="18"/>
    </row>
    <row r="42" spans="1:30" ht="16.5" customHeight="1">
      <c r="A42" s="5"/>
      <c r="B42" s="51"/>
      <c r="C42" s="171">
        <v>117</v>
      </c>
      <c r="D42" s="164" t="s">
        <v>262</v>
      </c>
      <c r="E42" s="422" t="s">
        <v>263</v>
      </c>
      <c r="F42" s="423">
        <v>300</v>
      </c>
      <c r="G42" s="1048" t="s">
        <v>157</v>
      </c>
      <c r="H42" s="491">
        <f>IF(D42="RINCÓN",F20*$F$15,F42*$F$14)</f>
        <v>0</v>
      </c>
      <c r="I42" s="731">
        <f>F20*F42</f>
        <v>73.5</v>
      </c>
      <c r="J42" s="175">
        <v>39334.30902777778</v>
      </c>
      <c r="K42" s="175">
        <v>39334.47986111111</v>
      </c>
      <c r="L42" s="426">
        <f>IF(D42="","",(K42-J42)*24)</f>
        <v>4.099999999918509</v>
      </c>
      <c r="M42" s="14">
        <f>IF(D42="","",(K42-J42)*24*60)</f>
        <v>245.99999999511056</v>
      </c>
      <c r="N42" s="13" t="s">
        <v>182</v>
      </c>
      <c r="O42" s="8" t="str">
        <f>IF(D42="","",IF(OR(N42="P",N42="RP"),"--","NO"))</f>
        <v>--</v>
      </c>
      <c r="P42" s="815" t="str">
        <f>IF(D42="","","NO")</f>
        <v>NO</v>
      </c>
      <c r="Q42" s="816"/>
      <c r="R42" s="817">
        <f>200*IF(P42="SI",1,0.1)*IF(N42="P",0.1,1)</f>
        <v>2</v>
      </c>
      <c r="S42" s="818">
        <f>I42*R42*(L42)</f>
        <v>602.6999999880209</v>
      </c>
      <c r="T42" s="819" t="str">
        <f>IF(AND(N42="F",O42="NO"),H42*R42,"--")</f>
        <v>--</v>
      </c>
      <c r="U42" s="820" t="str">
        <f>IF(N42="F",H42*R42*ROUND(M42/60,2),"--")</f>
        <v>--</v>
      </c>
      <c r="V42" s="566" t="str">
        <f>IF(N42="RF",H42*R42*ROUND(M42/60,2),"--")</f>
        <v>--</v>
      </c>
      <c r="W42" s="821"/>
      <c r="X42" s="822"/>
      <c r="Y42" s="822"/>
      <c r="Z42" s="822"/>
      <c r="AA42" s="823"/>
      <c r="AB42" s="436" t="str">
        <f>IF(D42="","","SI")</f>
        <v>SI</v>
      </c>
      <c r="AC42" s="437">
        <f>IF(D42="","",SUM(S42:V42)*IF(AB42="SI",1,2))</f>
        <v>602.6999999880209</v>
      </c>
      <c r="AD42" s="18"/>
    </row>
    <row r="43" spans="1:30" ht="16.5" customHeight="1">
      <c r="A43" s="5"/>
      <c r="B43" s="51"/>
      <c r="C43" s="408">
        <v>118</v>
      </c>
      <c r="D43" s="164" t="s">
        <v>262</v>
      </c>
      <c r="E43" s="422" t="s">
        <v>263</v>
      </c>
      <c r="F43" s="423">
        <v>300</v>
      </c>
      <c r="G43" s="1048" t="s">
        <v>157</v>
      </c>
      <c r="H43" s="491">
        <f>IF(D43="RINCÓN",F43*$F$15,F43*$F$14)</f>
        <v>0</v>
      </c>
      <c r="I43" s="731">
        <f>F20*F43</f>
        <v>73.5</v>
      </c>
      <c r="J43" s="172">
        <v>39341.31319444445</v>
      </c>
      <c r="K43" s="172">
        <v>39341.48819444444</v>
      </c>
      <c r="L43" s="426">
        <f>IF(D43="","",(K43-J43)*24)</f>
        <v>4.199999999895226</v>
      </c>
      <c r="M43" s="14">
        <f>IF(D43="","",(K43-J43)*24*60)</f>
        <v>251.99999999371357</v>
      </c>
      <c r="N43" s="13" t="s">
        <v>182</v>
      </c>
      <c r="O43" s="8" t="str">
        <f>IF(D43="","",IF(OR(N43="P",N43="RP"),"--","NO"))</f>
        <v>--</v>
      </c>
      <c r="P43" s="815" t="str">
        <f>IF(D43="","","NO")</f>
        <v>NO</v>
      </c>
      <c r="Q43" s="816"/>
      <c r="R43" s="817">
        <f>200*IF(P43="SI",1,0.1)*IF(N43="P",0.1,1)</f>
        <v>2</v>
      </c>
      <c r="S43" s="818">
        <f>I43*R43*(L43)</f>
        <v>617.3999999845983</v>
      </c>
      <c r="T43" s="819" t="str">
        <f>IF(AND(N43="F",O43="NO"),H43*R43,"--")</f>
        <v>--</v>
      </c>
      <c r="U43" s="820" t="str">
        <f>IF(N43="F",H43*R43*ROUND(M43/60,2),"--")</f>
        <v>--</v>
      </c>
      <c r="V43" s="566" t="str">
        <f>IF(N43="RF",H43*R43*ROUND(M43/60,2),"--")</f>
        <v>--</v>
      </c>
      <c r="W43" s="821"/>
      <c r="X43" s="822"/>
      <c r="Y43" s="822"/>
      <c r="Z43" s="822"/>
      <c r="AA43" s="823"/>
      <c r="AB43" s="436" t="str">
        <f>IF(D43="","","SI")</f>
        <v>SI</v>
      </c>
      <c r="AC43" s="437">
        <f>IF(D43="","",SUM(S43:V43)*IF(AB43="SI",1,2))</f>
        <v>617.3999999845983</v>
      </c>
      <c r="AD43" s="18"/>
    </row>
    <row r="44" spans="1:30" ht="16.5" customHeight="1" thickBot="1">
      <c r="A44" s="33"/>
      <c r="B44" s="51"/>
      <c r="C44" s="824"/>
      <c r="D44" s="825"/>
      <c r="E44" s="826"/>
      <c r="F44" s="827"/>
      <c r="G44" s="828"/>
      <c r="H44" s="829"/>
      <c r="I44" s="830"/>
      <c r="J44" s="831"/>
      <c r="K44" s="832"/>
      <c r="L44" s="833"/>
      <c r="M44" s="834"/>
      <c r="N44" s="835"/>
      <c r="O44" s="9"/>
      <c r="P44" s="836"/>
      <c r="Q44" s="837"/>
      <c r="R44" s="838"/>
      <c r="S44" s="839"/>
      <c r="T44" s="840"/>
      <c r="U44" s="841"/>
      <c r="V44" s="842"/>
      <c r="W44" s="843"/>
      <c r="X44" s="844"/>
      <c r="Y44" s="844"/>
      <c r="Z44" s="844"/>
      <c r="AA44" s="845"/>
      <c r="AB44" s="846"/>
      <c r="AC44" s="847"/>
      <c r="AD44" s="337"/>
    </row>
    <row r="45" spans="1:30" ht="16.5" customHeight="1" thickBot="1" thickTop="1">
      <c r="A45" s="33"/>
      <c r="B45" s="51"/>
      <c r="C45" s="99"/>
      <c r="D45" s="277"/>
      <c r="E45" s="277"/>
      <c r="F45" s="604"/>
      <c r="G45" s="848"/>
      <c r="H45" s="849"/>
      <c r="I45" s="850"/>
      <c r="J45" s="851"/>
      <c r="K45" s="852"/>
      <c r="L45" s="853"/>
      <c r="M45" s="849"/>
      <c r="N45" s="854"/>
      <c r="O45" s="242"/>
      <c r="P45" s="855"/>
      <c r="Q45" s="856"/>
      <c r="R45" s="857"/>
      <c r="S45" s="857"/>
      <c r="T45" s="857"/>
      <c r="U45" s="245"/>
      <c r="V45" s="245"/>
      <c r="W45" s="245"/>
      <c r="X45" s="245"/>
      <c r="Y45" s="245"/>
      <c r="Z45" s="245"/>
      <c r="AA45" s="245"/>
      <c r="AB45" s="245"/>
      <c r="AC45" s="858">
        <f>SUM(AC41:AC44)</f>
        <v>1220.0999999726191</v>
      </c>
      <c r="AD45" s="337"/>
    </row>
    <row r="46" spans="1:30" ht="16.5" customHeight="1" thickBot="1" thickTop="1">
      <c r="A46" s="33"/>
      <c r="B46" s="51"/>
      <c r="C46" s="99"/>
      <c r="D46" s="277"/>
      <c r="E46" s="277"/>
      <c r="F46" s="604"/>
      <c r="G46" s="848"/>
      <c r="H46" s="849"/>
      <c r="I46" s="850"/>
      <c r="J46" s="697" t="s">
        <v>43</v>
      </c>
      <c r="K46" s="698">
        <f>+AC45+AC38</f>
        <v>1973.230498972619</v>
      </c>
      <c r="L46" s="853"/>
      <c r="M46" s="849"/>
      <c r="N46" s="859"/>
      <c r="O46" s="860"/>
      <c r="P46" s="855"/>
      <c r="Q46" s="856"/>
      <c r="R46" s="857"/>
      <c r="S46" s="857"/>
      <c r="T46" s="857"/>
      <c r="U46" s="245"/>
      <c r="V46" s="245"/>
      <c r="W46" s="245"/>
      <c r="X46" s="245"/>
      <c r="Y46" s="245"/>
      <c r="Z46" s="245"/>
      <c r="AA46" s="245"/>
      <c r="AB46" s="245"/>
      <c r="AC46" s="861"/>
      <c r="AD46" s="337"/>
    </row>
    <row r="47" spans="1:30" ht="13.5" customHeight="1" thickTop="1">
      <c r="A47" s="33"/>
      <c r="B47" s="684"/>
      <c r="C47" s="687"/>
      <c r="D47" s="862"/>
      <c r="E47" s="863"/>
      <c r="F47" s="864"/>
      <c r="G47" s="865"/>
      <c r="H47" s="865"/>
      <c r="I47" s="863"/>
      <c r="J47" s="675"/>
      <c r="K47" s="675"/>
      <c r="L47" s="863"/>
      <c r="M47" s="863"/>
      <c r="N47" s="863"/>
      <c r="O47" s="866"/>
      <c r="P47" s="863"/>
      <c r="Q47" s="863"/>
      <c r="R47" s="867"/>
      <c r="S47" s="868"/>
      <c r="T47" s="868"/>
      <c r="U47" s="869"/>
      <c r="AC47" s="869"/>
      <c r="AD47" s="870"/>
    </row>
    <row r="48" spans="1:30" ht="16.5" customHeight="1">
      <c r="A48" s="33"/>
      <c r="B48" s="684"/>
      <c r="C48" s="871" t="s">
        <v>113</v>
      </c>
      <c r="D48" s="872" t="s">
        <v>162</v>
      </c>
      <c r="E48" s="863"/>
      <c r="F48" s="864"/>
      <c r="G48" s="865"/>
      <c r="H48" s="865"/>
      <c r="I48" s="863"/>
      <c r="J48" s="675"/>
      <c r="K48" s="675"/>
      <c r="L48" s="863"/>
      <c r="M48" s="863"/>
      <c r="N48" s="863"/>
      <c r="O48" s="866"/>
      <c r="P48" s="863"/>
      <c r="Q48" s="863"/>
      <c r="R48" s="867"/>
      <c r="S48" s="868"/>
      <c r="T48" s="868"/>
      <c r="U48" s="869"/>
      <c r="AC48" s="869"/>
      <c r="AD48" s="870"/>
    </row>
    <row r="49" spans="1:30" ht="16.5" customHeight="1">
      <c r="A49" s="33"/>
      <c r="B49" s="684"/>
      <c r="C49" s="871"/>
      <c r="D49" s="862"/>
      <c r="E49" s="863"/>
      <c r="F49" s="864"/>
      <c r="G49" s="865"/>
      <c r="H49" s="865"/>
      <c r="I49" s="863"/>
      <c r="J49" s="675"/>
      <c r="K49" s="675"/>
      <c r="L49" s="863"/>
      <c r="M49" s="863"/>
      <c r="N49" s="863"/>
      <c r="O49" s="866"/>
      <c r="P49" s="863"/>
      <c r="Q49" s="863"/>
      <c r="R49" s="863"/>
      <c r="S49" s="867"/>
      <c r="T49" s="868"/>
      <c r="AD49" s="870"/>
    </row>
    <row r="50" spans="2:30" s="33" customFormat="1" ht="16.5" customHeight="1">
      <c r="B50" s="684"/>
      <c r="C50" s="687"/>
      <c r="D50" s="873" t="s">
        <v>0</v>
      </c>
      <c r="E50" s="769" t="s">
        <v>114</v>
      </c>
      <c r="F50" s="769" t="s">
        <v>44</v>
      </c>
      <c r="G50" s="874" t="s">
        <v>163</v>
      </c>
      <c r="H50" s="770"/>
      <c r="I50" s="769"/>
      <c r="J50"/>
      <c r="K50"/>
      <c r="L50" s="875" t="s">
        <v>164</v>
      </c>
      <c r="M50"/>
      <c r="N50"/>
      <c r="O50"/>
      <c r="P50"/>
      <c r="Q50" s="878"/>
      <c r="R50" s="878"/>
      <c r="S50" s="34"/>
      <c r="T50"/>
      <c r="U50"/>
      <c r="V50"/>
      <c r="W50"/>
      <c r="X50" s="34"/>
      <c r="Y50" s="34"/>
      <c r="Z50" s="34"/>
      <c r="AA50" s="34"/>
      <c r="AB50" s="34"/>
      <c r="AC50" s="879" t="s">
        <v>166</v>
      </c>
      <c r="AD50" s="870"/>
    </row>
    <row r="51" spans="2:30" s="33" customFormat="1" ht="16.5" customHeight="1">
      <c r="B51" s="684"/>
      <c r="C51" s="687"/>
      <c r="D51" s="769" t="s">
        <v>128</v>
      </c>
      <c r="E51" s="881">
        <v>506</v>
      </c>
      <c r="F51" s="881">
        <v>500</v>
      </c>
      <c r="G51" s="882">
        <f>E51*$F$19*$L$20/100</f>
        <v>327775.0608</v>
      </c>
      <c r="H51" s="882"/>
      <c r="I51" s="882"/>
      <c r="J51" s="190"/>
      <c r="K51"/>
      <c r="L51" s="883">
        <v>109159</v>
      </c>
      <c r="M51" s="190"/>
      <c r="N51" s="884" t="e">
        <f>"(DTE "&amp;#REF!&amp;#REF!&amp;")"</f>
        <v>#REF!</v>
      </c>
      <c r="O51"/>
      <c r="P51"/>
      <c r="Q51" s="878"/>
      <c r="R51" s="878"/>
      <c r="S51" s="34"/>
      <c r="T51"/>
      <c r="U51"/>
      <c r="V51"/>
      <c r="W51"/>
      <c r="X51" s="34"/>
      <c r="Y51" s="34"/>
      <c r="Z51" s="34"/>
      <c r="AA51" s="34"/>
      <c r="AB51" s="885"/>
      <c r="AC51" s="695">
        <f>L51+G51</f>
        <v>436934.0608</v>
      </c>
      <c r="AD51" s="870"/>
    </row>
    <row r="52" spans="2:30" s="33" customFormat="1" ht="16.5" customHeight="1">
      <c r="B52" s="684"/>
      <c r="C52" s="687"/>
      <c r="D52" s="886" t="s">
        <v>129</v>
      </c>
      <c r="E52" s="881">
        <v>85</v>
      </c>
      <c r="F52" s="881">
        <v>500</v>
      </c>
      <c r="G52" s="882">
        <f>E52*$F$19*$L$20/100</f>
        <v>55061.028</v>
      </c>
      <c r="H52" s="886"/>
      <c r="I52" s="887"/>
      <c r="J52" s="190"/>
      <c r="K52"/>
      <c r="L52" s="882">
        <v>951</v>
      </c>
      <c r="M52" s="190"/>
      <c r="N52" s="884" t="e">
        <f>"(DTE "&amp;#REF!&amp;#REF!&amp;")"</f>
        <v>#REF!</v>
      </c>
      <c r="O52" s="888"/>
      <c r="P52"/>
      <c r="Q52" s="878"/>
      <c r="R52" s="878"/>
      <c r="S52" s="34"/>
      <c r="T52"/>
      <c r="U52"/>
      <c r="V52"/>
      <c r="W52"/>
      <c r="X52" s="34"/>
      <c r="Y52" s="34"/>
      <c r="Z52" s="34"/>
      <c r="AA52" s="34"/>
      <c r="AB52" s="34"/>
      <c r="AC52" s="695">
        <f>L52+G52</f>
        <v>56012.028</v>
      </c>
      <c r="AD52" s="870"/>
    </row>
    <row r="53" spans="2:30" s="33" customFormat="1" ht="16.5" customHeight="1">
      <c r="B53" s="684"/>
      <c r="C53" s="687"/>
      <c r="E53" s="692"/>
      <c r="F53" s="769"/>
      <c r="G53" s="770"/>
      <c r="H53"/>
      <c r="I53" s="769"/>
      <c r="J53" s="769"/>
      <c r="K53"/>
      <c r="L53" s="695"/>
      <c r="M53" s="877"/>
      <c r="N53" s="877"/>
      <c r="O53" s="878"/>
      <c r="P53" s="878"/>
      <c r="Q53" s="878"/>
      <c r="R53" s="878"/>
      <c r="S53" s="34"/>
      <c r="T53"/>
      <c r="U53"/>
      <c r="V53"/>
      <c r="W53"/>
      <c r="X53" s="34"/>
      <c r="Y53" s="34"/>
      <c r="Z53" s="34"/>
      <c r="AA53" s="34"/>
      <c r="AB53" s="34"/>
      <c r="AC53" s="695"/>
      <c r="AD53" s="870"/>
    </row>
    <row r="54" spans="1:30" ht="16.5" customHeight="1">
      <c r="A54" s="33"/>
      <c r="B54" s="684"/>
      <c r="C54" s="687"/>
      <c r="D54" s="873" t="s">
        <v>130</v>
      </c>
      <c r="E54" s="769" t="s">
        <v>131</v>
      </c>
      <c r="F54" s="769" t="s">
        <v>44</v>
      </c>
      <c r="G54" s="874" t="s">
        <v>167</v>
      </c>
      <c r="I54" s="876"/>
      <c r="J54" s="769"/>
      <c r="L54" s="875" t="s">
        <v>165</v>
      </c>
      <c r="M54" s="876"/>
      <c r="N54" s="877"/>
      <c r="O54" s="878"/>
      <c r="P54" s="878"/>
      <c r="Q54" s="878"/>
      <c r="R54" s="878"/>
      <c r="S54" s="878"/>
      <c r="AC54" s="695">
        <f>+L55</f>
        <v>51800</v>
      </c>
      <c r="AD54" s="870"/>
    </row>
    <row r="55" spans="1:30" ht="16.5" customHeight="1">
      <c r="A55" s="33"/>
      <c r="B55" s="684"/>
      <c r="C55" s="687"/>
      <c r="D55" s="769" t="s">
        <v>132</v>
      </c>
      <c r="E55" s="881">
        <v>300</v>
      </c>
      <c r="F55" s="881" t="s">
        <v>133</v>
      </c>
      <c r="G55" s="882">
        <f>E55*F20*L20</f>
        <v>52920</v>
      </c>
      <c r="H55" s="190"/>
      <c r="I55" s="190"/>
      <c r="J55" s="883"/>
      <c r="L55" s="883">
        <v>51800</v>
      </c>
      <c r="M55" s="190"/>
      <c r="N55" s="884" t="e">
        <f>"(DTE "&amp;#REF!&amp;#REF!&amp;")"</f>
        <v>#REF!</v>
      </c>
      <c r="O55" s="916"/>
      <c r="P55" s="916"/>
      <c r="Q55" s="916"/>
      <c r="R55" s="916"/>
      <c r="S55" s="916"/>
      <c r="AC55" s="917">
        <f>G55</f>
        <v>52920</v>
      </c>
      <c r="AD55" s="870"/>
    </row>
    <row r="56" spans="1:30" ht="16.5" customHeight="1">
      <c r="A56" s="33"/>
      <c r="B56" s="684"/>
      <c r="C56" s="687"/>
      <c r="D56" s="769" t="s">
        <v>134</v>
      </c>
      <c r="E56" s="881">
        <v>150</v>
      </c>
      <c r="F56" s="881" t="s">
        <v>135</v>
      </c>
      <c r="G56" s="882">
        <f>E56*F20*L20</f>
        <v>26460</v>
      </c>
      <c r="H56" s="190"/>
      <c r="I56" s="190"/>
      <c r="J56" s="883"/>
      <c r="L56" s="883"/>
      <c r="M56" s="190"/>
      <c r="N56" s="884"/>
      <c r="O56" s="916"/>
      <c r="P56" s="916"/>
      <c r="Q56" s="916"/>
      <c r="R56" s="916"/>
      <c r="S56" s="916"/>
      <c r="AC56" s="917">
        <f>G56</f>
        <v>26460</v>
      </c>
      <c r="AD56" s="870"/>
    </row>
    <row r="57" spans="1:30" ht="16.5" customHeight="1">
      <c r="A57" s="33"/>
      <c r="B57" s="684"/>
      <c r="C57" s="687"/>
      <c r="D57" s="769"/>
      <c r="E57" s="881"/>
      <c r="F57" s="881"/>
      <c r="G57" s="882"/>
      <c r="H57" s="190"/>
      <c r="I57" s="190"/>
      <c r="J57" s="883"/>
      <c r="L57" s="883"/>
      <c r="M57" s="190"/>
      <c r="N57" s="884"/>
      <c r="O57" s="916"/>
      <c r="P57" s="916"/>
      <c r="Q57" s="916"/>
      <c r="R57" s="916"/>
      <c r="S57" s="916"/>
      <c r="AC57" s="917"/>
      <c r="AD57" s="870"/>
    </row>
    <row r="58" spans="1:30" ht="16.5" customHeight="1">
      <c r="A58" s="33"/>
      <c r="B58" s="684"/>
      <c r="C58" s="687"/>
      <c r="D58" s="873" t="s">
        <v>50</v>
      </c>
      <c r="E58" s="887" t="s">
        <v>1</v>
      </c>
      <c r="F58" s="887"/>
      <c r="G58" s="769" t="s">
        <v>44</v>
      </c>
      <c r="I58" s="876"/>
      <c r="J58" s="874" t="s">
        <v>168</v>
      </c>
      <c r="L58" s="875"/>
      <c r="M58" s="876"/>
      <c r="N58" s="877"/>
      <c r="O58" s="878"/>
      <c r="P58" s="878"/>
      <c r="Q58" s="878"/>
      <c r="R58" s="878"/>
      <c r="S58" s="878"/>
      <c r="AC58" s="695"/>
      <c r="AD58" s="870"/>
    </row>
    <row r="59" spans="1:30" ht="16.5" customHeight="1">
      <c r="A59" s="33"/>
      <c r="B59" s="684"/>
      <c r="C59" s="687"/>
      <c r="D59" s="769" t="s">
        <v>136</v>
      </c>
      <c r="E59" s="918" t="s">
        <v>137</v>
      </c>
      <c r="F59" s="919"/>
      <c r="G59" s="881">
        <v>132</v>
      </c>
      <c r="H59" s="190"/>
      <c r="I59" s="190"/>
      <c r="J59" s="882">
        <f>0*F21*L20</f>
        <v>0</v>
      </c>
      <c r="L59" s="883"/>
      <c r="M59" s="190"/>
      <c r="N59" s="884"/>
      <c r="O59" s="916"/>
      <c r="P59" s="916"/>
      <c r="Q59" s="916"/>
      <c r="R59" s="916"/>
      <c r="S59" s="916"/>
      <c r="AC59" s="917">
        <f>J59</f>
        <v>0</v>
      </c>
      <c r="AD59" s="870"/>
    </row>
    <row r="60" spans="1:30" ht="16.5" customHeight="1">
      <c r="A60" s="33"/>
      <c r="B60" s="684"/>
      <c r="C60" s="687"/>
      <c r="D60" s="769" t="s">
        <v>138</v>
      </c>
      <c r="E60" s="918" t="s">
        <v>139</v>
      </c>
      <c r="F60" s="919"/>
      <c r="G60" s="881">
        <v>500</v>
      </c>
      <c r="H60" s="190"/>
      <c r="I60" s="190"/>
      <c r="J60" s="882">
        <f>F22*L20</f>
        <v>35326.799999999996</v>
      </c>
      <c r="L60" s="883"/>
      <c r="M60" s="190"/>
      <c r="N60" s="884"/>
      <c r="O60" s="916"/>
      <c r="P60" s="916"/>
      <c r="Q60" s="916"/>
      <c r="R60" s="916"/>
      <c r="S60" s="916"/>
      <c r="AC60" s="920">
        <f>J60</f>
        <v>35326.799999999996</v>
      </c>
      <c r="AD60" s="870"/>
    </row>
    <row r="61" spans="1:30" ht="16.5" customHeight="1">
      <c r="A61" s="33"/>
      <c r="B61" s="684"/>
      <c r="C61" s="687"/>
      <c r="D61" s="675"/>
      <c r="E61" s="692"/>
      <c r="F61" s="769"/>
      <c r="G61" s="769"/>
      <c r="H61" s="770"/>
      <c r="J61" s="769"/>
      <c r="L61" s="890"/>
      <c r="M61" s="877"/>
      <c r="N61" s="877"/>
      <c r="O61" s="878"/>
      <c r="P61" s="878"/>
      <c r="Q61" s="878"/>
      <c r="R61" s="878"/>
      <c r="S61" s="878"/>
      <c r="AC61" s="686">
        <f>SUM(AC51:AC59)</f>
        <v>624126.0888</v>
      </c>
      <c r="AD61" s="870"/>
    </row>
    <row r="62" spans="2:30" ht="16.5" customHeight="1">
      <c r="B62" s="684"/>
      <c r="C62" s="871" t="s">
        <v>117</v>
      </c>
      <c r="D62" s="891" t="s">
        <v>118</v>
      </c>
      <c r="E62" s="769"/>
      <c r="F62" s="892"/>
      <c r="G62" s="768"/>
      <c r="H62" s="675"/>
      <c r="I62" s="675"/>
      <c r="J62" s="675"/>
      <c r="K62" s="769"/>
      <c r="L62" s="769"/>
      <c r="M62" s="675"/>
      <c r="N62" s="769"/>
      <c r="O62" s="675"/>
      <c r="P62" s="675"/>
      <c r="Q62" s="675"/>
      <c r="R62" s="675"/>
      <c r="S62" s="675"/>
      <c r="T62" s="675"/>
      <c r="U62" s="675"/>
      <c r="AC62" s="675"/>
      <c r="AD62" s="870"/>
    </row>
    <row r="63" spans="2:30" s="33" customFormat="1" ht="16.5" customHeight="1">
      <c r="B63" s="684"/>
      <c r="C63" s="687"/>
      <c r="D63" s="873" t="s">
        <v>119</v>
      </c>
      <c r="E63" s="893">
        <f>10*K46*K26/AC61</f>
        <v>789.2921995890475</v>
      </c>
      <c r="G63" s="768"/>
      <c r="L63" s="769"/>
      <c r="N63" s="769"/>
      <c r="O63" s="770"/>
      <c r="V63"/>
      <c r="W63"/>
      <c r="AD63" s="870"/>
    </row>
    <row r="64" spans="2:30" s="33" customFormat="1" ht="16.5" customHeight="1">
      <c r="B64" s="684"/>
      <c r="C64" s="687"/>
      <c r="E64" s="894"/>
      <c r="F64" s="696"/>
      <c r="G64" s="768"/>
      <c r="J64" s="768"/>
      <c r="K64" s="783"/>
      <c r="L64" s="769"/>
      <c r="M64" s="769"/>
      <c r="N64" s="769"/>
      <c r="O64" s="770"/>
      <c r="P64" s="769"/>
      <c r="Q64" s="769"/>
      <c r="R64" s="782"/>
      <c r="S64" s="782"/>
      <c r="T64" s="782"/>
      <c r="U64" s="895"/>
      <c r="V64"/>
      <c r="W64"/>
      <c r="AC64" s="895"/>
      <c r="AD64" s="870"/>
    </row>
    <row r="65" spans="2:30" ht="16.5" customHeight="1">
      <c r="B65" s="684"/>
      <c r="C65" s="687"/>
      <c r="D65" s="896" t="s">
        <v>140</v>
      </c>
      <c r="E65" s="897"/>
      <c r="F65" s="696"/>
      <c r="G65" s="768"/>
      <c r="H65" s="675"/>
      <c r="I65" s="675"/>
      <c r="N65" s="769"/>
      <c r="O65" s="770"/>
      <c r="P65" s="769"/>
      <c r="Q65" s="769"/>
      <c r="R65" s="876"/>
      <c r="S65" s="876"/>
      <c r="T65" s="876"/>
      <c r="U65" s="877"/>
      <c r="AC65" s="877"/>
      <c r="AD65" s="870"/>
    </row>
    <row r="66" spans="2:30" ht="16.5" customHeight="1" thickBot="1">
      <c r="B66" s="684"/>
      <c r="C66" s="687"/>
      <c r="D66" s="896"/>
      <c r="E66" s="897"/>
      <c r="F66" s="696"/>
      <c r="G66" s="768"/>
      <c r="H66" s="675"/>
      <c r="I66" s="675"/>
      <c r="N66" s="769"/>
      <c r="O66" s="770"/>
      <c r="P66" s="769"/>
      <c r="Q66" s="769"/>
      <c r="R66" s="876"/>
      <c r="S66" s="876"/>
      <c r="T66" s="876"/>
      <c r="U66" s="877"/>
      <c r="AC66" s="877"/>
      <c r="AD66" s="870"/>
    </row>
    <row r="67" spans="2:30" s="898" customFormat="1" ht="21" thickBot="1" thickTop="1">
      <c r="B67" s="899"/>
      <c r="C67" s="900"/>
      <c r="D67" s="901"/>
      <c r="E67" s="902"/>
      <c r="F67" s="903"/>
      <c r="G67" s="904"/>
      <c r="I67"/>
      <c r="J67" s="905" t="s">
        <v>121</v>
      </c>
      <c r="K67" s="906">
        <f>IF(E63&gt;3*K26,K26*3,E63)</f>
        <v>789.2921995890475</v>
      </c>
      <c r="M67" s="907"/>
      <c r="N67" s="907"/>
      <c r="O67" s="908"/>
      <c r="P67" s="907"/>
      <c r="Q67" s="907"/>
      <c r="R67" s="909"/>
      <c r="S67" s="909"/>
      <c r="T67" s="909"/>
      <c r="U67" s="910"/>
      <c r="V67"/>
      <c r="W67"/>
      <c r="AC67" s="910"/>
      <c r="AD67" s="911"/>
    </row>
    <row r="68" spans="2:30" ht="16.5" customHeight="1" thickBot="1" thickTop="1">
      <c r="B68" s="58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256"/>
      <c r="W68" s="256"/>
      <c r="X68" s="256"/>
      <c r="Y68" s="256"/>
      <c r="Z68" s="256"/>
      <c r="AA68" s="256"/>
      <c r="AB68" s="256"/>
      <c r="AC68" s="60"/>
      <c r="AD68" s="912"/>
    </row>
    <row r="69" spans="2:23" ht="16.5" customHeight="1" thickTop="1">
      <c r="B69" s="1"/>
      <c r="C69" s="74"/>
      <c r="W69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2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66"/>
  <sheetViews>
    <sheetView zoomScale="75" zoomScaleNormal="75" workbookViewId="0" topLeftCell="C1">
      <selection activeCell="E59" sqref="E59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7.57421875" style="0" hidden="1" customWidth="1"/>
    <col min="9" max="11" width="18.7109375" style="0" customWidth="1"/>
    <col min="12" max="12" width="10.7109375" style="0" customWidth="1"/>
    <col min="13" max="13" width="14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9.421875" style="0" hidden="1" customWidth="1"/>
    <col min="19" max="19" width="10.5742187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58"/>
      <c r="AD1" s="921"/>
    </row>
    <row r="2" spans="1:23" ht="27" customHeight="1">
      <c r="A2" s="9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681" customFormat="1" ht="30.75">
      <c r="A3" s="678"/>
      <c r="B3" s="679" t="str">
        <f>+'TOT-0907'!B2</f>
        <v>ANEXO IV al Memorandum D.T.E.E. N°  1955 /2009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AB3" s="680"/>
      <c r="AC3" s="680"/>
      <c r="AD3" s="680"/>
    </row>
    <row r="4" spans="1:2" s="26" customFormat="1" ht="11.25">
      <c r="A4" s="913" t="s">
        <v>2</v>
      </c>
      <c r="B4" s="914"/>
    </row>
    <row r="5" spans="1:2" s="26" customFormat="1" ht="12" thickBot="1">
      <c r="A5" s="913" t="s">
        <v>3</v>
      </c>
      <c r="B5" s="913"/>
    </row>
    <row r="6" spans="1:23" ht="16.5" customHeight="1" thickTop="1">
      <c r="A6" s="5"/>
      <c r="B6" s="70"/>
      <c r="C6" s="71"/>
      <c r="D6" s="71"/>
      <c r="E6" s="259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95"/>
    </row>
    <row r="7" spans="1:23" ht="20.25">
      <c r="A7" s="5"/>
      <c r="B7" s="51"/>
      <c r="C7" s="4"/>
      <c r="D7" s="192" t="s">
        <v>100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8"/>
      <c r="Q7" s="78"/>
      <c r="R7" s="4"/>
      <c r="S7" s="4"/>
      <c r="T7" s="4"/>
      <c r="U7" s="4"/>
      <c r="V7" s="4"/>
      <c r="W7" s="18"/>
    </row>
    <row r="8" spans="1:23" ht="16.5" customHeight="1">
      <c r="A8" s="5"/>
      <c r="B8" s="5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8"/>
    </row>
    <row r="9" spans="2:23" s="37" customFormat="1" ht="20.25">
      <c r="B9" s="45"/>
      <c r="C9" s="44"/>
      <c r="D9" s="192" t="s">
        <v>101</v>
      </c>
      <c r="E9" s="44"/>
      <c r="F9" s="44"/>
      <c r="G9" s="44"/>
      <c r="H9" s="44"/>
      <c r="N9" s="44"/>
      <c r="O9" s="44"/>
      <c r="P9" s="261"/>
      <c r="Q9" s="261"/>
      <c r="R9" s="44"/>
      <c r="S9" s="44"/>
      <c r="T9" s="44"/>
      <c r="U9" s="44"/>
      <c r="V9" s="44"/>
      <c r="W9" s="262"/>
    </row>
    <row r="10" spans="1:23" ht="16.5" customHeight="1">
      <c r="A10" s="5"/>
      <c r="B10" s="5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8"/>
    </row>
    <row r="11" spans="2:23" s="37" customFormat="1" ht="20.25">
      <c r="B11" s="45"/>
      <c r="C11" s="44"/>
      <c r="D11" s="192" t="s">
        <v>141</v>
      </c>
      <c r="E11" s="44"/>
      <c r="F11" s="44"/>
      <c r="G11" s="44"/>
      <c r="H11" s="44"/>
      <c r="N11" s="44"/>
      <c r="O11" s="44"/>
      <c r="P11" s="261"/>
      <c r="Q11" s="261"/>
      <c r="R11" s="44"/>
      <c r="S11" s="44"/>
      <c r="T11" s="44"/>
      <c r="U11" s="44"/>
      <c r="V11" s="44"/>
      <c r="W11" s="262"/>
    </row>
    <row r="12" spans="1:23" ht="16.5" customHeight="1">
      <c r="A12" s="5"/>
      <c r="B12" s="51"/>
      <c r="C12" s="4"/>
      <c r="D12" s="4"/>
      <c r="E12" s="5"/>
      <c r="F12" s="5"/>
      <c r="G12" s="5"/>
      <c r="H12" s="5"/>
      <c r="I12" s="73"/>
      <c r="J12" s="73"/>
      <c r="K12" s="73"/>
      <c r="L12" s="73"/>
      <c r="M12" s="73"/>
      <c r="N12" s="73"/>
      <c r="O12" s="73"/>
      <c r="P12" s="73"/>
      <c r="Q12" s="73"/>
      <c r="R12" s="4"/>
      <c r="S12" s="4"/>
      <c r="T12" s="4"/>
      <c r="U12" s="4"/>
      <c r="V12" s="4"/>
      <c r="W12" s="18"/>
    </row>
    <row r="13" spans="2:23" s="37" customFormat="1" ht="19.5">
      <c r="B13" s="38" t="str">
        <f>'TOT-0907'!B14</f>
        <v>Desde el 01 al 30 de septiembre de 2007</v>
      </c>
      <c r="C13" s="39"/>
      <c r="D13" s="41"/>
      <c r="E13" s="41"/>
      <c r="F13" s="41"/>
      <c r="G13" s="41"/>
      <c r="H13" s="41"/>
      <c r="I13" s="42"/>
      <c r="J13" s="190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130"/>
      <c r="V13" s="130"/>
      <c r="W13" s="43"/>
    </row>
    <row r="14" spans="1:23" ht="16.5" customHeight="1">
      <c r="A14" s="5"/>
      <c r="B14" s="51"/>
      <c r="C14" s="4"/>
      <c r="D14" s="4"/>
      <c r="E14" s="67"/>
      <c r="F14" s="67"/>
      <c r="G14" s="4"/>
      <c r="H14" s="4"/>
      <c r="I14" s="4"/>
      <c r="J14" s="683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8"/>
    </row>
    <row r="15" spans="1:23" ht="16.5" customHeight="1">
      <c r="A15" s="5"/>
      <c r="B15" s="51"/>
      <c r="C15" s="4"/>
      <c r="D15" s="4"/>
      <c r="E15" s="67"/>
      <c r="F15" s="67"/>
      <c r="G15" s="4"/>
      <c r="H15" s="4"/>
      <c r="I15" s="153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8"/>
    </row>
    <row r="16" spans="1:23" ht="16.5" customHeight="1">
      <c r="A16" s="5"/>
      <c r="B16" s="51"/>
      <c r="C16" s="4"/>
      <c r="D16" s="4"/>
      <c r="E16" s="67"/>
      <c r="F16" s="67"/>
      <c r="G16" s="4"/>
      <c r="H16" s="4"/>
      <c r="I16" s="153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8"/>
    </row>
    <row r="17" spans="1:23" ht="16.5" customHeight="1" thickBot="1">
      <c r="A17" s="5"/>
      <c r="B17" s="51"/>
      <c r="C17" s="180" t="s">
        <v>103</v>
      </c>
      <c r="D17" s="55" t="s">
        <v>104</v>
      </c>
      <c r="E17" s="67"/>
      <c r="F17" s="67"/>
      <c r="G17" s="4"/>
      <c r="H17" s="4"/>
      <c r="I17" s="4"/>
      <c r="J17" s="683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8"/>
    </row>
    <row r="18" spans="2:23" s="33" customFormat="1" ht="16.5" customHeight="1" thickBot="1">
      <c r="B18" s="684"/>
      <c r="C18" s="34"/>
      <c r="D18" s="685"/>
      <c r="E18" s="686"/>
      <c r="F18" s="687"/>
      <c r="G18" s="34"/>
      <c r="H18" s="34"/>
      <c r="I18" s="34"/>
      <c r="J18" s="688"/>
      <c r="K18" s="34"/>
      <c r="L18" s="34"/>
      <c r="M18" s="34"/>
      <c r="N18" s="922" t="s">
        <v>38</v>
      </c>
      <c r="P18" s="34"/>
      <c r="Q18" s="34"/>
      <c r="R18" s="34"/>
      <c r="S18" s="34"/>
      <c r="T18" s="34"/>
      <c r="U18" s="34"/>
      <c r="V18" s="34"/>
      <c r="W18" s="689"/>
    </row>
    <row r="19" spans="2:23" s="33" customFormat="1" ht="16.5" customHeight="1">
      <c r="B19" s="684"/>
      <c r="C19" s="34"/>
      <c r="E19" s="693" t="s">
        <v>41</v>
      </c>
      <c r="F19" s="694">
        <v>0.025</v>
      </c>
      <c r="G19" s="691"/>
      <c r="H19" s="34"/>
      <c r="I19" s="273"/>
      <c r="J19" s="274"/>
      <c r="K19" s="923" t="s">
        <v>142</v>
      </c>
      <c r="L19" s="924"/>
      <c r="M19" s="925">
        <v>49.065</v>
      </c>
      <c r="N19" s="926">
        <v>200</v>
      </c>
      <c r="R19" s="34"/>
      <c r="S19" s="34"/>
      <c r="T19" s="34"/>
      <c r="U19" s="34"/>
      <c r="V19" s="34"/>
      <c r="W19" s="689"/>
    </row>
    <row r="20" spans="2:23" s="33" customFormat="1" ht="16.5" customHeight="1">
      <c r="B20" s="684"/>
      <c r="C20" s="34"/>
      <c r="E20" s="685" t="s">
        <v>39</v>
      </c>
      <c r="F20" s="34">
        <v>720</v>
      </c>
      <c r="G20" s="34" t="s">
        <v>40</v>
      </c>
      <c r="H20" s="34"/>
      <c r="I20" s="34"/>
      <c r="J20" s="34"/>
      <c r="K20" s="927" t="s">
        <v>88</v>
      </c>
      <c r="L20" s="928"/>
      <c r="M20" s="929">
        <v>44.156</v>
      </c>
      <c r="N20" s="930">
        <v>100</v>
      </c>
      <c r="O20" s="34"/>
      <c r="P20" s="915"/>
      <c r="Q20" s="34"/>
      <c r="R20" s="34"/>
      <c r="S20" s="34"/>
      <c r="T20" s="34"/>
      <c r="U20" s="34"/>
      <c r="V20" s="34"/>
      <c r="W20" s="689"/>
    </row>
    <row r="21" spans="2:23" s="33" customFormat="1" ht="16.5" customHeight="1" thickBot="1">
      <c r="B21" s="684"/>
      <c r="C21" s="34"/>
      <c r="E21" s="685" t="s">
        <v>42</v>
      </c>
      <c r="F21" s="34">
        <v>0.245</v>
      </c>
      <c r="G21" s="33" t="s">
        <v>124</v>
      </c>
      <c r="H21" s="34"/>
      <c r="I21" s="34"/>
      <c r="J21" s="34"/>
      <c r="K21" s="931" t="s">
        <v>143</v>
      </c>
      <c r="L21" s="932"/>
      <c r="M21" s="933">
        <v>39.254</v>
      </c>
      <c r="N21" s="934">
        <v>40</v>
      </c>
      <c r="O21" s="34"/>
      <c r="P21" s="915"/>
      <c r="Q21" s="34">
        <f>+P31*H31*(505/60)</f>
        <v>1237.25</v>
      </c>
      <c r="R21" s="34"/>
      <c r="S21" s="34"/>
      <c r="T21" s="34"/>
      <c r="U21" s="34"/>
      <c r="V21" s="34"/>
      <c r="W21" s="689"/>
    </row>
    <row r="22" spans="2:23" s="33" customFormat="1" ht="16.5" customHeight="1">
      <c r="B22" s="684"/>
      <c r="C22" s="34"/>
      <c r="D22" s="34"/>
      <c r="E22" s="696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689"/>
    </row>
    <row r="23" spans="1:23" ht="16.5" customHeight="1">
      <c r="A23" s="5"/>
      <c r="B23" s="51"/>
      <c r="C23" s="180" t="s">
        <v>107</v>
      </c>
      <c r="D23" s="3" t="s">
        <v>160</v>
      </c>
      <c r="I23" s="4"/>
      <c r="J23" s="33"/>
      <c r="O23" s="4"/>
      <c r="P23" s="4"/>
      <c r="Q23" s="4"/>
      <c r="R23" s="4"/>
      <c r="S23" s="4"/>
      <c r="T23" s="4"/>
      <c r="V23" s="4"/>
      <c r="W23" s="18"/>
    </row>
    <row r="24" spans="1:23" ht="10.5" customHeight="1" thickBot="1">
      <c r="A24" s="5"/>
      <c r="B24" s="51"/>
      <c r="C24" s="67"/>
      <c r="D24" s="3"/>
      <c r="I24" s="4"/>
      <c r="J24" s="33"/>
      <c r="O24" s="4"/>
      <c r="P24" s="4"/>
      <c r="Q24" s="4"/>
      <c r="R24" s="4"/>
      <c r="S24" s="4"/>
      <c r="T24" s="4"/>
      <c r="V24" s="4"/>
      <c r="W24" s="18"/>
    </row>
    <row r="25" spans="2:23" s="33" customFormat="1" ht="16.5" customHeight="1" thickBot="1" thickTop="1">
      <c r="B25" s="684"/>
      <c r="C25" s="687"/>
      <c r="D25"/>
      <c r="E25"/>
      <c r="F25"/>
      <c r="G25"/>
      <c r="H25"/>
      <c r="I25" s="697" t="s">
        <v>46</v>
      </c>
      <c r="J25" s="935">
        <f>+M25*F19</f>
        <v>10129.536</v>
      </c>
      <c r="L25" s="697" t="s">
        <v>316</v>
      </c>
      <c r="M25" s="935">
        <v>405181.44</v>
      </c>
      <c r="S25"/>
      <c r="T25"/>
      <c r="U25"/>
      <c r="W25" s="689"/>
    </row>
    <row r="26" spans="2:23" s="33" customFormat="1" ht="11.25" customHeight="1" thickTop="1">
      <c r="B26" s="684"/>
      <c r="C26" s="687"/>
      <c r="D26" s="34"/>
      <c r="E26" s="69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/>
      <c r="W26" s="689"/>
    </row>
    <row r="27" spans="1:23" ht="16.5" customHeight="1">
      <c r="A27" s="5"/>
      <c r="B27" s="51"/>
      <c r="C27" s="180" t="s">
        <v>108</v>
      </c>
      <c r="D27" s="3" t="s">
        <v>161</v>
      </c>
      <c r="E27" s="27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8"/>
    </row>
    <row r="28" spans="1:23" ht="13.5" customHeight="1" thickBot="1">
      <c r="A28" s="33"/>
      <c r="B28" s="51"/>
      <c r="C28" s="687"/>
      <c r="D28" s="687"/>
      <c r="E28" s="767"/>
      <c r="F28" s="696"/>
      <c r="G28" s="768"/>
      <c r="H28" s="768"/>
      <c r="I28" s="769"/>
      <c r="J28" s="769"/>
      <c r="K28" s="769"/>
      <c r="L28" s="769"/>
      <c r="M28" s="769"/>
      <c r="N28" s="769"/>
      <c r="O28" s="770"/>
      <c r="P28" s="769"/>
      <c r="Q28" s="769"/>
      <c r="R28" s="936"/>
      <c r="S28" s="937"/>
      <c r="T28" s="938"/>
      <c r="U28" s="938"/>
      <c r="V28" s="938"/>
      <c r="W28" s="337"/>
    </row>
    <row r="29" spans="1:26" s="5" customFormat="1" ht="33.75" customHeight="1" thickBot="1" thickTop="1">
      <c r="A29" s="91"/>
      <c r="B29" s="96"/>
      <c r="C29" s="127" t="s">
        <v>13</v>
      </c>
      <c r="D29" s="123" t="s">
        <v>28</v>
      </c>
      <c r="E29" s="122" t="s">
        <v>29</v>
      </c>
      <c r="F29" s="124" t="s">
        <v>30</v>
      </c>
      <c r="G29" s="125" t="s">
        <v>14</v>
      </c>
      <c r="H29" s="139" t="s">
        <v>16</v>
      </c>
      <c r="I29" s="122" t="s">
        <v>17</v>
      </c>
      <c r="J29" s="122" t="s">
        <v>18</v>
      </c>
      <c r="K29" s="123" t="s">
        <v>31</v>
      </c>
      <c r="L29" s="123" t="s">
        <v>32</v>
      </c>
      <c r="M29" s="89" t="s">
        <v>111</v>
      </c>
      <c r="N29" s="122" t="s">
        <v>33</v>
      </c>
      <c r="O29" s="785" t="s">
        <v>34</v>
      </c>
      <c r="P29" s="139" t="s">
        <v>35</v>
      </c>
      <c r="Q29" s="787" t="s">
        <v>20</v>
      </c>
      <c r="R29" s="788" t="s">
        <v>112</v>
      </c>
      <c r="S29" s="789"/>
      <c r="T29" s="790" t="s">
        <v>22</v>
      </c>
      <c r="U29" s="144" t="s">
        <v>76</v>
      </c>
      <c r="V29" s="125" t="s">
        <v>24</v>
      </c>
      <c r="W29" s="18"/>
      <c r="Y29"/>
      <c r="Z29"/>
    </row>
    <row r="30" spans="1:23" ht="16.5" customHeight="1" thickTop="1">
      <c r="A30" s="5"/>
      <c r="B30" s="51"/>
      <c r="C30" s="10"/>
      <c r="D30" s="10"/>
      <c r="E30" s="10"/>
      <c r="F30" s="10"/>
      <c r="G30" s="794"/>
      <c r="H30" s="795"/>
      <c r="I30" s="10"/>
      <c r="J30" s="10"/>
      <c r="K30" s="10"/>
      <c r="L30" s="10"/>
      <c r="M30" s="10"/>
      <c r="N30" s="797"/>
      <c r="O30" s="939"/>
      <c r="P30" s="145"/>
      <c r="Q30" s="800"/>
      <c r="R30" s="801"/>
      <c r="S30" s="802"/>
      <c r="T30" s="803"/>
      <c r="U30" s="797"/>
      <c r="V30" s="807"/>
      <c r="W30" s="18"/>
    </row>
    <row r="31" spans="1:23" ht="16.5" customHeight="1">
      <c r="A31" s="5"/>
      <c r="B31" s="51"/>
      <c r="C31" s="1043" t="s">
        <v>176</v>
      </c>
      <c r="D31" s="1136" t="s">
        <v>292</v>
      </c>
      <c r="E31" s="1136" t="s">
        <v>293</v>
      </c>
      <c r="F31" s="1136">
        <v>300</v>
      </c>
      <c r="G31" s="1136" t="s">
        <v>291</v>
      </c>
      <c r="H31" s="812">
        <f>F31*$F$21</f>
        <v>73.5</v>
      </c>
      <c r="I31" s="172">
        <v>39348.393055555556</v>
      </c>
      <c r="J31" s="172">
        <v>39348.74375</v>
      </c>
      <c r="K31" s="426">
        <f>IF(D31="","",(J31-I31)*24)</f>
        <v>8.41666666668607</v>
      </c>
      <c r="L31" s="14">
        <f>IF(D31="","",(J31-I31)*24*60)</f>
        <v>505.00000000116415</v>
      </c>
      <c r="M31" s="13" t="s">
        <v>182</v>
      </c>
      <c r="N31" s="8" t="str">
        <f>IF(D31="","",IF(OR(M31="P",M31="RP"),"--","NO"))</f>
        <v>--</v>
      </c>
      <c r="O31" s="940" t="str">
        <f>IF(D31="","","NO")</f>
        <v>NO</v>
      </c>
      <c r="P31" s="817">
        <f>200*IF(O31="SI",1,0.1)*IF(M31="P",0.1,1)</f>
        <v>2</v>
      </c>
      <c r="Q31" s="818">
        <f>IF(M31="P",H31*P31*ROUND(L31/60,2),"--")</f>
        <v>1237.74</v>
      </c>
      <c r="R31" s="819" t="str">
        <f>IF(AND(M31="F",N31="NO"),H31*P31,"--")</f>
        <v>--</v>
      </c>
      <c r="S31" s="820" t="str">
        <f>IF(M31="F",H31*P31*ROUND(L31/60,2),"--")</f>
        <v>--</v>
      </c>
      <c r="T31" s="566" t="str">
        <f>IF(M31="RF",H31*P31*ROUND(L31/60,2),"--")</f>
        <v>--</v>
      </c>
      <c r="U31" s="436" t="str">
        <f>IF(D31="","","SI")</f>
        <v>SI</v>
      </c>
      <c r="V31" s="437">
        <f>IF(D31="","",SUM(Q31:T31)*IF(U31="SI",1,2))</f>
        <v>1237.74</v>
      </c>
      <c r="W31" s="337"/>
    </row>
    <row r="32" spans="1:23" ht="16.5" customHeight="1">
      <c r="A32" s="5"/>
      <c r="B32" s="51"/>
      <c r="C32" s="1043"/>
      <c r="D32" s="808"/>
      <c r="E32" s="809"/>
      <c r="F32" s="810"/>
      <c r="G32" s="811"/>
      <c r="H32" s="812">
        <f>F32*$F$21</f>
        <v>0</v>
      </c>
      <c r="I32" s="814"/>
      <c r="J32" s="814"/>
      <c r="K32" s="426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940">
        <f>IF(D32="","","NO")</f>
      </c>
      <c r="P32" s="817">
        <f>200*IF(O32="SI",1,0.1)*IF(M32="P",0.1,1)</f>
        <v>20</v>
      </c>
      <c r="Q32" s="818" t="str">
        <f>IF(M32="P",H32*P32*ROUND(L32/60,2),"--")</f>
        <v>--</v>
      </c>
      <c r="R32" s="819" t="str">
        <f>IF(AND(M32="F",N32="NO"),H32*P32,"--")</f>
        <v>--</v>
      </c>
      <c r="S32" s="820" t="str">
        <f>IF(M32="F",H32*P32*ROUND(L32/60,2),"--")</f>
        <v>--</v>
      </c>
      <c r="T32" s="566" t="str">
        <f>IF(M32="RF",H32*P32*ROUND(L32/60,2),"--")</f>
        <v>--</v>
      </c>
      <c r="U32" s="436">
        <f>IF(D32="","","SI")</f>
      </c>
      <c r="V32" s="437">
        <f>IF(D32="","",SUM(Q32:T32)*IF(U32="SI",1,2))</f>
      </c>
      <c r="W32" s="337"/>
    </row>
    <row r="33" spans="1:23" ht="16.5" customHeight="1" thickBot="1">
      <c r="A33" s="33"/>
      <c r="B33" s="51"/>
      <c r="C33" s="824"/>
      <c r="D33" s="825"/>
      <c r="E33" s="826"/>
      <c r="F33" s="827"/>
      <c r="G33" s="828"/>
      <c r="H33" s="829"/>
      <c r="I33" s="831"/>
      <c r="J33" s="832"/>
      <c r="K33" s="833"/>
      <c r="L33" s="834"/>
      <c r="M33" s="835"/>
      <c r="N33" s="9"/>
      <c r="O33" s="941"/>
      <c r="P33" s="838"/>
      <c r="Q33" s="839"/>
      <c r="R33" s="840"/>
      <c r="S33" s="841"/>
      <c r="T33" s="842"/>
      <c r="U33" s="846"/>
      <c r="V33" s="847"/>
      <c r="W33" s="337"/>
    </row>
    <row r="34" spans="1:23" ht="16.5" customHeight="1" thickBot="1" thickTop="1">
      <c r="A34" s="33"/>
      <c r="B34" s="51"/>
      <c r="C34" s="99"/>
      <c r="D34" s="277"/>
      <c r="E34" s="277"/>
      <c r="F34" s="604"/>
      <c r="G34" s="848"/>
      <c r="H34" s="849"/>
      <c r="I34" s="850"/>
      <c r="J34" s="851"/>
      <c r="K34" s="852"/>
      <c r="L34" s="853"/>
      <c r="M34" s="849"/>
      <c r="N34" s="854"/>
      <c r="O34" s="242"/>
      <c r="P34" s="855"/>
      <c r="Q34" s="856"/>
      <c r="R34" s="857"/>
      <c r="S34" s="857"/>
      <c r="T34" s="857"/>
      <c r="U34" s="245"/>
      <c r="V34" s="858">
        <f>SUM(V30:V33)</f>
        <v>1237.74</v>
      </c>
      <c r="W34" s="337"/>
    </row>
    <row r="35" spans="1:23" ht="16.5" customHeight="1" thickBot="1" thickTop="1">
      <c r="A35" s="33"/>
      <c r="B35" s="51"/>
      <c r="C35" s="99"/>
      <c r="D35" s="277"/>
      <c r="E35" s="277"/>
      <c r="F35" s="604"/>
      <c r="G35" s="848"/>
      <c r="H35" s="849"/>
      <c r="I35" s="850"/>
      <c r="L35" s="853"/>
      <c r="M35" s="849"/>
      <c r="N35" s="859"/>
      <c r="O35" s="860"/>
      <c r="P35" s="855"/>
      <c r="Q35" s="856"/>
      <c r="R35" s="857"/>
      <c r="S35" s="857"/>
      <c r="T35" s="857"/>
      <c r="U35" s="245"/>
      <c r="V35" s="245"/>
      <c r="W35" s="337"/>
    </row>
    <row r="36" spans="2:23" s="5" customFormat="1" ht="33.75" customHeight="1" thickBot="1" thickTop="1">
      <c r="B36" s="51"/>
      <c r="C36" s="85" t="s">
        <v>13</v>
      </c>
      <c r="D36" s="87" t="s">
        <v>28</v>
      </c>
      <c r="E36" s="1158" t="s">
        <v>29</v>
      </c>
      <c r="F36" s="1160"/>
      <c r="G36" s="144" t="s">
        <v>14</v>
      </c>
      <c r="H36" s="139" t="s">
        <v>16</v>
      </c>
      <c r="I36" s="86" t="s">
        <v>17</v>
      </c>
      <c r="J36" s="549" t="s">
        <v>18</v>
      </c>
      <c r="K36" s="551" t="s">
        <v>37</v>
      </c>
      <c r="L36" s="551" t="s">
        <v>32</v>
      </c>
      <c r="M36" s="89" t="s">
        <v>19</v>
      </c>
      <c r="N36" s="1158" t="s">
        <v>33</v>
      </c>
      <c r="O36" s="1159"/>
      <c r="P36" s="147" t="s">
        <v>38</v>
      </c>
      <c r="Q36" s="552" t="s">
        <v>63</v>
      </c>
      <c r="R36" s="214" t="s">
        <v>36</v>
      </c>
      <c r="S36" s="553"/>
      <c r="T36" s="146" t="s">
        <v>22</v>
      </c>
      <c r="U36" s="144" t="s">
        <v>76</v>
      </c>
      <c r="V36" s="125" t="s">
        <v>24</v>
      </c>
      <c r="W36" s="6"/>
    </row>
    <row r="37" spans="2:23" s="5" customFormat="1" ht="16.5" customHeight="1" thickTop="1">
      <c r="B37" s="51"/>
      <c r="C37" s="7"/>
      <c r="D37" s="561"/>
      <c r="E37" s="1161"/>
      <c r="F37" s="1162"/>
      <c r="G37" s="561"/>
      <c r="H37" s="562"/>
      <c r="I37" s="561"/>
      <c r="J37" s="561"/>
      <c r="K37" s="561"/>
      <c r="L37" s="561"/>
      <c r="M37" s="561"/>
      <c r="N37" s="561"/>
      <c r="O37" s="942"/>
      <c r="P37" s="563"/>
      <c r="Q37" s="564"/>
      <c r="R37" s="237"/>
      <c r="S37" s="565"/>
      <c r="T37" s="566"/>
      <c r="U37" s="561"/>
      <c r="V37" s="567"/>
      <c r="W37" s="6"/>
    </row>
    <row r="38" spans="2:23" s="5" customFormat="1" ht="16.5" customHeight="1">
      <c r="B38" s="51"/>
      <c r="C38" s="1043" t="s">
        <v>177</v>
      </c>
      <c r="D38" s="561" t="s">
        <v>249</v>
      </c>
      <c r="E38" s="626" t="s">
        <v>256</v>
      </c>
      <c r="F38" s="1044"/>
      <c r="G38" s="943">
        <v>132</v>
      </c>
      <c r="H38" s="140">
        <f>IF(G38=500,$M$19,IF(G38=220,$M$20,$M$21))</f>
        <v>39.254</v>
      </c>
      <c r="I38" s="944">
        <v>39330.379166666666</v>
      </c>
      <c r="J38" s="945">
        <v>39330.745833333334</v>
      </c>
      <c r="K38" s="571">
        <f>IF(D38="","",(J38-I38)*24)</f>
        <v>8.800000000046566</v>
      </c>
      <c r="L38" s="572">
        <f>IF(D38="","",ROUND((J38-I38)*24*60,0))</f>
        <v>528</v>
      </c>
      <c r="M38" s="734" t="s">
        <v>182</v>
      </c>
      <c r="N38" s="674" t="str">
        <f>IF(D38="","",IF(OR(M38="P",M38="RP"),"--","NO"))</f>
        <v>--</v>
      </c>
      <c r="O38" s="633"/>
      <c r="P38" s="946">
        <f>IF(G38=500,$N$19,IF(G38=220,$N$20,$N$21))</f>
        <v>40</v>
      </c>
      <c r="Q38" s="947">
        <f>IF(M38="P",H38*P38*ROUND(L38/60,2)*0.1,"--")</f>
        <v>1381.7408</v>
      </c>
      <c r="R38" s="237" t="str">
        <f>IF(AND(M38="F",N38="NO"),H38*P38,"--")</f>
        <v>--</v>
      </c>
      <c r="S38" s="565" t="str">
        <f>IF(M38="F",H38*P38*ROUND(L38/60,2),"--")</f>
        <v>--</v>
      </c>
      <c r="T38" s="566" t="str">
        <f>IF(M38="RF",H38*P38*ROUND(L38/60,2),"--")</f>
        <v>--</v>
      </c>
      <c r="U38" s="948" t="str">
        <f>IF(D38="","","SI")</f>
        <v>SI</v>
      </c>
      <c r="V38" s="577">
        <f>IF(D38="","",SUM(Q38:T38)*IF(U38="SI",1,2))</f>
        <v>1381.7408</v>
      </c>
      <c r="W38" s="6"/>
    </row>
    <row r="39" spans="2:23" s="5" customFormat="1" ht="16.5" customHeight="1">
      <c r="B39" s="51"/>
      <c r="C39" s="1043" t="s">
        <v>269</v>
      </c>
      <c r="D39" s="561" t="s">
        <v>249</v>
      </c>
      <c r="E39" s="626" t="s">
        <v>257</v>
      </c>
      <c r="F39" s="1044"/>
      <c r="G39" s="943">
        <v>500</v>
      </c>
      <c r="H39" s="140">
        <f>IF(G39=500,$M$19,IF(G39=220,$M$20,$M$21))</f>
        <v>49.065</v>
      </c>
      <c r="I39" s="944">
        <v>39341.029861111114</v>
      </c>
      <c r="J39" s="945">
        <v>39341.10138888889</v>
      </c>
      <c r="K39" s="571">
        <f>IF(D39="","",(J39-I39)*24)</f>
        <v>1.7166666666744277</v>
      </c>
      <c r="L39" s="572">
        <f>IF(D39="","",ROUND((J39-I39)*24*60,0))</f>
        <v>103</v>
      </c>
      <c r="M39" s="734" t="s">
        <v>190</v>
      </c>
      <c r="N39" s="674" t="str">
        <f>IF(D39="","",IF(OR(M39="P",M39="RP"),"--","NO"))</f>
        <v>NO</v>
      </c>
      <c r="O39" s="633"/>
      <c r="P39" s="946">
        <f>IF(G39=500,$N$19,IF(G39=220,$N$20,$N$21))</f>
        <v>200</v>
      </c>
      <c r="Q39" s="947" t="str">
        <f>IF(M39="P",H39*P39*ROUND(L39/60,2)*0.1,"--")</f>
        <v>--</v>
      </c>
      <c r="R39" s="237">
        <f>IF(AND(M39="F",N39="NO"),H39*P39,"--")</f>
        <v>9813</v>
      </c>
      <c r="S39" s="565">
        <f>IF(M39="F",H39*P39*ROUND(L39/60,2),"--")</f>
        <v>16878.36</v>
      </c>
      <c r="T39" s="566" t="str">
        <f>IF(M39="RF",H39*P39*ROUND(L39/60,2),"--")</f>
        <v>--</v>
      </c>
      <c r="U39" s="948" t="str">
        <f>IF(D39="","","SI")</f>
        <v>SI</v>
      </c>
      <c r="V39" s="577">
        <f>IF(D39="","",SUM(Q39:T39)*IF(U39="SI",1,2))</f>
        <v>26691.36</v>
      </c>
      <c r="W39" s="6"/>
    </row>
    <row r="40" spans="2:23" s="5" customFormat="1" ht="16.5" customHeight="1">
      <c r="B40" s="51"/>
      <c r="C40" s="1043"/>
      <c r="D40" s="561"/>
      <c r="E40" s="626"/>
      <c r="F40" s="1044"/>
      <c r="G40" s="943"/>
      <c r="H40" s="140">
        <f>IF(G40=500,$M$19,IF(G40=220,$M$20,$M$21))</f>
        <v>39.254</v>
      </c>
      <c r="I40" s="944"/>
      <c r="J40" s="945"/>
      <c r="K40" s="571">
        <f>IF(D40="","",(J40-I40)*24)</f>
      </c>
      <c r="L40" s="572">
        <f>IF(D40="","",ROUND((J40-I40)*24*60,0))</f>
      </c>
      <c r="M40" s="734"/>
      <c r="N40" s="674">
        <f>IF(D40="","",IF(OR(M40="P",M40="RP"),"--","NO"))</f>
      </c>
      <c r="O40" s="633"/>
      <c r="P40" s="946">
        <f>IF(G40=500,$N$19,IF(G40=220,$N$20,$N$21))</f>
        <v>40</v>
      </c>
      <c r="Q40" s="947" t="str">
        <f>IF(M40="P",H40*P40*ROUND(L40/60,2)*0.1,"--")</f>
        <v>--</v>
      </c>
      <c r="R40" s="237" t="str">
        <f>IF(AND(M40="F",N40="NO"),H40*P40,"--")</f>
        <v>--</v>
      </c>
      <c r="S40" s="565" t="str">
        <f>IF(M40="F",H40*P40*ROUND(L40/60,2),"--")</f>
        <v>--</v>
      </c>
      <c r="T40" s="566" t="str">
        <f>IF(M40="RF",H40*P40*ROUND(L40/60,2),"--")</f>
        <v>--</v>
      </c>
      <c r="U40" s="948">
        <f>IF(D40="","","SI")</f>
      </c>
      <c r="V40" s="577">
        <f>IF(D40="","",SUM(Q40:T40)*IF(U40="SI",1,2))</f>
      </c>
      <c r="W40" s="6"/>
    </row>
    <row r="41" spans="2:23" s="5" customFormat="1" ht="16.5" customHeight="1">
      <c r="B41" s="51"/>
      <c r="C41" s="1043"/>
      <c r="D41" s="561"/>
      <c r="E41" s="626"/>
      <c r="F41" s="1044"/>
      <c r="G41" s="943"/>
      <c r="H41" s="140">
        <f>IF(G41=500,$M$19,IF(G41=220,$M$20,$M$21))</f>
        <v>39.254</v>
      </c>
      <c r="I41" s="944"/>
      <c r="J41" s="945"/>
      <c r="K41" s="571">
        <f>IF(D41="","",(J41-I41)*24)</f>
      </c>
      <c r="L41" s="572">
        <f>IF(D41="","",ROUND((J41-I41)*24*60,0))</f>
      </c>
      <c r="M41" s="734"/>
      <c r="N41" s="674">
        <f>IF(D41="","",IF(OR(M41="P",M41="RP"),"--","NO"))</f>
      </c>
      <c r="O41" s="633"/>
      <c r="P41" s="946">
        <f>IF(G41=500,$N$19,IF(G41=220,$N$20,$N$21))</f>
        <v>40</v>
      </c>
      <c r="Q41" s="947" t="str">
        <f>IF(M41="P",H41*P41*ROUND(L41/60,2)*0.1,"--")</f>
        <v>--</v>
      </c>
      <c r="R41" s="237" t="str">
        <f>IF(AND(M41="F",N41="NO"),H41*P41,"--")</f>
        <v>--</v>
      </c>
      <c r="S41" s="565" t="str">
        <f>IF(M41="F",H41*P41*ROUND(L41/60,2),"--")</f>
        <v>--</v>
      </c>
      <c r="T41" s="566" t="str">
        <f>IF(M41="RF",H41*P41*ROUND(L41/60,2),"--")</f>
        <v>--</v>
      </c>
      <c r="U41" s="948">
        <f>IF(D41="","","SI")</f>
      </c>
      <c r="V41" s="577">
        <f>IF(D41="","",SUM(Q41:T41)*IF(U41="SI",1,2))</f>
      </c>
      <c r="W41" s="6"/>
    </row>
    <row r="42" spans="2:28" s="5" customFormat="1" ht="16.5" customHeight="1" thickBot="1">
      <c r="B42" s="51"/>
      <c r="C42" s="824"/>
      <c r="D42" s="950"/>
      <c r="E42" s="1156"/>
      <c r="F42" s="1157"/>
      <c r="G42" s="951"/>
      <c r="H42" s="952"/>
      <c r="I42" s="953"/>
      <c r="J42" s="954"/>
      <c r="K42" s="955"/>
      <c r="L42" s="956"/>
      <c r="M42" s="957"/>
      <c r="N42" s="958"/>
      <c r="O42" s="957"/>
      <c r="P42" s="959"/>
      <c r="Q42" s="960"/>
      <c r="R42" s="961"/>
      <c r="S42" s="962"/>
      <c r="T42" s="963"/>
      <c r="U42" s="964"/>
      <c r="V42" s="965"/>
      <c r="W42" s="6"/>
      <c r="X42"/>
      <c r="Y42"/>
      <c r="Z42"/>
      <c r="AA42"/>
      <c r="AB42"/>
    </row>
    <row r="43" spans="1:23" ht="17.25" thickBot="1" thickTop="1">
      <c r="A43" s="33"/>
      <c r="B43" s="684"/>
      <c r="C43" s="687"/>
      <c r="D43" s="862"/>
      <c r="E43" s="863"/>
      <c r="F43" s="864"/>
      <c r="G43" s="865"/>
      <c r="H43" s="865"/>
      <c r="I43" s="863"/>
      <c r="J43" s="675"/>
      <c r="K43" s="675"/>
      <c r="L43" s="863"/>
      <c r="M43" s="863"/>
      <c r="N43" s="863"/>
      <c r="O43" s="866"/>
      <c r="P43" s="863"/>
      <c r="Q43" s="863"/>
      <c r="R43" s="867"/>
      <c r="S43" s="868"/>
      <c r="T43" s="868"/>
      <c r="U43" s="869"/>
      <c r="V43" s="858">
        <f>SUM(V38:V42)</f>
        <v>28073.1008</v>
      </c>
      <c r="W43" s="870"/>
    </row>
    <row r="44" spans="1:23" ht="17.25" thickBot="1" thickTop="1">
      <c r="A44" s="33"/>
      <c r="B44" s="684"/>
      <c r="C44" s="687"/>
      <c r="D44" s="862"/>
      <c r="E44" s="863"/>
      <c r="F44" s="864"/>
      <c r="G44" s="865"/>
      <c r="H44" s="865"/>
      <c r="I44" s="697" t="s">
        <v>43</v>
      </c>
      <c r="J44" s="935">
        <f>+V43+V34</f>
        <v>29310.8408</v>
      </c>
      <c r="L44" s="863"/>
      <c r="M44" s="863"/>
      <c r="N44" s="863"/>
      <c r="O44" s="866"/>
      <c r="P44" s="863"/>
      <c r="Q44" s="863"/>
      <c r="R44" s="867"/>
      <c r="S44" s="868"/>
      <c r="T44" s="868"/>
      <c r="U44" s="869"/>
      <c r="W44" s="870"/>
    </row>
    <row r="45" spans="1:23" ht="13.5" customHeight="1" thickTop="1">
      <c r="A45" s="33"/>
      <c r="B45" s="684"/>
      <c r="C45" s="687"/>
      <c r="D45" s="862"/>
      <c r="E45" s="863"/>
      <c r="F45" s="864"/>
      <c r="G45" s="865"/>
      <c r="H45" s="865"/>
      <c r="I45" s="863"/>
      <c r="J45" s="675"/>
      <c r="K45" s="675"/>
      <c r="L45" s="863"/>
      <c r="M45" s="863"/>
      <c r="N45" s="863"/>
      <c r="O45" s="866"/>
      <c r="P45" s="863"/>
      <c r="Q45" s="863"/>
      <c r="R45" s="867"/>
      <c r="S45" s="868"/>
      <c r="T45" s="868"/>
      <c r="U45" s="869"/>
      <c r="W45" s="870"/>
    </row>
    <row r="46" spans="1:23" ht="16.5" customHeight="1">
      <c r="A46" s="33"/>
      <c r="B46" s="684"/>
      <c r="C46" s="871" t="s">
        <v>113</v>
      </c>
      <c r="D46" s="872" t="s">
        <v>162</v>
      </c>
      <c r="E46" s="863"/>
      <c r="F46" s="864"/>
      <c r="G46" s="865"/>
      <c r="H46" s="865"/>
      <c r="I46" s="863"/>
      <c r="J46" s="675"/>
      <c r="K46" s="675"/>
      <c r="L46" s="863"/>
      <c r="M46" s="863"/>
      <c r="N46" s="863"/>
      <c r="O46" s="866"/>
      <c r="P46" s="863"/>
      <c r="Q46" s="863"/>
      <c r="R46" s="867"/>
      <c r="S46" s="868"/>
      <c r="T46" s="868"/>
      <c r="U46" s="869"/>
      <c r="W46" s="870"/>
    </row>
    <row r="47" spans="1:23" ht="16.5" customHeight="1">
      <c r="A47" s="33"/>
      <c r="B47" s="684"/>
      <c r="C47" s="871"/>
      <c r="D47" s="862"/>
      <c r="E47" s="863"/>
      <c r="F47" s="864"/>
      <c r="G47" s="865"/>
      <c r="H47" s="865"/>
      <c r="I47" s="863"/>
      <c r="J47" s="675"/>
      <c r="K47" s="675"/>
      <c r="L47" s="863"/>
      <c r="M47" s="863"/>
      <c r="N47" s="863"/>
      <c r="O47" s="866"/>
      <c r="P47" s="863"/>
      <c r="Q47" s="863"/>
      <c r="R47" s="863"/>
      <c r="S47" s="867"/>
      <c r="T47" s="868"/>
      <c r="W47" s="870"/>
    </row>
    <row r="48" spans="2:23" s="33" customFormat="1" ht="16.5" customHeight="1">
      <c r="B48" s="684"/>
      <c r="C48" s="687"/>
      <c r="D48" s="873" t="s">
        <v>130</v>
      </c>
      <c r="E48" s="769" t="s">
        <v>131</v>
      </c>
      <c r="F48" s="769" t="s">
        <v>44</v>
      </c>
      <c r="G48" s="874" t="s">
        <v>167</v>
      </c>
      <c r="H48"/>
      <c r="I48" s="152"/>
      <c r="J48" s="886" t="s">
        <v>50</v>
      </c>
      <c r="K48" s="886"/>
      <c r="L48" s="769" t="s">
        <v>44</v>
      </c>
      <c r="M48" t="s">
        <v>144</v>
      </c>
      <c r="O48" s="874" t="s">
        <v>169</v>
      </c>
      <c r="P48"/>
      <c r="Q48" s="878"/>
      <c r="R48" s="878"/>
      <c r="S48" s="34"/>
      <c r="T48"/>
      <c r="U48"/>
      <c r="V48"/>
      <c r="W48" s="870"/>
    </row>
    <row r="49" spans="2:23" s="33" customFormat="1" ht="16.5" customHeight="1">
      <c r="B49" s="684"/>
      <c r="C49" s="687"/>
      <c r="D49" s="157" t="s">
        <v>145</v>
      </c>
      <c r="E49" s="157">
        <v>300</v>
      </c>
      <c r="F49" s="966">
        <v>500</v>
      </c>
      <c r="G49" s="1155">
        <f>+E49*$F$20*$F$21</f>
        <v>52920</v>
      </c>
      <c r="H49" s="1155"/>
      <c r="I49" s="1155"/>
      <c r="J49" s="967" t="s">
        <v>146</v>
      </c>
      <c r="K49" s="967"/>
      <c r="L49" s="157">
        <v>500</v>
      </c>
      <c r="M49" s="157">
        <v>2</v>
      </c>
      <c r="O49" s="1155">
        <f>+M49*$F$20*$M$19</f>
        <v>70653.59999999999</v>
      </c>
      <c r="P49" s="1155"/>
      <c r="Q49" s="1155"/>
      <c r="R49" s="1155"/>
      <c r="S49" s="1155"/>
      <c r="T49" s="1155"/>
      <c r="U49" s="1155"/>
      <c r="V49"/>
      <c r="W49" s="870"/>
    </row>
    <row r="50" spans="2:23" s="33" customFormat="1" ht="16.5" customHeight="1">
      <c r="B50" s="684"/>
      <c r="C50" s="687"/>
      <c r="D50" s="157" t="s">
        <v>147</v>
      </c>
      <c r="E50" s="156">
        <v>300</v>
      </c>
      <c r="F50" s="966">
        <v>500</v>
      </c>
      <c r="G50" s="1155">
        <f>+E50*$F$20*$F$21</f>
        <v>52920</v>
      </c>
      <c r="H50" s="1155"/>
      <c r="I50" s="1155"/>
      <c r="J50" s="967" t="s">
        <v>146</v>
      </c>
      <c r="K50" s="967"/>
      <c r="L50" s="157">
        <v>132</v>
      </c>
      <c r="M50" s="157">
        <v>9</v>
      </c>
      <c r="O50" s="1155">
        <f>+M50*$F$20*$M$19</f>
        <v>317941.2</v>
      </c>
      <c r="P50" s="1155"/>
      <c r="Q50" s="1155"/>
      <c r="R50" s="1155"/>
      <c r="S50" s="1155"/>
      <c r="T50" s="1155"/>
      <c r="U50" s="1155"/>
      <c r="V50"/>
      <c r="W50" s="870"/>
    </row>
    <row r="51" spans="2:23" s="33" customFormat="1" ht="16.5" customHeight="1">
      <c r="B51" s="684"/>
      <c r="C51" s="687"/>
      <c r="D51" s="155" t="s">
        <v>148</v>
      </c>
      <c r="E51" s="156">
        <v>300</v>
      </c>
      <c r="F51" s="966">
        <v>500</v>
      </c>
      <c r="G51" s="1155">
        <f>+E51*$F$20*$F$21</f>
        <v>52920</v>
      </c>
      <c r="H51" s="1155"/>
      <c r="I51" s="1155"/>
      <c r="J51" s="967" t="s">
        <v>149</v>
      </c>
      <c r="K51" s="967"/>
      <c r="L51" s="157">
        <v>132</v>
      </c>
      <c r="M51" s="157">
        <v>8</v>
      </c>
      <c r="O51" s="1155">
        <f>+M51*$F$20*$M$19</f>
        <v>282614.39999999997</v>
      </c>
      <c r="P51" s="1155"/>
      <c r="Q51" s="1155"/>
      <c r="R51" s="1155"/>
      <c r="S51" s="1155"/>
      <c r="T51" s="1155"/>
      <c r="U51" s="1155"/>
      <c r="V51"/>
      <c r="W51" s="870"/>
    </row>
    <row r="52" spans="1:23" ht="16.5" customHeight="1">
      <c r="A52" s="33"/>
      <c r="B52" s="684"/>
      <c r="C52" s="687"/>
      <c r="D52" s="155" t="s">
        <v>150</v>
      </c>
      <c r="E52" s="156">
        <v>300</v>
      </c>
      <c r="F52" s="966">
        <v>500</v>
      </c>
      <c r="G52" s="1155">
        <f>+E52*$F$20*$F$21</f>
        <v>52920</v>
      </c>
      <c r="H52" s="1155"/>
      <c r="I52" s="1155"/>
      <c r="J52" s="967" t="s">
        <v>151</v>
      </c>
      <c r="K52" s="967"/>
      <c r="L52" s="157">
        <v>132</v>
      </c>
      <c r="M52" s="157">
        <v>5</v>
      </c>
      <c r="O52" s="1154">
        <f>+M52*$F$20*$M$19</f>
        <v>176634</v>
      </c>
      <c r="P52" s="1154"/>
      <c r="Q52" s="1154"/>
      <c r="R52" s="1154"/>
      <c r="S52" s="1154"/>
      <c r="T52" s="1154"/>
      <c r="U52" s="1154"/>
      <c r="W52" s="870"/>
    </row>
    <row r="53" spans="1:23" ht="16.5" customHeight="1">
      <c r="A53" s="33"/>
      <c r="B53" s="684"/>
      <c r="C53" s="687"/>
      <c r="D53" s="155" t="s">
        <v>152</v>
      </c>
      <c r="E53" s="156">
        <v>300</v>
      </c>
      <c r="F53" s="966">
        <v>500</v>
      </c>
      <c r="G53" s="1154">
        <f>+E53*$F$20*$F$21</f>
        <v>52920</v>
      </c>
      <c r="H53" s="1154"/>
      <c r="I53" s="1154"/>
      <c r="M53" s="157"/>
      <c r="O53" s="1155">
        <f>SUM(O49:P52)</f>
        <v>847843.2</v>
      </c>
      <c r="P53" s="1155"/>
      <c r="Q53" s="1155"/>
      <c r="R53" s="1155"/>
      <c r="S53" s="1155"/>
      <c r="T53" s="1155"/>
      <c r="U53" s="1155"/>
      <c r="W53" s="870"/>
    </row>
    <row r="54" spans="1:23" ht="16.5" customHeight="1">
      <c r="A54" s="33"/>
      <c r="B54" s="684"/>
      <c r="C54" s="687"/>
      <c r="D54" s="155"/>
      <c r="E54" s="156"/>
      <c r="F54" s="966"/>
      <c r="G54" s="1155">
        <f>SUM(G49:G53)</f>
        <v>264600</v>
      </c>
      <c r="H54" s="1155"/>
      <c r="I54" s="1155"/>
      <c r="M54" s="157"/>
      <c r="N54" s="152"/>
      <c r="O54" s="152"/>
      <c r="P54" s="916"/>
      <c r="Q54" s="916"/>
      <c r="R54" s="916"/>
      <c r="S54" s="916"/>
      <c r="W54" s="870"/>
    </row>
    <row r="55" spans="1:23" ht="16.5" customHeight="1" thickBot="1">
      <c r="A55" s="33"/>
      <c r="B55" s="684"/>
      <c r="C55" s="687"/>
      <c r="D55" s="873"/>
      <c r="E55" s="887"/>
      <c r="F55" s="887"/>
      <c r="G55" s="769"/>
      <c r="I55" s="876"/>
      <c r="J55" s="874"/>
      <c r="L55" s="875"/>
      <c r="M55" s="876"/>
      <c r="N55" s="877"/>
      <c r="O55" s="878"/>
      <c r="P55" s="878"/>
      <c r="Q55" s="878"/>
      <c r="R55" s="878"/>
      <c r="S55" s="878"/>
      <c r="W55" s="870"/>
    </row>
    <row r="56" spans="1:23" ht="16.5" customHeight="1" thickBot="1" thickTop="1">
      <c r="A56" s="33"/>
      <c r="B56" s="684"/>
      <c r="C56" s="687"/>
      <c r="D56" s="769"/>
      <c r="E56" s="919"/>
      <c r="F56" s="919"/>
      <c r="G56" s="881"/>
      <c r="H56" s="190"/>
      <c r="I56" s="697" t="s">
        <v>45</v>
      </c>
      <c r="J56" s="935">
        <f>+G54+O53</f>
        <v>1112443.2</v>
      </c>
      <c r="L56" s="883"/>
      <c r="M56" s="190"/>
      <c r="N56" s="884"/>
      <c r="O56" s="916"/>
      <c r="P56" s="916"/>
      <c r="Q56" s="916"/>
      <c r="R56" s="916"/>
      <c r="S56" s="916"/>
      <c r="W56" s="870"/>
    </row>
    <row r="57" spans="1:23" ht="16.5" customHeight="1" thickTop="1">
      <c r="A57" s="33"/>
      <c r="B57" s="684"/>
      <c r="C57" s="687"/>
      <c r="D57" s="675"/>
      <c r="E57" s="692"/>
      <c r="F57" s="769"/>
      <c r="G57" s="769"/>
      <c r="H57" s="770"/>
      <c r="J57" s="769"/>
      <c r="L57" s="890"/>
      <c r="M57" s="877"/>
      <c r="N57" s="877"/>
      <c r="O57" s="878"/>
      <c r="P57" s="878"/>
      <c r="Q57" s="878"/>
      <c r="R57" s="878"/>
      <c r="S57" s="878"/>
      <c r="W57" s="870"/>
    </row>
    <row r="58" spans="2:23" ht="16.5" customHeight="1">
      <c r="B58" s="684"/>
      <c r="C58" s="871" t="s">
        <v>117</v>
      </c>
      <c r="D58" s="891" t="s">
        <v>118</v>
      </c>
      <c r="E58" s="769"/>
      <c r="F58" s="892"/>
      <c r="G58" s="768"/>
      <c r="H58" s="675"/>
      <c r="I58" s="675"/>
      <c r="J58" s="675"/>
      <c r="K58" s="769"/>
      <c r="L58" s="769"/>
      <c r="M58" s="675"/>
      <c r="N58" s="769"/>
      <c r="O58" s="675"/>
      <c r="P58" s="675"/>
      <c r="Q58" s="675"/>
      <c r="R58" s="675"/>
      <c r="S58" s="675"/>
      <c r="T58" s="675"/>
      <c r="U58" s="675"/>
      <c r="W58" s="870"/>
    </row>
    <row r="59" spans="2:23" s="33" customFormat="1" ht="16.5" customHeight="1">
      <c r="B59" s="684"/>
      <c r="C59" s="687"/>
      <c r="D59" s="873" t="s">
        <v>119</v>
      </c>
      <c r="E59" s="893">
        <f>10*J44*J25/J56</f>
        <v>2668.9472062382047</v>
      </c>
      <c r="G59" s="768"/>
      <c r="L59" s="769"/>
      <c r="N59" s="769"/>
      <c r="O59" s="770"/>
      <c r="V59"/>
      <c r="W59" s="870"/>
    </row>
    <row r="60" spans="2:23" s="33" customFormat="1" ht="12.75" customHeight="1">
      <c r="B60" s="684"/>
      <c r="C60" s="687"/>
      <c r="E60" s="894"/>
      <c r="F60" s="696"/>
      <c r="G60" s="768"/>
      <c r="J60" s="768"/>
      <c r="K60" s="783"/>
      <c r="L60" s="769"/>
      <c r="M60" s="769"/>
      <c r="N60" s="769"/>
      <c r="O60" s="770"/>
      <c r="P60" s="769"/>
      <c r="Q60" s="769"/>
      <c r="R60" s="782"/>
      <c r="S60" s="782"/>
      <c r="T60" s="782"/>
      <c r="U60" s="895"/>
      <c r="V60"/>
      <c r="W60" s="870"/>
    </row>
    <row r="61" spans="2:23" ht="16.5" customHeight="1">
      <c r="B61" s="684"/>
      <c r="C61" s="687"/>
      <c r="D61" s="896" t="s">
        <v>153</v>
      </c>
      <c r="E61" s="897"/>
      <c r="F61" s="696"/>
      <c r="G61" s="768"/>
      <c r="H61" s="675"/>
      <c r="I61" s="675"/>
      <c r="N61" s="769"/>
      <c r="O61" s="770"/>
      <c r="P61" s="769"/>
      <c r="Q61" s="769"/>
      <c r="R61" s="876"/>
      <c r="S61" s="876"/>
      <c r="T61" s="876"/>
      <c r="U61" s="877"/>
      <c r="W61" s="870"/>
    </row>
    <row r="62" spans="2:23" ht="16.5" customHeight="1">
      <c r="B62" s="684"/>
      <c r="C62" s="687"/>
      <c r="D62" s="896"/>
      <c r="E62" s="897"/>
      <c r="F62" s="696"/>
      <c r="G62" s="768"/>
      <c r="H62" s="675"/>
      <c r="I62" s="675"/>
      <c r="N62" s="769"/>
      <c r="O62" s="770"/>
      <c r="P62" s="769"/>
      <c r="Q62" s="769"/>
      <c r="R62" s="876"/>
      <c r="S62" s="876"/>
      <c r="T62" s="876"/>
      <c r="U62" s="877"/>
      <c r="W62" s="870"/>
    </row>
    <row r="63" spans="2:23" ht="13.5" customHeight="1" thickBot="1">
      <c r="B63" s="684"/>
      <c r="C63" s="687"/>
      <c r="D63" s="1141" t="s">
        <v>317</v>
      </c>
      <c r="E63" s="897"/>
      <c r="F63" s="696"/>
      <c r="G63" s="768"/>
      <c r="H63" s="675"/>
      <c r="I63" s="675"/>
      <c r="N63" s="769"/>
      <c r="O63" s="770"/>
      <c r="P63" s="769"/>
      <c r="Q63" s="769"/>
      <c r="R63" s="876"/>
      <c r="S63" s="876"/>
      <c r="T63" s="876"/>
      <c r="U63" s="877"/>
      <c r="W63" s="870"/>
    </row>
    <row r="64" spans="2:23" s="898" customFormat="1" ht="21" thickBot="1" thickTop="1">
      <c r="B64" s="899"/>
      <c r="C64" s="900"/>
      <c r="D64" s="901"/>
      <c r="E64" s="902"/>
      <c r="F64" s="903"/>
      <c r="G64" s="904"/>
      <c r="I64" s="905" t="s">
        <v>121</v>
      </c>
      <c r="J64" s="906">
        <f>IF(E59&gt;3*J25,J25*3,E59)</f>
        <v>2668.9472062382047</v>
      </c>
      <c r="M64" s="907"/>
      <c r="N64" s="907"/>
      <c r="O64" s="908"/>
      <c r="P64" s="907"/>
      <c r="Q64" s="907"/>
      <c r="R64" s="909"/>
      <c r="S64" s="909"/>
      <c r="T64" s="909"/>
      <c r="U64" s="910"/>
      <c r="V64"/>
      <c r="W64" s="911"/>
    </row>
    <row r="65" spans="2:23" ht="16.5" customHeight="1" thickBot="1" thickTop="1">
      <c r="B65" s="58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256"/>
      <c r="W65" s="912"/>
    </row>
    <row r="66" spans="2:23" ht="16.5" customHeight="1" thickTop="1">
      <c r="B66" s="1"/>
      <c r="C66" s="74"/>
      <c r="W66" s="1"/>
    </row>
  </sheetData>
  <sheetProtection password="CC12"/>
  <mergeCells count="15">
    <mergeCell ref="O49:U49"/>
    <mergeCell ref="E42:F42"/>
    <mergeCell ref="N36:O36"/>
    <mergeCell ref="E36:F36"/>
    <mergeCell ref="E37:F37"/>
    <mergeCell ref="O52:U52"/>
    <mergeCell ref="O53:U53"/>
    <mergeCell ref="O50:U50"/>
    <mergeCell ref="O51:U51"/>
    <mergeCell ref="G53:I53"/>
    <mergeCell ref="G54:I54"/>
    <mergeCell ref="G49:I49"/>
    <mergeCell ref="G50:I50"/>
    <mergeCell ref="G51:I51"/>
    <mergeCell ref="G52:I52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11">
    <pageSetUpPr fitToPage="1"/>
  </sheetPr>
  <dimension ref="A1:AD64"/>
  <sheetViews>
    <sheetView zoomScale="75" zoomScaleNormal="75" workbookViewId="0" topLeftCell="A1">
      <selection activeCell="F21" sqref="F21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58"/>
      <c r="AD1" s="921"/>
    </row>
    <row r="2" spans="1:23" ht="27" customHeight="1">
      <c r="A2" s="9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681" customFormat="1" ht="30.75">
      <c r="A3" s="678"/>
      <c r="B3" s="679" t="str">
        <f>+'TOT-0907'!B2</f>
        <v>ANEXO IV al Memorandum D.T.E.E. N°  1955 /2009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AB3" s="680"/>
      <c r="AC3" s="680"/>
      <c r="AD3" s="680"/>
    </row>
    <row r="4" spans="1:2" s="26" customFormat="1" ht="11.25">
      <c r="A4" s="913" t="s">
        <v>2</v>
      </c>
      <c r="B4" s="914"/>
    </row>
    <row r="5" spans="1:2" s="26" customFormat="1" ht="12" thickBot="1">
      <c r="A5" s="913" t="s">
        <v>3</v>
      </c>
      <c r="B5" s="913"/>
    </row>
    <row r="6" spans="1:23" ht="16.5" customHeight="1" thickTop="1">
      <c r="A6" s="5"/>
      <c r="B6" s="70"/>
      <c r="C6" s="71"/>
      <c r="D6" s="71"/>
      <c r="E6" s="259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95"/>
    </row>
    <row r="7" spans="1:23" ht="20.25">
      <c r="A7" s="5"/>
      <c r="B7" s="51"/>
      <c r="C7" s="4"/>
      <c r="D7" s="192" t="s">
        <v>100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8"/>
      <c r="Q7" s="78"/>
      <c r="R7" s="4"/>
      <c r="S7" s="4"/>
      <c r="T7" s="4"/>
      <c r="U7" s="4"/>
      <c r="V7" s="4"/>
      <c r="W7" s="18"/>
    </row>
    <row r="8" spans="1:23" ht="16.5" customHeight="1">
      <c r="A8" s="5"/>
      <c r="B8" s="5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8"/>
    </row>
    <row r="9" spans="2:23" s="37" customFormat="1" ht="20.25">
      <c r="B9" s="45"/>
      <c r="C9" s="44"/>
      <c r="D9" s="192" t="s">
        <v>101</v>
      </c>
      <c r="E9" s="44"/>
      <c r="F9" s="44"/>
      <c r="G9" s="44"/>
      <c r="H9" s="44"/>
      <c r="N9" s="44"/>
      <c r="O9" s="44"/>
      <c r="P9" s="261"/>
      <c r="Q9" s="261"/>
      <c r="R9" s="44"/>
      <c r="S9" s="44"/>
      <c r="T9" s="44"/>
      <c r="U9" s="44"/>
      <c r="V9" s="44"/>
      <c r="W9" s="262"/>
    </row>
    <row r="10" spans="1:23" ht="16.5" customHeight="1">
      <c r="A10" s="5"/>
      <c r="B10" s="5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8"/>
    </row>
    <row r="11" spans="2:23" s="37" customFormat="1" ht="20.25">
      <c r="B11" s="45"/>
      <c r="C11" s="44"/>
      <c r="D11" s="192" t="s">
        <v>154</v>
      </c>
      <c r="E11" s="44"/>
      <c r="F11" s="44"/>
      <c r="G11" s="44"/>
      <c r="H11" s="44"/>
      <c r="N11" s="44"/>
      <c r="O11" s="44"/>
      <c r="P11" s="261"/>
      <c r="Q11" s="261"/>
      <c r="R11" s="44"/>
      <c r="S11" s="44"/>
      <c r="T11" s="44"/>
      <c r="U11" s="44"/>
      <c r="V11" s="44"/>
      <c r="W11" s="262"/>
    </row>
    <row r="12" spans="1:23" ht="16.5" customHeight="1">
      <c r="A12" s="5"/>
      <c r="B12" s="51"/>
      <c r="C12" s="4"/>
      <c r="D12" s="4"/>
      <c r="E12" s="5"/>
      <c r="F12" s="5"/>
      <c r="G12" s="5"/>
      <c r="H12" s="5"/>
      <c r="I12" s="73"/>
      <c r="J12" s="73"/>
      <c r="K12" s="73"/>
      <c r="L12" s="73"/>
      <c r="M12" s="73"/>
      <c r="N12" s="73"/>
      <c r="O12" s="73"/>
      <c r="P12" s="73"/>
      <c r="Q12" s="73"/>
      <c r="R12" s="4"/>
      <c r="S12" s="4"/>
      <c r="T12" s="4"/>
      <c r="U12" s="4"/>
      <c r="V12" s="4"/>
      <c r="W12" s="18"/>
    </row>
    <row r="13" spans="2:23" s="37" customFormat="1" ht="19.5">
      <c r="B13" s="38" t="str">
        <f>'TOT-0907'!B14</f>
        <v>Desde el 01 al 30 de septiembre de 2007</v>
      </c>
      <c r="C13" s="39"/>
      <c r="D13" s="41"/>
      <c r="E13" s="41"/>
      <c r="F13" s="41"/>
      <c r="G13" s="41"/>
      <c r="H13" s="41"/>
      <c r="I13" s="42"/>
      <c r="J13" s="190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130"/>
      <c r="V13" s="130"/>
      <c r="W13" s="43"/>
    </row>
    <row r="14" spans="1:23" ht="16.5" customHeight="1">
      <c r="A14" s="5"/>
      <c r="B14" s="51"/>
      <c r="C14" s="4"/>
      <c r="D14" s="4"/>
      <c r="E14" s="67"/>
      <c r="F14" s="67"/>
      <c r="G14" s="4"/>
      <c r="H14" s="4"/>
      <c r="I14" s="4"/>
      <c r="J14" s="683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8"/>
    </row>
    <row r="15" spans="1:23" ht="16.5" customHeight="1">
      <c r="A15" s="5"/>
      <c r="B15" s="51"/>
      <c r="C15" s="4"/>
      <c r="D15" s="4"/>
      <c r="E15" s="67"/>
      <c r="F15" s="67"/>
      <c r="G15" s="4"/>
      <c r="H15" s="4"/>
      <c r="I15" s="153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8"/>
    </row>
    <row r="16" spans="1:23" ht="16.5" customHeight="1">
      <c r="A16" s="5"/>
      <c r="B16" s="51"/>
      <c r="C16" s="4"/>
      <c r="D16" s="4"/>
      <c r="E16" s="67"/>
      <c r="F16" s="67"/>
      <c r="G16" s="4"/>
      <c r="H16" s="4"/>
      <c r="I16" s="153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8"/>
    </row>
    <row r="17" spans="1:23" ht="16.5" customHeight="1" thickBot="1">
      <c r="A17" s="5"/>
      <c r="B17" s="51"/>
      <c r="C17" s="180" t="s">
        <v>103</v>
      </c>
      <c r="D17" s="55" t="s">
        <v>104</v>
      </c>
      <c r="E17" s="67"/>
      <c r="F17" s="67"/>
      <c r="G17" s="4"/>
      <c r="H17" s="4"/>
      <c r="I17" s="4"/>
      <c r="J17" s="683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8"/>
    </row>
    <row r="18" spans="2:23" s="33" customFormat="1" ht="16.5" customHeight="1" thickBot="1">
      <c r="B18" s="684"/>
      <c r="C18" s="34"/>
      <c r="D18" s="685"/>
      <c r="E18" s="686"/>
      <c r="F18" s="687"/>
      <c r="G18" s="34"/>
      <c r="H18" s="34"/>
      <c r="I18" s="34"/>
      <c r="J18" s="688"/>
      <c r="K18" s="34"/>
      <c r="L18" s="34"/>
      <c r="M18" s="34"/>
      <c r="N18" s="922" t="s">
        <v>38</v>
      </c>
      <c r="P18" s="34"/>
      <c r="Q18" s="34"/>
      <c r="R18" s="34"/>
      <c r="S18" s="34"/>
      <c r="T18" s="34"/>
      <c r="U18" s="34"/>
      <c r="V18" s="34"/>
      <c r="W18" s="689"/>
    </row>
    <row r="19" spans="2:23" s="33" customFormat="1" ht="16.5" customHeight="1">
      <c r="B19" s="684"/>
      <c r="C19" s="34"/>
      <c r="E19" s="693" t="s">
        <v>41</v>
      </c>
      <c r="F19" s="694">
        <v>0.04</v>
      </c>
      <c r="G19" s="691"/>
      <c r="H19" s="34"/>
      <c r="I19" s="273" t="s">
        <v>155</v>
      </c>
      <c r="J19" s="274"/>
      <c r="K19" s="923" t="s">
        <v>142</v>
      </c>
      <c r="L19" s="924"/>
      <c r="M19" s="925">
        <v>49.065</v>
      </c>
      <c r="N19" s="926">
        <v>200</v>
      </c>
      <c r="R19" s="34"/>
      <c r="S19" s="34"/>
      <c r="T19" s="34"/>
      <c r="U19" s="34"/>
      <c r="V19" s="34"/>
      <c r="W19" s="689"/>
    </row>
    <row r="20" spans="2:23" s="33" customFormat="1" ht="16.5" customHeight="1">
      <c r="B20" s="684"/>
      <c r="C20" s="34"/>
      <c r="E20" s="685" t="s">
        <v>39</v>
      </c>
      <c r="F20" s="34">
        <v>720</v>
      </c>
      <c r="G20" s="34" t="s">
        <v>40</v>
      </c>
      <c r="H20" s="34"/>
      <c r="I20" s="34"/>
      <c r="J20" s="34"/>
      <c r="K20" s="927" t="s">
        <v>88</v>
      </c>
      <c r="L20" s="928"/>
      <c r="M20" s="929">
        <v>44.156</v>
      </c>
      <c r="N20" s="930">
        <v>100</v>
      </c>
      <c r="O20" s="34"/>
      <c r="P20" s="915"/>
      <c r="Q20" s="34"/>
      <c r="R20" s="34"/>
      <c r="S20" s="34"/>
      <c r="T20" s="34"/>
      <c r="U20" s="34"/>
      <c r="V20" s="34"/>
      <c r="W20" s="689"/>
    </row>
    <row r="21" spans="2:23" s="33" customFormat="1" ht="16.5" customHeight="1" thickBot="1">
      <c r="B21" s="684"/>
      <c r="C21" s="34"/>
      <c r="E21" s="685" t="s">
        <v>42</v>
      </c>
      <c r="F21" s="34">
        <v>0.245</v>
      </c>
      <c r="G21" s="33" t="s">
        <v>124</v>
      </c>
      <c r="H21" s="34"/>
      <c r="I21" s="34"/>
      <c r="J21" s="34"/>
      <c r="K21" s="931" t="s">
        <v>143</v>
      </c>
      <c r="L21" s="932"/>
      <c r="M21" s="933">
        <v>39.254</v>
      </c>
      <c r="N21" s="934">
        <v>40</v>
      </c>
      <c r="O21" s="34"/>
      <c r="P21" s="915"/>
      <c r="Q21" s="34"/>
      <c r="R21" s="34"/>
      <c r="S21" s="34"/>
      <c r="T21" s="34"/>
      <c r="U21" s="34"/>
      <c r="V21" s="34"/>
      <c r="W21" s="689"/>
    </row>
    <row r="22" spans="2:23" s="33" customFormat="1" ht="16.5" customHeight="1">
      <c r="B22" s="684"/>
      <c r="C22" s="34"/>
      <c r="D22" s="34"/>
      <c r="E22" s="696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689"/>
    </row>
    <row r="23" spans="1:23" ht="16.5" customHeight="1">
      <c r="A23" s="5"/>
      <c r="B23" s="51"/>
      <c r="C23" s="180" t="s">
        <v>107</v>
      </c>
      <c r="D23" s="3" t="s">
        <v>160</v>
      </c>
      <c r="I23" s="4"/>
      <c r="J23" s="33"/>
      <c r="O23" s="4"/>
      <c r="P23" s="4"/>
      <c r="Q23" s="4"/>
      <c r="R23" s="4"/>
      <c r="S23" s="4"/>
      <c r="T23" s="4"/>
      <c r="V23" s="4"/>
      <c r="W23" s="18"/>
    </row>
    <row r="24" spans="1:23" ht="10.5" customHeight="1" thickBot="1">
      <c r="A24" s="5"/>
      <c r="B24" s="51"/>
      <c r="C24" s="67"/>
      <c r="D24" s="3"/>
      <c r="I24" s="4"/>
      <c r="J24" s="33"/>
      <c r="O24" s="4"/>
      <c r="P24" s="4"/>
      <c r="Q24" s="4"/>
      <c r="R24" s="4"/>
      <c r="S24" s="4"/>
      <c r="T24" s="4"/>
      <c r="V24" s="4"/>
      <c r="W24" s="18"/>
    </row>
    <row r="25" spans="2:23" s="33" customFormat="1" ht="16.5" customHeight="1" thickBot="1" thickTop="1">
      <c r="B25" s="684"/>
      <c r="C25" s="687"/>
      <c r="D25"/>
      <c r="E25"/>
      <c r="F25"/>
      <c r="G25"/>
      <c r="H25"/>
      <c r="I25" s="697" t="s">
        <v>46</v>
      </c>
      <c r="J25" s="935">
        <f>+J55*F19</f>
        <v>4377.8304</v>
      </c>
      <c r="L25"/>
      <c r="S25"/>
      <c r="T25"/>
      <c r="U25"/>
      <c r="W25" s="689"/>
    </row>
    <row r="26" spans="2:23" s="33" customFormat="1" ht="11.25" customHeight="1" thickTop="1">
      <c r="B26" s="684"/>
      <c r="C26" s="687"/>
      <c r="D26" s="34"/>
      <c r="E26" s="69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/>
      <c r="W26" s="689"/>
    </row>
    <row r="27" spans="1:23" ht="16.5" customHeight="1">
      <c r="A27" s="5"/>
      <c r="B27" s="51"/>
      <c r="C27" s="180" t="s">
        <v>108</v>
      </c>
      <c r="D27" s="3" t="s">
        <v>161</v>
      </c>
      <c r="E27" s="27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8"/>
    </row>
    <row r="28" spans="1:23" ht="13.5" customHeight="1" thickBot="1">
      <c r="A28" s="33"/>
      <c r="B28" s="51"/>
      <c r="C28" s="687"/>
      <c r="D28" s="687"/>
      <c r="E28" s="767"/>
      <c r="F28" s="696"/>
      <c r="G28" s="768"/>
      <c r="H28" s="768"/>
      <c r="I28" s="769"/>
      <c r="J28" s="769"/>
      <c r="K28" s="769"/>
      <c r="L28" s="769"/>
      <c r="M28" s="769"/>
      <c r="N28" s="769"/>
      <c r="O28" s="770"/>
      <c r="P28" s="769"/>
      <c r="Q28" s="769"/>
      <c r="R28" s="936"/>
      <c r="S28" s="937"/>
      <c r="T28" s="938"/>
      <c r="U28" s="938"/>
      <c r="V28" s="938"/>
      <c r="W28" s="337"/>
    </row>
    <row r="29" spans="1:26" s="5" customFormat="1" ht="33.75" customHeight="1" thickBot="1" thickTop="1">
      <c r="A29" s="91"/>
      <c r="B29" s="96"/>
      <c r="C29" s="127" t="s">
        <v>13</v>
      </c>
      <c r="D29" s="123" t="s">
        <v>28</v>
      </c>
      <c r="E29" s="122" t="s">
        <v>29</v>
      </c>
      <c r="F29" s="124" t="s">
        <v>30</v>
      </c>
      <c r="G29" s="125" t="s">
        <v>14</v>
      </c>
      <c r="H29" s="139" t="s">
        <v>16</v>
      </c>
      <c r="I29" s="122" t="s">
        <v>17</v>
      </c>
      <c r="J29" s="122" t="s">
        <v>18</v>
      </c>
      <c r="K29" s="123" t="s">
        <v>31</v>
      </c>
      <c r="L29" s="123" t="s">
        <v>32</v>
      </c>
      <c r="M29" s="89" t="s">
        <v>111</v>
      </c>
      <c r="N29" s="122" t="s">
        <v>33</v>
      </c>
      <c r="O29" s="785" t="s">
        <v>34</v>
      </c>
      <c r="P29" s="139" t="s">
        <v>35</v>
      </c>
      <c r="Q29" s="787" t="s">
        <v>20</v>
      </c>
      <c r="R29" s="788" t="s">
        <v>112</v>
      </c>
      <c r="S29" s="789"/>
      <c r="T29" s="790" t="s">
        <v>22</v>
      </c>
      <c r="U29" s="144" t="s">
        <v>76</v>
      </c>
      <c r="V29" s="125" t="s">
        <v>24</v>
      </c>
      <c r="W29" s="18"/>
      <c r="Y29"/>
      <c r="Z29"/>
    </row>
    <row r="30" spans="1:23" ht="16.5" customHeight="1" thickTop="1">
      <c r="A30" s="5"/>
      <c r="B30" s="51"/>
      <c r="C30" s="10"/>
      <c r="D30" s="10"/>
      <c r="E30" s="10"/>
      <c r="F30" s="10"/>
      <c r="G30" s="794"/>
      <c r="H30" s="795"/>
      <c r="I30" s="10"/>
      <c r="J30" s="10"/>
      <c r="K30" s="10"/>
      <c r="L30" s="10"/>
      <c r="M30" s="10"/>
      <c r="N30" s="797"/>
      <c r="O30" s="939"/>
      <c r="P30" s="145"/>
      <c r="Q30" s="800"/>
      <c r="R30" s="801"/>
      <c r="S30" s="802"/>
      <c r="T30" s="803"/>
      <c r="U30" s="797"/>
      <c r="V30" s="807"/>
      <c r="W30" s="18"/>
    </row>
    <row r="31" spans="1:23" ht="16.5" customHeight="1">
      <c r="A31" s="5"/>
      <c r="B31" s="51"/>
      <c r="C31" s="1043"/>
      <c r="D31" s="808"/>
      <c r="E31" s="809"/>
      <c r="F31" s="810"/>
      <c r="G31" s="811"/>
      <c r="H31" s="812">
        <f>F31*$F$21</f>
        <v>0</v>
      </c>
      <c r="I31" s="814"/>
      <c r="J31" s="814"/>
      <c r="K31" s="426">
        <f>IF(D31="","",(J31-I31)*24)</f>
      </c>
      <c r="L31" s="14">
        <f>IF(D31="","",(J31-I31)*24*60)</f>
      </c>
      <c r="M31" s="13"/>
      <c r="N31" s="8">
        <f>IF(D31="","",IF(OR(M31="P",M31="RP"),"--","NO"))</f>
      </c>
      <c r="O31" s="940">
        <f>IF(D31="","","NO")</f>
      </c>
      <c r="P31" s="817">
        <f>200*IF(O31="SI",1,0.1)*IF(M31="P",0.1,1)</f>
        <v>20</v>
      </c>
      <c r="Q31" s="818" t="str">
        <f>IF(M31="P",H31*P31*ROUND(L31/60,2),"--")</f>
        <v>--</v>
      </c>
      <c r="R31" s="819" t="str">
        <f>IF(AND(M31="F",N31="NO"),H31*P31,"--")</f>
        <v>--</v>
      </c>
      <c r="S31" s="820" t="str">
        <f>IF(M31="F",H31*P31*ROUND(L31/60,2),"--")</f>
        <v>--</v>
      </c>
      <c r="T31" s="566" t="str">
        <f>IF(M31="RF",H31*P31*ROUND(L31/60,2),"--")</f>
        <v>--</v>
      </c>
      <c r="U31" s="436">
        <f>IF(D31="","","SI")</f>
      </c>
      <c r="V31" s="437">
        <f>IF(D31="","",SUM(Q31:T31)*IF(U31="SI",1,2))</f>
      </c>
      <c r="W31" s="337"/>
    </row>
    <row r="32" spans="1:23" ht="16.5" customHeight="1">
      <c r="A32" s="5"/>
      <c r="B32" s="51"/>
      <c r="C32" s="1043"/>
      <c r="D32" s="808"/>
      <c r="E32" s="809"/>
      <c r="F32" s="810"/>
      <c r="G32" s="811"/>
      <c r="H32" s="812">
        <f>F32*$F$21</f>
        <v>0</v>
      </c>
      <c r="I32" s="814"/>
      <c r="J32" s="814"/>
      <c r="K32" s="426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940">
        <f>IF(D32="","","NO")</f>
      </c>
      <c r="P32" s="817">
        <f>200*IF(O32="SI",1,0.1)*IF(M32="P",0.1,1)</f>
        <v>20</v>
      </c>
      <c r="Q32" s="818" t="str">
        <f>IF(M32="P",H32*P32*ROUND(L32/60,2),"--")</f>
        <v>--</v>
      </c>
      <c r="R32" s="819" t="str">
        <f>IF(AND(M32="F",N32="NO"),H32*P32,"--")</f>
        <v>--</v>
      </c>
      <c r="S32" s="820" t="str">
        <f>IF(M32="F",H32*P32*ROUND(L32/60,2),"--")</f>
        <v>--</v>
      </c>
      <c r="T32" s="566" t="str">
        <f>IF(M32="RF",H32*P32*ROUND(L32/60,2),"--")</f>
        <v>--</v>
      </c>
      <c r="U32" s="436">
        <f>IF(D32="","","SI")</f>
      </c>
      <c r="V32" s="437">
        <f>IF(D32="","",SUM(Q32:T32)*IF(U32="SI",1,2))</f>
      </c>
      <c r="W32" s="337"/>
    </row>
    <row r="33" spans="1:23" ht="16.5" customHeight="1" thickBot="1">
      <c r="A33" s="33"/>
      <c r="B33" s="51"/>
      <c r="C33" s="824"/>
      <c r="D33" s="825"/>
      <c r="E33" s="826"/>
      <c r="F33" s="827"/>
      <c r="G33" s="828"/>
      <c r="H33" s="829"/>
      <c r="I33" s="831"/>
      <c r="J33" s="832"/>
      <c r="K33" s="833"/>
      <c r="L33" s="834"/>
      <c r="M33" s="835"/>
      <c r="N33" s="9"/>
      <c r="O33" s="941"/>
      <c r="P33" s="838"/>
      <c r="Q33" s="839"/>
      <c r="R33" s="840"/>
      <c r="S33" s="841"/>
      <c r="T33" s="842"/>
      <c r="U33" s="846"/>
      <c r="V33" s="847"/>
      <c r="W33" s="337"/>
    </row>
    <row r="34" spans="1:23" ht="16.5" customHeight="1" thickBot="1" thickTop="1">
      <c r="A34" s="33"/>
      <c r="B34" s="51"/>
      <c r="C34" s="99"/>
      <c r="D34" s="277"/>
      <c r="E34" s="277"/>
      <c r="F34" s="604"/>
      <c r="G34" s="848"/>
      <c r="H34" s="849"/>
      <c r="I34" s="850"/>
      <c r="J34" s="851"/>
      <c r="K34" s="852"/>
      <c r="L34" s="853"/>
      <c r="M34" s="849"/>
      <c r="N34" s="854"/>
      <c r="O34" s="242"/>
      <c r="P34" s="855"/>
      <c r="Q34" s="856"/>
      <c r="R34" s="857"/>
      <c r="S34" s="857"/>
      <c r="T34" s="857"/>
      <c r="U34" s="245"/>
      <c r="V34" s="858">
        <f>SUM(V30:V33)</f>
        <v>0</v>
      </c>
      <c r="W34" s="337"/>
    </row>
    <row r="35" spans="1:23" ht="16.5" customHeight="1" thickBot="1" thickTop="1">
      <c r="A35" s="33"/>
      <c r="B35" s="51"/>
      <c r="C35" s="99"/>
      <c r="D35" s="277"/>
      <c r="E35" s="277"/>
      <c r="F35" s="604"/>
      <c r="G35" s="848"/>
      <c r="H35" s="849"/>
      <c r="I35" s="850"/>
      <c r="L35" s="853"/>
      <c r="M35" s="849"/>
      <c r="N35" s="859"/>
      <c r="O35" s="860"/>
      <c r="P35" s="855"/>
      <c r="Q35" s="856"/>
      <c r="R35" s="857"/>
      <c r="S35" s="857"/>
      <c r="T35" s="857"/>
      <c r="U35" s="245"/>
      <c r="V35" s="245"/>
      <c r="W35" s="337"/>
    </row>
    <row r="36" spans="2:23" s="5" customFormat="1" ht="33.75" customHeight="1" thickBot="1" thickTop="1">
      <c r="B36" s="51"/>
      <c r="C36" s="85" t="s">
        <v>13</v>
      </c>
      <c r="D36" s="87" t="s">
        <v>28</v>
      </c>
      <c r="E36" s="1158" t="s">
        <v>29</v>
      </c>
      <c r="F36" s="1160"/>
      <c r="G36" s="144" t="s">
        <v>14</v>
      </c>
      <c r="H36" s="139" t="s">
        <v>16</v>
      </c>
      <c r="I36" s="86" t="s">
        <v>17</v>
      </c>
      <c r="J36" s="549" t="s">
        <v>18</v>
      </c>
      <c r="K36" s="551" t="s">
        <v>37</v>
      </c>
      <c r="L36" s="551" t="s">
        <v>32</v>
      </c>
      <c r="M36" s="89" t="s">
        <v>19</v>
      </c>
      <c r="N36" s="1158" t="s">
        <v>33</v>
      </c>
      <c r="O36" s="1159"/>
      <c r="P36" s="147" t="s">
        <v>38</v>
      </c>
      <c r="Q36" s="552" t="s">
        <v>63</v>
      </c>
      <c r="R36" s="214" t="s">
        <v>36</v>
      </c>
      <c r="S36" s="553"/>
      <c r="T36" s="146" t="s">
        <v>22</v>
      </c>
      <c r="U36" s="144" t="s">
        <v>76</v>
      </c>
      <c r="V36" s="125" t="s">
        <v>24</v>
      </c>
      <c r="W36" s="6"/>
    </row>
    <row r="37" spans="2:23" s="5" customFormat="1" ht="16.5" customHeight="1" thickTop="1">
      <c r="B37" s="51"/>
      <c r="C37" s="7"/>
      <c r="D37" s="561"/>
      <c r="E37" s="1161"/>
      <c r="F37" s="1162"/>
      <c r="G37" s="561"/>
      <c r="H37" s="562"/>
      <c r="I37" s="561"/>
      <c r="J37" s="561"/>
      <c r="K37" s="561"/>
      <c r="L37" s="561"/>
      <c r="M37" s="561"/>
      <c r="N37" s="561"/>
      <c r="O37" s="942"/>
      <c r="P37" s="563"/>
      <c r="Q37" s="564"/>
      <c r="R37" s="237"/>
      <c r="S37" s="565"/>
      <c r="T37" s="566"/>
      <c r="U37" s="561"/>
      <c r="V37" s="567"/>
      <c r="W37" s="6"/>
    </row>
    <row r="38" spans="2:23" s="5" customFormat="1" ht="16.5" customHeight="1">
      <c r="B38" s="51"/>
      <c r="C38" s="1043" t="s">
        <v>270</v>
      </c>
      <c r="D38" s="561" t="s">
        <v>258</v>
      </c>
      <c r="E38" s="626" t="s">
        <v>259</v>
      </c>
      <c r="F38" s="1044"/>
      <c r="G38" s="943">
        <v>132</v>
      </c>
      <c r="H38" s="140">
        <f aca="true" t="shared" si="0" ref="H38:H43">IF(G38=500,$M$19,IF(G38=220,$M$20,$M$21))</f>
        <v>39.254</v>
      </c>
      <c r="I38" s="944">
        <v>39329.353472222225</v>
      </c>
      <c r="J38" s="945">
        <v>39329.680555555555</v>
      </c>
      <c r="K38" s="571">
        <f aca="true" t="shared" si="1" ref="K38:K43">IF(D38="","",(J38-I38)*24)</f>
        <v>7.849999999918509</v>
      </c>
      <c r="L38" s="572">
        <f aca="true" t="shared" si="2" ref="L38:L43">IF(D38="","",ROUND((J38-I38)*24*60,0))</f>
        <v>471</v>
      </c>
      <c r="M38" s="734" t="s">
        <v>182</v>
      </c>
      <c r="N38" s="674" t="str">
        <f aca="true" t="shared" si="3" ref="N38:N43">IF(D38="","",IF(OR(M38="P",M38="RP"),"--","NO"))</f>
        <v>--</v>
      </c>
      <c r="O38" s="633"/>
      <c r="P38" s="946">
        <f aca="true" t="shared" si="4" ref="P38:P43">IF(G38=500,$N$19,IF(G38=220,$N$20,$N$21))</f>
        <v>40</v>
      </c>
      <c r="Q38" s="947">
        <f aca="true" t="shared" si="5" ref="Q38:Q43">IF(M38="P",H38*P38*ROUND(L38/60,2)*0.1,"--")</f>
        <v>1232.5756</v>
      </c>
      <c r="R38" s="237" t="str">
        <f aca="true" t="shared" si="6" ref="R38:R43">IF(AND(M38="F",N38="NO"),H38*P38,"--")</f>
        <v>--</v>
      </c>
      <c r="S38" s="565" t="str">
        <f aca="true" t="shared" si="7" ref="S38:S43">IF(M38="F",H38*P38*ROUND(L38/60,2),"--")</f>
        <v>--</v>
      </c>
      <c r="T38" s="566" t="str">
        <f aca="true" t="shared" si="8" ref="T38:T43">IF(M38="RF",H38*P38*ROUND(L38/60,2),"--")</f>
        <v>--</v>
      </c>
      <c r="U38" s="948" t="str">
        <f aca="true" t="shared" si="9" ref="U38:U43">IF(D38="","","SI")</f>
        <v>SI</v>
      </c>
      <c r="V38" s="577">
        <f aca="true" t="shared" si="10" ref="V38:V43">IF(D38="","",SUM(Q38:T38)*IF(U38="SI",1,2))</f>
        <v>1232.5756</v>
      </c>
      <c r="W38" s="6"/>
    </row>
    <row r="39" spans="2:23" s="5" customFormat="1" ht="16.5" customHeight="1">
      <c r="B39" s="51"/>
      <c r="C39" s="1043" t="s">
        <v>271</v>
      </c>
      <c r="D39" s="561" t="s">
        <v>258</v>
      </c>
      <c r="E39" s="626" t="s">
        <v>259</v>
      </c>
      <c r="F39" s="1044"/>
      <c r="G39" s="943">
        <v>132</v>
      </c>
      <c r="H39" s="140">
        <f t="shared" si="0"/>
        <v>39.254</v>
      </c>
      <c r="I39" s="944">
        <v>39330.353472222225</v>
      </c>
      <c r="J39" s="945">
        <v>39330.66388888889</v>
      </c>
      <c r="K39" s="571">
        <f t="shared" si="1"/>
        <v>7.4500000000116415</v>
      </c>
      <c r="L39" s="572">
        <f t="shared" si="2"/>
        <v>447</v>
      </c>
      <c r="M39" s="734" t="s">
        <v>182</v>
      </c>
      <c r="N39" s="674" t="str">
        <f t="shared" si="3"/>
        <v>--</v>
      </c>
      <c r="O39" s="633"/>
      <c r="P39" s="946">
        <f t="shared" si="4"/>
        <v>40</v>
      </c>
      <c r="Q39" s="947">
        <f t="shared" si="5"/>
        <v>1169.7692</v>
      </c>
      <c r="R39" s="237" t="str">
        <f t="shared" si="6"/>
        <v>--</v>
      </c>
      <c r="S39" s="565" t="str">
        <f t="shared" si="7"/>
        <v>--</v>
      </c>
      <c r="T39" s="566" t="str">
        <f t="shared" si="8"/>
        <v>--</v>
      </c>
      <c r="U39" s="948" t="str">
        <f t="shared" si="9"/>
        <v>SI</v>
      </c>
      <c r="V39" s="577">
        <f t="shared" si="10"/>
        <v>1169.7692</v>
      </c>
      <c r="W39" s="6"/>
    </row>
    <row r="40" spans="2:23" s="5" customFormat="1" ht="16.5" customHeight="1">
      <c r="B40" s="51"/>
      <c r="C40" s="1043" t="s">
        <v>272</v>
      </c>
      <c r="D40" s="561" t="s">
        <v>258</v>
      </c>
      <c r="E40" s="626" t="s">
        <v>260</v>
      </c>
      <c r="F40" s="1044"/>
      <c r="G40" s="943">
        <v>132</v>
      </c>
      <c r="H40" s="140">
        <f t="shared" si="0"/>
        <v>39.254</v>
      </c>
      <c r="I40" s="944">
        <v>39331.35138888889</v>
      </c>
      <c r="J40" s="945">
        <v>39331.67638888889</v>
      </c>
      <c r="K40" s="571">
        <f t="shared" si="1"/>
        <v>7.799999999930151</v>
      </c>
      <c r="L40" s="572">
        <f t="shared" si="2"/>
        <v>468</v>
      </c>
      <c r="M40" s="734" t="s">
        <v>182</v>
      </c>
      <c r="N40" s="674" t="str">
        <f t="shared" si="3"/>
        <v>--</v>
      </c>
      <c r="O40" s="633"/>
      <c r="P40" s="946">
        <f t="shared" si="4"/>
        <v>40</v>
      </c>
      <c r="Q40" s="947">
        <f t="shared" si="5"/>
        <v>1224.7247999999997</v>
      </c>
      <c r="R40" s="237" t="str">
        <f t="shared" si="6"/>
        <v>--</v>
      </c>
      <c r="S40" s="565" t="str">
        <f t="shared" si="7"/>
        <v>--</v>
      </c>
      <c r="T40" s="566" t="str">
        <f t="shared" si="8"/>
        <v>--</v>
      </c>
      <c r="U40" s="948" t="str">
        <f t="shared" si="9"/>
        <v>SI</v>
      </c>
      <c r="V40" s="577">
        <f t="shared" si="10"/>
        <v>1224.7247999999997</v>
      </c>
      <c r="W40" s="6"/>
    </row>
    <row r="41" spans="2:23" s="5" customFormat="1" ht="16.5" customHeight="1">
      <c r="B41" s="51"/>
      <c r="C41" s="1043" t="s">
        <v>295</v>
      </c>
      <c r="D41" s="561" t="s">
        <v>258</v>
      </c>
      <c r="E41" s="626" t="s">
        <v>260</v>
      </c>
      <c r="F41" s="1044"/>
      <c r="G41" s="943">
        <v>132</v>
      </c>
      <c r="H41" s="140">
        <f t="shared" si="0"/>
        <v>39.254</v>
      </c>
      <c r="I41" s="944">
        <v>39332.347916666666</v>
      </c>
      <c r="J41" s="945">
        <v>39332.6125</v>
      </c>
      <c r="K41" s="571">
        <f t="shared" si="1"/>
        <v>6.350000000093132</v>
      </c>
      <c r="L41" s="572">
        <f t="shared" si="2"/>
        <v>381</v>
      </c>
      <c r="M41" s="734" t="s">
        <v>182</v>
      </c>
      <c r="N41" s="674" t="str">
        <f t="shared" si="3"/>
        <v>--</v>
      </c>
      <c r="O41" s="633"/>
      <c r="P41" s="946">
        <f t="shared" si="4"/>
        <v>40</v>
      </c>
      <c r="Q41" s="947">
        <f t="shared" si="5"/>
        <v>997.0515999999998</v>
      </c>
      <c r="R41" s="237" t="str">
        <f t="shared" si="6"/>
        <v>--</v>
      </c>
      <c r="S41" s="565" t="str">
        <f t="shared" si="7"/>
        <v>--</v>
      </c>
      <c r="T41" s="566" t="str">
        <f t="shared" si="8"/>
        <v>--</v>
      </c>
      <c r="U41" s="948" t="str">
        <f t="shared" si="9"/>
        <v>SI</v>
      </c>
      <c r="V41" s="577">
        <f t="shared" si="10"/>
        <v>997.0515999999998</v>
      </c>
      <c r="W41" s="6"/>
    </row>
    <row r="42" spans="2:23" s="5" customFormat="1" ht="16.5" customHeight="1">
      <c r="B42" s="51"/>
      <c r="C42" s="1043"/>
      <c r="D42" s="561"/>
      <c r="E42" s="626"/>
      <c r="F42" s="1044"/>
      <c r="G42" s="943"/>
      <c r="H42" s="140">
        <f t="shared" si="0"/>
        <v>39.254</v>
      </c>
      <c r="I42" s="944"/>
      <c r="J42" s="945"/>
      <c r="K42" s="571">
        <f t="shared" si="1"/>
      </c>
      <c r="L42" s="572">
        <f t="shared" si="2"/>
      </c>
      <c r="M42" s="734"/>
      <c r="N42" s="674">
        <f t="shared" si="3"/>
      </c>
      <c r="O42" s="633"/>
      <c r="P42" s="946">
        <f t="shared" si="4"/>
        <v>40</v>
      </c>
      <c r="Q42" s="947" t="str">
        <f t="shared" si="5"/>
        <v>--</v>
      </c>
      <c r="R42" s="237" t="str">
        <f t="shared" si="6"/>
        <v>--</v>
      </c>
      <c r="S42" s="565" t="str">
        <f t="shared" si="7"/>
        <v>--</v>
      </c>
      <c r="T42" s="566" t="str">
        <f t="shared" si="8"/>
        <v>--</v>
      </c>
      <c r="U42" s="948">
        <f t="shared" si="9"/>
      </c>
      <c r="V42" s="577">
        <f t="shared" si="10"/>
      </c>
      <c r="W42" s="6"/>
    </row>
    <row r="43" spans="2:23" s="5" customFormat="1" ht="16.5" customHeight="1">
      <c r="B43" s="51"/>
      <c r="C43" s="1043"/>
      <c r="D43" s="561"/>
      <c r="E43" s="626"/>
      <c r="F43" s="1044"/>
      <c r="G43" s="943"/>
      <c r="H43" s="140">
        <f t="shared" si="0"/>
        <v>39.254</v>
      </c>
      <c r="I43" s="944"/>
      <c r="J43" s="945"/>
      <c r="K43" s="571">
        <f t="shared" si="1"/>
      </c>
      <c r="L43" s="572">
        <f t="shared" si="2"/>
      </c>
      <c r="M43" s="734"/>
      <c r="N43" s="674">
        <f t="shared" si="3"/>
      </c>
      <c r="O43" s="633"/>
      <c r="P43" s="946">
        <f t="shared" si="4"/>
        <v>40</v>
      </c>
      <c r="Q43" s="947" t="str">
        <f t="shared" si="5"/>
        <v>--</v>
      </c>
      <c r="R43" s="237" t="str">
        <f t="shared" si="6"/>
        <v>--</v>
      </c>
      <c r="S43" s="565" t="str">
        <f t="shared" si="7"/>
        <v>--</v>
      </c>
      <c r="T43" s="566" t="str">
        <f t="shared" si="8"/>
        <v>--</v>
      </c>
      <c r="U43" s="948">
        <f t="shared" si="9"/>
      </c>
      <c r="V43" s="577">
        <f t="shared" si="10"/>
      </c>
      <c r="W43" s="6"/>
    </row>
    <row r="44" spans="2:28" s="5" customFormat="1" ht="16.5" customHeight="1" thickBot="1">
      <c r="B44" s="51"/>
      <c r="C44" s="949"/>
      <c r="D44" s="950"/>
      <c r="E44" s="1156"/>
      <c r="F44" s="1157"/>
      <c r="G44" s="951"/>
      <c r="H44" s="952"/>
      <c r="I44" s="953"/>
      <c r="J44" s="954"/>
      <c r="K44" s="955"/>
      <c r="L44" s="956"/>
      <c r="M44" s="957"/>
      <c r="N44" s="958"/>
      <c r="O44" s="957"/>
      <c r="P44" s="959"/>
      <c r="Q44" s="960"/>
      <c r="R44" s="961"/>
      <c r="S44" s="962"/>
      <c r="T44" s="963"/>
      <c r="U44" s="964"/>
      <c r="V44" s="965"/>
      <c r="W44" s="6"/>
      <c r="X44"/>
      <c r="Y44"/>
      <c r="Z44"/>
      <c r="AA44"/>
      <c r="AB44"/>
    </row>
    <row r="45" spans="1:23" ht="17.25" thickBot="1" thickTop="1">
      <c r="A45" s="33"/>
      <c r="B45" s="684"/>
      <c r="C45" s="687"/>
      <c r="D45" s="862"/>
      <c r="E45" s="863"/>
      <c r="F45" s="864"/>
      <c r="G45" s="865"/>
      <c r="H45" s="865"/>
      <c r="I45" s="863"/>
      <c r="J45" s="675"/>
      <c r="K45" s="675"/>
      <c r="L45" s="863"/>
      <c r="M45" s="863"/>
      <c r="N45" s="863"/>
      <c r="O45" s="866"/>
      <c r="P45" s="863"/>
      <c r="Q45" s="863"/>
      <c r="R45" s="867"/>
      <c r="S45" s="868"/>
      <c r="T45" s="868"/>
      <c r="U45" s="869"/>
      <c r="V45" s="858">
        <f>SUM(V38:V44)</f>
        <v>4624.1212</v>
      </c>
      <c r="W45" s="870"/>
    </row>
    <row r="46" spans="1:23" ht="17.25" thickBot="1" thickTop="1">
      <c r="A46" s="33"/>
      <c r="B46" s="684"/>
      <c r="C46" s="687"/>
      <c r="D46" s="862"/>
      <c r="E46" s="863"/>
      <c r="F46" s="864"/>
      <c r="G46" s="865"/>
      <c r="H46" s="865"/>
      <c r="I46" s="697" t="s">
        <v>43</v>
      </c>
      <c r="J46" s="935">
        <f>+V45+V34</f>
        <v>4624.1212</v>
      </c>
      <c r="L46" s="863"/>
      <c r="M46" s="863"/>
      <c r="N46" s="863"/>
      <c r="O46" s="866"/>
      <c r="P46" s="863"/>
      <c r="Q46" s="863"/>
      <c r="R46" s="867"/>
      <c r="S46" s="868"/>
      <c r="T46" s="868"/>
      <c r="U46" s="869"/>
      <c r="W46" s="870"/>
    </row>
    <row r="47" spans="1:23" ht="13.5" customHeight="1" thickTop="1">
      <c r="A47" s="33"/>
      <c r="B47" s="684"/>
      <c r="C47" s="687"/>
      <c r="D47" s="862"/>
      <c r="E47" s="863"/>
      <c r="F47" s="864"/>
      <c r="G47" s="865"/>
      <c r="H47" s="865"/>
      <c r="I47" s="863"/>
      <c r="J47" s="675"/>
      <c r="K47" s="675"/>
      <c r="L47" s="863"/>
      <c r="M47" s="863"/>
      <c r="N47" s="863"/>
      <c r="O47" s="866"/>
      <c r="P47" s="863"/>
      <c r="Q47" s="863"/>
      <c r="R47" s="867"/>
      <c r="S47" s="868"/>
      <c r="T47" s="868"/>
      <c r="U47" s="869"/>
      <c r="W47" s="870"/>
    </row>
    <row r="48" spans="1:23" ht="16.5" customHeight="1">
      <c r="A48" s="33"/>
      <c r="B48" s="684"/>
      <c r="C48" s="871" t="s">
        <v>113</v>
      </c>
      <c r="D48" s="872" t="s">
        <v>162</v>
      </c>
      <c r="E48" s="863"/>
      <c r="F48" s="864"/>
      <c r="G48" s="865"/>
      <c r="H48" s="865"/>
      <c r="I48" s="863"/>
      <c r="J48" s="675"/>
      <c r="K48" s="675"/>
      <c r="L48" s="863"/>
      <c r="M48" s="863"/>
      <c r="N48" s="863"/>
      <c r="O48" s="866"/>
      <c r="P48" s="863"/>
      <c r="Q48" s="863"/>
      <c r="R48" s="867"/>
      <c r="S48" s="868"/>
      <c r="T48" s="868"/>
      <c r="U48" s="869"/>
      <c r="W48" s="870"/>
    </row>
    <row r="49" spans="1:23" ht="16.5" customHeight="1">
      <c r="A49" s="33"/>
      <c r="B49" s="684"/>
      <c r="C49" s="871"/>
      <c r="D49" s="862"/>
      <c r="E49" s="863"/>
      <c r="F49" s="864"/>
      <c r="G49" s="865"/>
      <c r="H49" s="865"/>
      <c r="I49" s="863"/>
      <c r="J49" s="675"/>
      <c r="K49" s="675"/>
      <c r="L49" s="863"/>
      <c r="M49" s="863"/>
      <c r="N49" s="863"/>
      <c r="O49" s="866"/>
      <c r="P49" s="863"/>
      <c r="Q49" s="863"/>
      <c r="R49" s="863"/>
      <c r="S49" s="867"/>
      <c r="T49" s="868"/>
      <c r="W49" s="870"/>
    </row>
    <row r="50" spans="2:23" s="33" customFormat="1" ht="16.5" customHeight="1">
      <c r="B50" s="684"/>
      <c r="C50" s="687"/>
      <c r="D50" s="873" t="s">
        <v>130</v>
      </c>
      <c r="E50" s="769" t="s">
        <v>131</v>
      </c>
      <c r="F50" s="769" t="s">
        <v>44</v>
      </c>
      <c r="G50" s="874" t="s">
        <v>167</v>
      </c>
      <c r="H50"/>
      <c r="I50" s="152"/>
      <c r="J50" s="886" t="s">
        <v>50</v>
      </c>
      <c r="K50" s="886"/>
      <c r="L50" s="769" t="s">
        <v>44</v>
      </c>
      <c r="M50" t="s">
        <v>144</v>
      </c>
      <c r="O50" s="874" t="s">
        <v>169</v>
      </c>
      <c r="P50"/>
      <c r="Q50" s="878"/>
      <c r="R50" s="878"/>
      <c r="S50" s="34"/>
      <c r="T50"/>
      <c r="U50"/>
      <c r="V50"/>
      <c r="W50" s="870"/>
    </row>
    <row r="51" spans="2:23" s="33" customFormat="1" ht="16.5" customHeight="1">
      <c r="B51" s="684"/>
      <c r="C51" s="687"/>
      <c r="D51" s="157" t="s">
        <v>156</v>
      </c>
      <c r="E51" s="157">
        <v>300</v>
      </c>
      <c r="F51" s="968" t="s">
        <v>157</v>
      </c>
      <c r="G51" s="1154">
        <f>+E51*$F$20*$F$21</f>
        <v>52920</v>
      </c>
      <c r="H51" s="1154"/>
      <c r="I51" s="1154"/>
      <c r="J51" s="967" t="s">
        <v>158</v>
      </c>
      <c r="K51" s="967"/>
      <c r="L51" s="157">
        <v>132</v>
      </c>
      <c r="M51" s="157">
        <v>2</v>
      </c>
      <c r="O51" s="1154">
        <f>+M51*$F$20*$M$21</f>
        <v>56525.759999999995</v>
      </c>
      <c r="P51" s="1154"/>
      <c r="Q51" s="1154"/>
      <c r="R51" s="1154"/>
      <c r="S51" s="1154"/>
      <c r="T51" s="1154"/>
      <c r="U51" s="1154"/>
      <c r="V51"/>
      <c r="W51" s="870"/>
    </row>
    <row r="52" spans="1:23" ht="16.5" customHeight="1">
      <c r="A52" s="33"/>
      <c r="B52" s="684"/>
      <c r="C52" s="687"/>
      <c r="D52" s="155"/>
      <c r="E52" s="156"/>
      <c r="F52" s="966"/>
      <c r="G52" s="1155">
        <f>+G51</f>
        <v>52920</v>
      </c>
      <c r="H52" s="1155"/>
      <c r="I52" s="1155"/>
      <c r="M52" s="157"/>
      <c r="O52" s="1155">
        <f>SUM(O51:P51)</f>
        <v>56525.759999999995</v>
      </c>
      <c r="P52" s="1155"/>
      <c r="Q52" s="1155"/>
      <c r="R52" s="1155"/>
      <c r="S52" s="1155"/>
      <c r="T52" s="1155"/>
      <c r="U52" s="1155"/>
      <c r="W52" s="870"/>
    </row>
    <row r="53" spans="1:23" ht="16.5" customHeight="1">
      <c r="A53" s="33"/>
      <c r="B53" s="684"/>
      <c r="C53" s="687"/>
      <c r="D53" s="155"/>
      <c r="E53" s="156"/>
      <c r="F53" s="966"/>
      <c r="M53" s="157"/>
      <c r="N53" s="152"/>
      <c r="O53" s="152"/>
      <c r="P53" s="916"/>
      <c r="Q53" s="916"/>
      <c r="R53" s="916"/>
      <c r="S53" s="916"/>
      <c r="W53" s="870"/>
    </row>
    <row r="54" spans="1:23" ht="16.5" customHeight="1" thickBot="1">
      <c r="A54" s="33"/>
      <c r="B54" s="684"/>
      <c r="C54" s="687"/>
      <c r="D54" s="873"/>
      <c r="E54" s="887"/>
      <c r="F54" s="887"/>
      <c r="G54" s="769"/>
      <c r="I54" s="876"/>
      <c r="J54" s="874"/>
      <c r="L54" s="875"/>
      <c r="M54" s="876"/>
      <c r="N54" s="877"/>
      <c r="O54" s="878"/>
      <c r="P54" s="878"/>
      <c r="Q54" s="878"/>
      <c r="R54" s="878"/>
      <c r="S54" s="878"/>
      <c r="W54" s="870"/>
    </row>
    <row r="55" spans="1:23" ht="16.5" customHeight="1" thickBot="1" thickTop="1">
      <c r="A55" s="33"/>
      <c r="B55" s="684"/>
      <c r="C55" s="687"/>
      <c r="D55" s="769"/>
      <c r="E55" s="919"/>
      <c r="F55" s="919"/>
      <c r="G55" s="881"/>
      <c r="H55" s="190"/>
      <c r="I55" s="697" t="s">
        <v>45</v>
      </c>
      <c r="J55" s="935">
        <f>+G52+O52</f>
        <v>109445.76</v>
      </c>
      <c r="L55" s="883"/>
      <c r="M55" s="190"/>
      <c r="N55" s="884"/>
      <c r="O55" s="916"/>
      <c r="P55" s="916"/>
      <c r="Q55" s="916"/>
      <c r="R55" s="916"/>
      <c r="S55" s="916"/>
      <c r="W55" s="870"/>
    </row>
    <row r="56" spans="1:23" ht="16.5" customHeight="1" thickTop="1">
      <c r="A56" s="33"/>
      <c r="B56" s="684"/>
      <c r="C56" s="687"/>
      <c r="D56" s="675"/>
      <c r="E56" s="692"/>
      <c r="F56" s="769"/>
      <c r="G56" s="769"/>
      <c r="H56" s="770"/>
      <c r="J56" s="769"/>
      <c r="L56" s="890"/>
      <c r="M56" s="877"/>
      <c r="N56" s="877"/>
      <c r="O56" s="878"/>
      <c r="P56" s="878"/>
      <c r="Q56" s="878"/>
      <c r="R56" s="878"/>
      <c r="S56" s="878"/>
      <c r="W56" s="870"/>
    </row>
    <row r="57" spans="2:23" ht="16.5" customHeight="1">
      <c r="B57" s="684"/>
      <c r="C57" s="871" t="s">
        <v>117</v>
      </c>
      <c r="D57" s="891" t="s">
        <v>118</v>
      </c>
      <c r="E57" s="769"/>
      <c r="F57" s="892"/>
      <c r="G57" s="768"/>
      <c r="H57" s="675"/>
      <c r="I57" s="675"/>
      <c r="J57" s="675"/>
      <c r="K57" s="769"/>
      <c r="L57" s="769"/>
      <c r="M57" s="675"/>
      <c r="N57" s="769"/>
      <c r="O57" s="675"/>
      <c r="P57" s="675"/>
      <c r="Q57" s="675"/>
      <c r="R57" s="675"/>
      <c r="S57" s="675"/>
      <c r="T57" s="675"/>
      <c r="U57" s="675"/>
      <c r="W57" s="870"/>
    </row>
    <row r="58" spans="2:23" s="33" customFormat="1" ht="16.5" customHeight="1">
      <c r="B58" s="684"/>
      <c r="C58" s="687"/>
      <c r="D58" s="873" t="s">
        <v>119</v>
      </c>
      <c r="E58" s="893">
        <f>10*J46*J25/J55</f>
        <v>1849.64848</v>
      </c>
      <c r="G58" s="768"/>
      <c r="L58" s="769"/>
      <c r="N58" s="769"/>
      <c r="O58" s="770"/>
      <c r="V58"/>
      <c r="W58" s="870"/>
    </row>
    <row r="59" spans="2:23" s="33" customFormat="1" ht="12.75" customHeight="1">
      <c r="B59" s="684"/>
      <c r="C59" s="687"/>
      <c r="E59" s="894"/>
      <c r="F59" s="696"/>
      <c r="G59" s="768"/>
      <c r="J59" s="768"/>
      <c r="K59" s="783"/>
      <c r="L59" s="769"/>
      <c r="M59" s="769"/>
      <c r="N59" s="769"/>
      <c r="O59" s="770"/>
      <c r="P59" s="769"/>
      <c r="Q59" s="769"/>
      <c r="R59" s="782"/>
      <c r="S59" s="782"/>
      <c r="T59" s="782"/>
      <c r="U59" s="895"/>
      <c r="V59"/>
      <c r="W59" s="870"/>
    </row>
    <row r="60" spans="2:23" ht="16.5" customHeight="1">
      <c r="B60" s="684"/>
      <c r="C60" s="687"/>
      <c r="D60" s="896" t="s">
        <v>159</v>
      </c>
      <c r="E60" s="897"/>
      <c r="F60" s="696"/>
      <c r="G60" s="768"/>
      <c r="H60" s="675"/>
      <c r="I60" s="675"/>
      <c r="N60" s="769"/>
      <c r="O60" s="770"/>
      <c r="P60" s="769"/>
      <c r="Q60" s="769"/>
      <c r="R60" s="876"/>
      <c r="S60" s="876"/>
      <c r="T60" s="876"/>
      <c r="U60" s="877"/>
      <c r="W60" s="870"/>
    </row>
    <row r="61" spans="2:23" ht="13.5" customHeight="1" thickBot="1">
      <c r="B61" s="684"/>
      <c r="C61" s="687"/>
      <c r="D61" s="896"/>
      <c r="E61" s="897"/>
      <c r="F61" s="696"/>
      <c r="G61" s="768"/>
      <c r="H61" s="675"/>
      <c r="I61" s="675"/>
      <c r="N61" s="769"/>
      <c r="O61" s="770"/>
      <c r="P61" s="769"/>
      <c r="Q61" s="769"/>
      <c r="R61" s="876"/>
      <c r="S61" s="876"/>
      <c r="T61" s="876"/>
      <c r="U61" s="877"/>
      <c r="W61" s="870"/>
    </row>
    <row r="62" spans="2:23" s="898" customFormat="1" ht="21" thickBot="1" thickTop="1">
      <c r="B62" s="899"/>
      <c r="C62" s="900"/>
      <c r="D62" s="901"/>
      <c r="E62" s="902"/>
      <c r="F62" s="903"/>
      <c r="G62" s="904"/>
      <c r="I62" s="905" t="s">
        <v>121</v>
      </c>
      <c r="J62" s="906">
        <f>IF(E58&gt;3*J25,J25*3,E58)</f>
        <v>1849.64848</v>
      </c>
      <c r="M62" s="907"/>
      <c r="N62" s="907"/>
      <c r="O62" s="908"/>
      <c r="P62" s="907"/>
      <c r="Q62" s="907"/>
      <c r="R62" s="909"/>
      <c r="S62" s="909"/>
      <c r="T62" s="909"/>
      <c r="U62" s="910"/>
      <c r="V62"/>
      <c r="W62" s="911"/>
    </row>
    <row r="63" spans="2:23" ht="16.5" customHeight="1" thickBot="1" thickTop="1">
      <c r="B63" s="58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256"/>
      <c r="W63" s="912"/>
    </row>
    <row r="64" spans="2:23" ht="16.5" customHeight="1" thickTop="1">
      <c r="B64" s="1"/>
      <c r="C64" s="74"/>
      <c r="W64" s="1"/>
    </row>
  </sheetData>
  <sheetProtection password="CC12"/>
  <mergeCells count="8">
    <mergeCell ref="E36:F36"/>
    <mergeCell ref="E37:F37"/>
    <mergeCell ref="O52:U52"/>
    <mergeCell ref="G52:I52"/>
    <mergeCell ref="G51:I51"/>
    <mergeCell ref="O51:U51"/>
    <mergeCell ref="N36:O36"/>
    <mergeCell ref="E44:F4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GL114"/>
  <sheetViews>
    <sheetView zoomScale="75" zoomScaleNormal="75" workbookViewId="0" topLeftCell="A67">
      <selection activeCell="J111" sqref="J111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1074"/>
      <c r="V1" s="1075"/>
    </row>
    <row r="2" spans="2:22" s="19" customFormat="1" ht="26.25">
      <c r="B2" s="592" t="str">
        <f>'TOT-0907'!B2</f>
        <v>ANEXO IV al Memorandum D.T.E.E. N°  1955 /2009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1076"/>
    </row>
    <row r="3" spans="1:22" s="26" customFormat="1" ht="11.25">
      <c r="A3" s="24" t="s">
        <v>2</v>
      </c>
      <c r="B3" s="128"/>
      <c r="U3" s="1077"/>
      <c r="V3" s="1077"/>
    </row>
    <row r="4" spans="1:22" s="26" customFormat="1" ht="11.25">
      <c r="A4" s="24" t="s">
        <v>3</v>
      </c>
      <c r="B4" s="128"/>
      <c r="U4" s="128"/>
      <c r="V4" s="1077"/>
    </row>
    <row r="5" spans="21:22" ht="24" customHeight="1">
      <c r="U5" s="23"/>
      <c r="V5" s="1075"/>
    </row>
    <row r="6" spans="2:178" s="1078" customFormat="1" ht="23.25">
      <c r="B6" s="1079" t="s">
        <v>279</v>
      </c>
      <c r="C6" s="1079"/>
      <c r="D6" s="1080"/>
      <c r="E6" s="1079"/>
      <c r="F6" s="1079"/>
      <c r="G6" s="1079"/>
      <c r="H6" s="1079"/>
      <c r="I6" s="1079"/>
      <c r="J6" s="1079"/>
      <c r="K6" s="1079"/>
      <c r="L6" s="1079"/>
      <c r="M6" s="1079"/>
      <c r="N6" s="1079"/>
      <c r="O6" s="1079"/>
      <c r="P6" s="1079"/>
      <c r="Q6" s="1079"/>
      <c r="R6" s="1079"/>
      <c r="S6" s="1079"/>
      <c r="T6" s="1079"/>
      <c r="U6" s="1079"/>
      <c r="V6" s="1081"/>
      <c r="W6" s="1079"/>
      <c r="X6" s="1079"/>
      <c r="Y6" s="1079"/>
      <c r="Z6" s="1079"/>
      <c r="AA6" s="1079"/>
      <c r="AB6" s="1079"/>
      <c r="AC6" s="1079"/>
      <c r="AD6" s="1079"/>
      <c r="AE6" s="1079"/>
      <c r="AF6" s="1079"/>
      <c r="AG6" s="1079"/>
      <c r="AH6" s="1079"/>
      <c r="AI6" s="1079"/>
      <c r="AJ6" s="1079"/>
      <c r="AK6" s="1079"/>
      <c r="AL6" s="1079"/>
      <c r="AM6" s="1079"/>
      <c r="AN6" s="1079"/>
      <c r="AO6" s="1079"/>
      <c r="AP6" s="1079"/>
      <c r="AQ6" s="1079"/>
      <c r="AR6" s="1079"/>
      <c r="AS6" s="1079"/>
      <c r="AT6" s="1079"/>
      <c r="AU6" s="1079"/>
      <c r="AV6" s="1079"/>
      <c r="AW6" s="1079"/>
      <c r="AX6" s="1079"/>
      <c r="AY6" s="1079"/>
      <c r="AZ6" s="1079"/>
      <c r="BA6" s="1079"/>
      <c r="BB6" s="1079"/>
      <c r="BC6" s="1079"/>
      <c r="BD6" s="1079"/>
      <c r="BE6" s="1079"/>
      <c r="BF6" s="1079"/>
      <c r="BG6" s="1079"/>
      <c r="BH6" s="1079"/>
      <c r="BI6" s="1079"/>
      <c r="BJ6" s="1079"/>
      <c r="BK6" s="1079"/>
      <c r="BL6" s="1079"/>
      <c r="BM6" s="1079"/>
      <c r="BN6" s="1079"/>
      <c r="BO6" s="1079"/>
      <c r="BP6" s="1079"/>
      <c r="BQ6" s="1079"/>
      <c r="BR6" s="1079"/>
      <c r="BS6" s="1079"/>
      <c r="BT6" s="1079"/>
      <c r="BU6" s="1079"/>
      <c r="BV6" s="1079"/>
      <c r="BW6" s="1079"/>
      <c r="BX6" s="1079"/>
      <c r="BY6" s="1079"/>
      <c r="BZ6" s="1079"/>
      <c r="CA6" s="1079"/>
      <c r="CB6" s="1079"/>
      <c r="CC6" s="1079"/>
      <c r="CD6" s="1079"/>
      <c r="CE6" s="1079"/>
      <c r="CF6" s="1079"/>
      <c r="CG6" s="1079"/>
      <c r="CH6" s="1079"/>
      <c r="CI6" s="1079"/>
      <c r="CJ6" s="1079"/>
      <c r="CK6" s="1079"/>
      <c r="CL6" s="1079"/>
      <c r="CM6" s="1079"/>
      <c r="CN6" s="1079"/>
      <c r="CO6" s="1079"/>
      <c r="CP6" s="1079"/>
      <c r="CQ6" s="1079"/>
      <c r="CR6" s="1079"/>
      <c r="CS6" s="1079"/>
      <c r="CT6" s="1079"/>
      <c r="CU6" s="1079"/>
      <c r="CV6" s="1079"/>
      <c r="CW6" s="1079"/>
      <c r="CX6" s="1079"/>
      <c r="CY6" s="1079"/>
      <c r="CZ6" s="1079"/>
      <c r="DA6" s="1079"/>
      <c r="DB6" s="1079"/>
      <c r="DC6" s="1079"/>
      <c r="DD6" s="1079"/>
      <c r="DE6" s="1079"/>
      <c r="DF6" s="1079"/>
      <c r="DG6" s="1079"/>
      <c r="DH6" s="1079"/>
      <c r="DI6" s="1079"/>
      <c r="DJ6" s="1079"/>
      <c r="DK6" s="1079"/>
      <c r="DL6" s="1079"/>
      <c r="DM6" s="1079"/>
      <c r="DN6" s="1079"/>
      <c r="DO6" s="1079"/>
      <c r="DP6" s="1079"/>
      <c r="DQ6" s="1079"/>
      <c r="DR6" s="1079"/>
      <c r="DS6" s="1079"/>
      <c r="DT6" s="1079"/>
      <c r="DU6" s="1079"/>
      <c r="DV6" s="1079"/>
      <c r="DW6" s="1079"/>
      <c r="DX6" s="1079"/>
      <c r="DY6" s="1079"/>
      <c r="DZ6" s="1079"/>
      <c r="EA6" s="1079"/>
      <c r="EB6" s="1079"/>
      <c r="EC6" s="1079"/>
      <c r="ED6" s="1079"/>
      <c r="EE6" s="1079"/>
      <c r="EF6" s="1079"/>
      <c r="EG6" s="1079"/>
      <c r="EH6" s="1079"/>
      <c r="EI6" s="1079"/>
      <c r="EJ6" s="1079"/>
      <c r="EK6" s="1079"/>
      <c r="EL6" s="1079"/>
      <c r="EM6" s="1079"/>
      <c r="EN6" s="1079"/>
      <c r="EO6" s="1079"/>
      <c r="EP6" s="1079"/>
      <c r="EQ6" s="1079"/>
      <c r="ER6" s="1079"/>
      <c r="ES6" s="1079"/>
      <c r="ET6" s="1079"/>
      <c r="EU6" s="1079"/>
      <c r="EV6" s="1079"/>
      <c r="EW6" s="1079"/>
      <c r="EX6" s="1079"/>
      <c r="EY6" s="1079"/>
      <c r="EZ6" s="1079"/>
      <c r="FA6" s="1079"/>
      <c r="FB6" s="1079"/>
      <c r="FC6" s="1079"/>
      <c r="FD6" s="1079"/>
      <c r="FE6" s="1079"/>
      <c r="FF6" s="1079"/>
      <c r="FG6" s="1079"/>
      <c r="FH6" s="1079"/>
      <c r="FI6" s="1079"/>
      <c r="FJ6" s="1079"/>
      <c r="FK6" s="1079"/>
      <c r="FL6" s="1079"/>
      <c r="FM6" s="1079"/>
      <c r="FN6" s="1079"/>
      <c r="FO6" s="1079"/>
      <c r="FP6" s="1079"/>
      <c r="FQ6" s="1079"/>
      <c r="FR6" s="1079"/>
      <c r="FS6" s="1079"/>
      <c r="FT6" s="1079"/>
      <c r="FU6" s="1079"/>
      <c r="FV6" s="1079"/>
    </row>
    <row r="7" spans="2:178" s="33" customFormat="1" ht="14.25" customHeight="1">
      <c r="B7" s="886"/>
      <c r="C7" s="886"/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6"/>
      <c r="U7" s="1082"/>
      <c r="V7" s="1082"/>
      <c r="W7" s="886"/>
      <c r="X7" s="886"/>
      <c r="Y7" s="886"/>
      <c r="Z7" s="886"/>
      <c r="AA7" s="886"/>
      <c r="AB7" s="886"/>
      <c r="AC7" s="886"/>
      <c r="AD7" s="886"/>
      <c r="AE7" s="886"/>
      <c r="AF7" s="886"/>
      <c r="AG7" s="886"/>
      <c r="AH7" s="886"/>
      <c r="AI7" s="886"/>
      <c r="AJ7" s="886"/>
      <c r="AK7" s="886"/>
      <c r="AL7" s="886"/>
      <c r="AM7" s="886"/>
      <c r="AN7" s="886"/>
      <c r="AO7" s="886"/>
      <c r="AP7" s="886"/>
      <c r="AQ7" s="886"/>
      <c r="AR7" s="886"/>
      <c r="AS7" s="886"/>
      <c r="AT7" s="886"/>
      <c r="AU7" s="886"/>
      <c r="AV7" s="886"/>
      <c r="AW7" s="886"/>
      <c r="AX7" s="886"/>
      <c r="AY7" s="886"/>
      <c r="AZ7" s="886"/>
      <c r="BA7" s="886"/>
      <c r="BB7" s="886"/>
      <c r="BC7" s="886"/>
      <c r="BD7" s="886"/>
      <c r="BE7" s="886"/>
      <c r="BF7" s="886"/>
      <c r="BG7" s="886"/>
      <c r="BH7" s="886"/>
      <c r="BI7" s="886"/>
      <c r="BJ7" s="886"/>
      <c r="BK7" s="886"/>
      <c r="BL7" s="886"/>
      <c r="BM7" s="886"/>
      <c r="BN7" s="886"/>
      <c r="BO7" s="886"/>
      <c r="BP7" s="886"/>
      <c r="BQ7" s="886"/>
      <c r="BR7" s="886"/>
      <c r="BS7" s="886"/>
      <c r="BT7" s="886"/>
      <c r="BU7" s="886"/>
      <c r="BV7" s="886"/>
      <c r="BW7" s="886"/>
      <c r="BX7" s="886"/>
      <c r="BY7" s="886"/>
      <c r="BZ7" s="886"/>
      <c r="CA7" s="886"/>
      <c r="CB7" s="886"/>
      <c r="CC7" s="886"/>
      <c r="CD7" s="886"/>
      <c r="CE7" s="886"/>
      <c r="CF7" s="886"/>
      <c r="CG7" s="886"/>
      <c r="CH7" s="886"/>
      <c r="CI7" s="886"/>
      <c r="CJ7" s="886"/>
      <c r="CK7" s="886"/>
      <c r="CL7" s="886"/>
      <c r="CM7" s="886"/>
      <c r="CN7" s="886"/>
      <c r="CO7" s="886"/>
      <c r="CP7" s="886"/>
      <c r="CQ7" s="886"/>
      <c r="CR7" s="886"/>
      <c r="CS7" s="886"/>
      <c r="CT7" s="886"/>
      <c r="CU7" s="886"/>
      <c r="CV7" s="886"/>
      <c r="CW7" s="886"/>
      <c r="CX7" s="886"/>
      <c r="CY7" s="886"/>
      <c r="CZ7" s="886"/>
      <c r="DA7" s="886"/>
      <c r="DB7" s="886"/>
      <c r="DC7" s="886"/>
      <c r="DD7" s="886"/>
      <c r="DE7" s="886"/>
      <c r="DF7" s="886"/>
      <c r="DG7" s="886"/>
      <c r="DH7" s="886"/>
      <c r="DI7" s="886"/>
      <c r="DJ7" s="886"/>
      <c r="DK7" s="886"/>
      <c r="DL7" s="886"/>
      <c r="DM7" s="886"/>
      <c r="DN7" s="886"/>
      <c r="DO7" s="886"/>
      <c r="DP7" s="886"/>
      <c r="DQ7" s="886"/>
      <c r="DR7" s="886"/>
      <c r="DS7" s="886"/>
      <c r="DT7" s="886"/>
      <c r="DU7" s="886"/>
      <c r="DV7" s="886"/>
      <c r="DW7" s="886"/>
      <c r="DX7" s="886"/>
      <c r="DY7" s="886"/>
      <c r="DZ7" s="886"/>
      <c r="EA7" s="886"/>
      <c r="EB7" s="886"/>
      <c r="EC7" s="886"/>
      <c r="ED7" s="886"/>
      <c r="EE7" s="886"/>
      <c r="EF7" s="886"/>
      <c r="EG7" s="886"/>
      <c r="EH7" s="886"/>
      <c r="EI7" s="886"/>
      <c r="EJ7" s="886"/>
      <c r="EK7" s="886"/>
      <c r="EL7" s="886"/>
      <c r="EM7" s="886"/>
      <c r="EN7" s="886"/>
      <c r="EO7" s="886"/>
      <c r="EP7" s="886"/>
      <c r="EQ7" s="886"/>
      <c r="ER7" s="886"/>
      <c r="ES7" s="886"/>
      <c r="ET7" s="886"/>
      <c r="EU7" s="886"/>
      <c r="EV7" s="886"/>
      <c r="EW7" s="886"/>
      <c r="EX7" s="886"/>
      <c r="EY7" s="886"/>
      <c r="EZ7" s="886"/>
      <c r="FA7" s="886"/>
      <c r="FB7" s="886"/>
      <c r="FC7" s="886"/>
      <c r="FD7" s="886"/>
      <c r="FE7" s="886"/>
      <c r="FF7" s="886"/>
      <c r="FG7" s="886"/>
      <c r="FH7" s="886"/>
      <c r="FI7" s="886"/>
      <c r="FJ7" s="886"/>
      <c r="FK7" s="886"/>
      <c r="FL7" s="886"/>
      <c r="FM7" s="886"/>
      <c r="FN7" s="886"/>
      <c r="FO7" s="886"/>
      <c r="FP7" s="886"/>
      <c r="FQ7" s="886"/>
      <c r="FR7" s="886"/>
      <c r="FS7" s="886"/>
      <c r="FT7" s="886"/>
      <c r="FU7" s="886"/>
      <c r="FV7" s="886"/>
    </row>
    <row r="8" spans="2:178" s="1067" customFormat="1" ht="23.25">
      <c r="B8" s="1079" t="s">
        <v>51</v>
      </c>
      <c r="C8" s="1080"/>
      <c r="D8" s="1080"/>
      <c r="E8" s="1080"/>
      <c r="F8" s="1080"/>
      <c r="G8" s="1080"/>
      <c r="H8" s="1080"/>
      <c r="I8" s="1080"/>
      <c r="J8" s="1080"/>
      <c r="K8" s="1080"/>
      <c r="L8" s="1080"/>
      <c r="M8" s="1080"/>
      <c r="N8" s="1080"/>
      <c r="O8" s="1080"/>
      <c r="P8" s="1080"/>
      <c r="Q8" s="1080"/>
      <c r="R8" s="1080"/>
      <c r="S8" s="1080"/>
      <c r="T8" s="1080"/>
      <c r="U8" s="1080"/>
      <c r="V8" s="1068"/>
      <c r="W8" s="1080"/>
      <c r="X8" s="1080"/>
      <c r="Y8" s="1080"/>
      <c r="Z8" s="1080"/>
      <c r="AA8" s="1080"/>
      <c r="AB8" s="1080"/>
      <c r="AC8" s="1080"/>
      <c r="AD8" s="1080"/>
      <c r="AE8" s="1080"/>
      <c r="AF8" s="1080"/>
      <c r="AG8" s="1080"/>
      <c r="AH8" s="1080"/>
      <c r="AI8" s="1080"/>
      <c r="AJ8" s="1080"/>
      <c r="AK8" s="1080"/>
      <c r="AL8" s="1080"/>
      <c r="AM8" s="1080"/>
      <c r="AN8" s="1080"/>
      <c r="AO8" s="1080"/>
      <c r="AP8" s="1080"/>
      <c r="AQ8" s="1080"/>
      <c r="AR8" s="1080"/>
      <c r="AS8" s="1080"/>
      <c r="AT8" s="1080"/>
      <c r="AU8" s="1080"/>
      <c r="AV8" s="1080"/>
      <c r="AW8" s="1080"/>
      <c r="AX8" s="1080"/>
      <c r="AY8" s="1080"/>
      <c r="AZ8" s="1080"/>
      <c r="BA8" s="1080"/>
      <c r="BB8" s="1080"/>
      <c r="BC8" s="1080"/>
      <c r="BD8" s="1080"/>
      <c r="BE8" s="1080"/>
      <c r="BF8" s="1080"/>
      <c r="BG8" s="1080"/>
      <c r="BH8" s="1080"/>
      <c r="BI8" s="1080"/>
      <c r="BJ8" s="1080"/>
      <c r="BK8" s="1080"/>
      <c r="BL8" s="1080"/>
      <c r="BM8" s="1080"/>
      <c r="BN8" s="1080"/>
      <c r="BO8" s="1080"/>
      <c r="BP8" s="1080"/>
      <c r="BQ8" s="1080"/>
      <c r="BR8" s="1080"/>
      <c r="BS8" s="1080"/>
      <c r="BT8" s="1080"/>
      <c r="BU8" s="1080"/>
      <c r="BV8" s="1080"/>
      <c r="BW8" s="1080"/>
      <c r="BX8" s="1080"/>
      <c r="BY8" s="1080"/>
      <c r="BZ8" s="1080"/>
      <c r="CA8" s="1080"/>
      <c r="CB8" s="1080"/>
      <c r="CC8" s="1080"/>
      <c r="CD8" s="1080"/>
      <c r="CE8" s="1080"/>
      <c r="CF8" s="1080"/>
      <c r="CG8" s="1080"/>
      <c r="CH8" s="1080"/>
      <c r="CI8" s="1080"/>
      <c r="CJ8" s="1080"/>
      <c r="CK8" s="1080"/>
      <c r="CL8" s="1080"/>
      <c r="CM8" s="1080"/>
      <c r="CN8" s="1080"/>
      <c r="CO8" s="1080"/>
      <c r="CP8" s="1080"/>
      <c r="CQ8" s="1080"/>
      <c r="CR8" s="1080"/>
      <c r="CS8" s="1080"/>
      <c r="CT8" s="1080"/>
      <c r="CU8" s="1080"/>
      <c r="CV8" s="1080"/>
      <c r="CW8" s="1080"/>
      <c r="CX8" s="1080"/>
      <c r="CY8" s="1080"/>
      <c r="CZ8" s="1080"/>
      <c r="DA8" s="1080"/>
      <c r="DB8" s="1080"/>
      <c r="DC8" s="1080"/>
      <c r="DD8" s="1080"/>
      <c r="DE8" s="1080"/>
      <c r="DF8" s="1080"/>
      <c r="DG8" s="1080"/>
      <c r="DH8" s="1080"/>
      <c r="DI8" s="1080"/>
      <c r="DJ8" s="1080"/>
      <c r="DK8" s="1080"/>
      <c r="DL8" s="1080"/>
      <c r="DM8" s="1080"/>
      <c r="DN8" s="1080"/>
      <c r="DO8" s="1080"/>
      <c r="DP8" s="1080"/>
      <c r="DQ8" s="1080"/>
      <c r="DR8" s="1080"/>
      <c r="DS8" s="1080"/>
      <c r="DT8" s="1080"/>
      <c r="DU8" s="1080"/>
      <c r="DV8" s="1080"/>
      <c r="DW8" s="1080"/>
      <c r="DX8" s="1080"/>
      <c r="DY8" s="1080"/>
      <c r="DZ8" s="1080"/>
      <c r="EA8" s="1080"/>
      <c r="EB8" s="1080"/>
      <c r="EC8" s="1080"/>
      <c r="ED8" s="1080"/>
      <c r="EE8" s="1080"/>
      <c r="EF8" s="1080"/>
      <c r="EG8" s="1080"/>
      <c r="EH8" s="1080"/>
      <c r="EI8" s="1080"/>
      <c r="EJ8" s="1080"/>
      <c r="EK8" s="1080"/>
      <c r="EL8" s="1080"/>
      <c r="EM8" s="1080"/>
      <c r="EN8" s="1080"/>
      <c r="EO8" s="1080"/>
      <c r="EP8" s="1080"/>
      <c r="EQ8" s="1080"/>
      <c r="ER8" s="1080"/>
      <c r="ES8" s="1080"/>
      <c r="ET8" s="1080"/>
      <c r="EU8" s="1080"/>
      <c r="EV8" s="1080"/>
      <c r="EW8" s="1080"/>
      <c r="EX8" s="1080"/>
      <c r="EY8" s="1080"/>
      <c r="EZ8" s="1080"/>
      <c r="FA8" s="1080"/>
      <c r="FB8" s="1080"/>
      <c r="FC8" s="1080"/>
      <c r="FD8" s="1080"/>
      <c r="FE8" s="1080"/>
      <c r="FF8" s="1080"/>
      <c r="FG8" s="1080"/>
      <c r="FH8" s="1080"/>
      <c r="FI8" s="1080"/>
      <c r="FJ8" s="1080"/>
      <c r="FK8" s="1080"/>
      <c r="FL8" s="1080"/>
      <c r="FM8" s="1080"/>
      <c r="FN8" s="1080"/>
      <c r="FO8" s="1080"/>
      <c r="FP8" s="1080"/>
      <c r="FQ8" s="1080"/>
      <c r="FR8" s="1080"/>
      <c r="FS8" s="1080"/>
      <c r="FT8" s="1080"/>
      <c r="FU8" s="1080"/>
      <c r="FV8" s="1080"/>
    </row>
    <row r="9" spans="2:178" s="33" customFormat="1" ht="15.75">
      <c r="B9" s="886"/>
      <c r="C9" s="886"/>
      <c r="D9" s="886"/>
      <c r="E9" s="886"/>
      <c r="F9" s="886"/>
      <c r="G9" s="886"/>
      <c r="H9" s="886"/>
      <c r="I9" s="886"/>
      <c r="J9" s="886"/>
      <c r="K9" s="886"/>
      <c r="L9" s="886"/>
      <c r="M9" s="886"/>
      <c r="N9" s="886"/>
      <c r="O9" s="886"/>
      <c r="P9" s="886"/>
      <c r="Q9" s="886"/>
      <c r="R9" s="886"/>
      <c r="S9" s="886"/>
      <c r="T9" s="886"/>
      <c r="U9" s="1082"/>
      <c r="V9" s="1082"/>
      <c r="W9" s="886"/>
      <c r="X9" s="886"/>
      <c r="Y9" s="886"/>
      <c r="Z9" s="886"/>
      <c r="AA9" s="886"/>
      <c r="AB9" s="886"/>
      <c r="AC9" s="886"/>
      <c r="AD9" s="886"/>
      <c r="AE9" s="886"/>
      <c r="AF9" s="886"/>
      <c r="AG9" s="886"/>
      <c r="AH9" s="886"/>
      <c r="AI9" s="886"/>
      <c r="AJ9" s="886"/>
      <c r="AK9" s="886"/>
      <c r="AL9" s="886"/>
      <c r="AM9" s="886"/>
      <c r="AN9" s="886"/>
      <c r="AO9" s="886"/>
      <c r="AP9" s="886"/>
      <c r="AQ9" s="886"/>
      <c r="AR9" s="886"/>
      <c r="AS9" s="886"/>
      <c r="AT9" s="886"/>
      <c r="AU9" s="886"/>
      <c r="AV9" s="886"/>
      <c r="AW9" s="886"/>
      <c r="AX9" s="886"/>
      <c r="AY9" s="886"/>
      <c r="AZ9" s="886"/>
      <c r="BA9" s="886"/>
      <c r="BB9" s="886"/>
      <c r="BC9" s="886"/>
      <c r="BD9" s="886"/>
      <c r="BE9" s="886"/>
      <c r="BF9" s="886"/>
      <c r="BG9" s="886"/>
      <c r="BH9" s="886"/>
      <c r="BI9" s="886"/>
      <c r="BJ9" s="886"/>
      <c r="BK9" s="886"/>
      <c r="BL9" s="886"/>
      <c r="BM9" s="886"/>
      <c r="BN9" s="886"/>
      <c r="BO9" s="886"/>
      <c r="BP9" s="886"/>
      <c r="BQ9" s="886"/>
      <c r="BR9" s="886"/>
      <c r="BS9" s="886"/>
      <c r="BT9" s="886"/>
      <c r="BU9" s="886"/>
      <c r="BV9" s="886"/>
      <c r="BW9" s="886"/>
      <c r="BX9" s="886"/>
      <c r="BY9" s="886"/>
      <c r="BZ9" s="886"/>
      <c r="CA9" s="886"/>
      <c r="CB9" s="886"/>
      <c r="CC9" s="886"/>
      <c r="CD9" s="886"/>
      <c r="CE9" s="886"/>
      <c r="CF9" s="886"/>
      <c r="CG9" s="886"/>
      <c r="CH9" s="886"/>
      <c r="CI9" s="886"/>
      <c r="CJ9" s="886"/>
      <c r="CK9" s="886"/>
      <c r="CL9" s="886"/>
      <c r="CM9" s="886"/>
      <c r="CN9" s="886"/>
      <c r="CO9" s="886"/>
      <c r="CP9" s="886"/>
      <c r="CQ9" s="886"/>
      <c r="CR9" s="886"/>
      <c r="CS9" s="886"/>
      <c r="CT9" s="886"/>
      <c r="CU9" s="886"/>
      <c r="CV9" s="886"/>
      <c r="CW9" s="886"/>
      <c r="CX9" s="886"/>
      <c r="CY9" s="886"/>
      <c r="CZ9" s="886"/>
      <c r="DA9" s="886"/>
      <c r="DB9" s="886"/>
      <c r="DC9" s="886"/>
      <c r="DD9" s="886"/>
      <c r="DE9" s="886"/>
      <c r="DF9" s="886"/>
      <c r="DG9" s="886"/>
      <c r="DH9" s="886"/>
      <c r="DI9" s="886"/>
      <c r="DJ9" s="886"/>
      <c r="DK9" s="886"/>
      <c r="DL9" s="886"/>
      <c r="DM9" s="886"/>
      <c r="DN9" s="886"/>
      <c r="DO9" s="886"/>
      <c r="DP9" s="886"/>
      <c r="DQ9" s="886"/>
      <c r="DR9" s="886"/>
      <c r="DS9" s="886"/>
      <c r="DT9" s="886"/>
      <c r="DU9" s="886"/>
      <c r="DV9" s="886"/>
      <c r="DW9" s="886"/>
      <c r="DX9" s="886"/>
      <c r="DY9" s="886"/>
      <c r="DZ9" s="886"/>
      <c r="EA9" s="886"/>
      <c r="EB9" s="886"/>
      <c r="EC9" s="886"/>
      <c r="ED9" s="886"/>
      <c r="EE9" s="886"/>
      <c r="EF9" s="886"/>
      <c r="EG9" s="886"/>
      <c r="EH9" s="886"/>
      <c r="EI9" s="886"/>
      <c r="EJ9" s="886"/>
      <c r="EK9" s="886"/>
      <c r="EL9" s="886"/>
      <c r="EM9" s="886"/>
      <c r="EN9" s="886"/>
      <c r="EO9" s="886"/>
      <c r="EP9" s="886"/>
      <c r="EQ9" s="886"/>
      <c r="ER9" s="886"/>
      <c r="ES9" s="886"/>
      <c r="ET9" s="886"/>
      <c r="EU9" s="886"/>
      <c r="EV9" s="886"/>
      <c r="EW9" s="886"/>
      <c r="EX9" s="886"/>
      <c r="EY9" s="886"/>
      <c r="EZ9" s="886"/>
      <c r="FA9" s="886"/>
      <c r="FB9" s="886"/>
      <c r="FC9" s="886"/>
      <c r="FD9" s="886"/>
      <c r="FE9" s="886"/>
      <c r="FF9" s="886"/>
      <c r="FG9" s="886"/>
      <c r="FH9" s="886"/>
      <c r="FI9" s="886"/>
      <c r="FJ9" s="886"/>
      <c r="FK9" s="886"/>
      <c r="FL9" s="886"/>
      <c r="FM9" s="886"/>
      <c r="FN9" s="886"/>
      <c r="FO9" s="886"/>
      <c r="FP9" s="886"/>
      <c r="FQ9" s="886"/>
      <c r="FR9" s="886"/>
      <c r="FS9" s="886"/>
      <c r="FT9" s="886"/>
      <c r="FU9" s="886"/>
      <c r="FV9" s="886"/>
    </row>
    <row r="10" spans="2:178" s="1067" customFormat="1" ht="23.25">
      <c r="B10" s="1079" t="s">
        <v>280</v>
      </c>
      <c r="C10" s="1080"/>
      <c r="D10" s="1080"/>
      <c r="E10" s="1080"/>
      <c r="F10" s="1080"/>
      <c r="G10" s="1080"/>
      <c r="H10" s="1080"/>
      <c r="I10" s="1080"/>
      <c r="J10" s="1080"/>
      <c r="K10" s="1080"/>
      <c r="L10" s="1080"/>
      <c r="M10" s="1080"/>
      <c r="N10" s="1080"/>
      <c r="O10" s="1080"/>
      <c r="P10" s="1080"/>
      <c r="Q10" s="1080"/>
      <c r="R10" s="1080"/>
      <c r="S10" s="1080"/>
      <c r="T10" s="1080"/>
      <c r="U10" s="1080"/>
      <c r="V10" s="1068"/>
      <c r="W10" s="1080"/>
      <c r="X10" s="1080"/>
      <c r="Y10" s="1080"/>
      <c r="Z10" s="1080"/>
      <c r="AA10" s="1080"/>
      <c r="AB10" s="1080"/>
      <c r="AC10" s="1080"/>
      <c r="AD10" s="1080"/>
      <c r="AE10" s="1080"/>
      <c r="AF10" s="1080"/>
      <c r="AG10" s="1080"/>
      <c r="AH10" s="1080"/>
      <c r="AI10" s="1080"/>
      <c r="AJ10" s="1080"/>
      <c r="AK10" s="1080"/>
      <c r="AL10" s="1080"/>
      <c r="AM10" s="1080"/>
      <c r="AN10" s="1080"/>
      <c r="AO10" s="1080"/>
      <c r="AP10" s="1080"/>
      <c r="AQ10" s="1080"/>
      <c r="AR10" s="1080"/>
      <c r="AS10" s="1080"/>
      <c r="AT10" s="1080"/>
      <c r="AU10" s="1080"/>
      <c r="AV10" s="1080"/>
      <c r="AW10" s="1080"/>
      <c r="AX10" s="1080"/>
      <c r="AY10" s="1080"/>
      <c r="AZ10" s="1080"/>
      <c r="BA10" s="1080"/>
      <c r="BB10" s="1080"/>
      <c r="BC10" s="1080"/>
      <c r="BD10" s="1080"/>
      <c r="BE10" s="1080"/>
      <c r="BF10" s="1080"/>
      <c r="BG10" s="1080"/>
      <c r="BH10" s="1080"/>
      <c r="BI10" s="1080"/>
      <c r="BJ10" s="1080"/>
      <c r="BK10" s="1080"/>
      <c r="BL10" s="1080"/>
      <c r="BM10" s="1080"/>
      <c r="BN10" s="1080"/>
      <c r="BO10" s="1080"/>
      <c r="BP10" s="1080"/>
      <c r="BQ10" s="1080"/>
      <c r="BR10" s="1080"/>
      <c r="BS10" s="1080"/>
      <c r="BT10" s="1080"/>
      <c r="BU10" s="1080"/>
      <c r="BV10" s="1080"/>
      <c r="BW10" s="1080"/>
      <c r="BX10" s="1080"/>
      <c r="BY10" s="1080"/>
      <c r="BZ10" s="1080"/>
      <c r="CA10" s="1080"/>
      <c r="CB10" s="1080"/>
      <c r="CC10" s="1080"/>
      <c r="CD10" s="1080"/>
      <c r="CE10" s="1080"/>
      <c r="CF10" s="1080"/>
      <c r="CG10" s="1080"/>
      <c r="CH10" s="1080"/>
      <c r="CI10" s="1080"/>
      <c r="CJ10" s="1080"/>
      <c r="CK10" s="1080"/>
      <c r="CL10" s="1080"/>
      <c r="CM10" s="1080"/>
      <c r="CN10" s="1080"/>
      <c r="CO10" s="1080"/>
      <c r="CP10" s="1080"/>
      <c r="CQ10" s="1080"/>
      <c r="CR10" s="1080"/>
      <c r="CS10" s="1080"/>
      <c r="CT10" s="1080"/>
      <c r="CU10" s="1080"/>
      <c r="CV10" s="1080"/>
      <c r="CW10" s="1080"/>
      <c r="CX10" s="1080"/>
      <c r="CY10" s="1080"/>
      <c r="CZ10" s="1080"/>
      <c r="DA10" s="1080"/>
      <c r="DB10" s="1080"/>
      <c r="DC10" s="1080"/>
      <c r="DD10" s="1080"/>
      <c r="DE10" s="1080"/>
      <c r="DF10" s="1080"/>
      <c r="DG10" s="1080"/>
      <c r="DH10" s="1080"/>
      <c r="DI10" s="1080"/>
      <c r="DJ10" s="1080"/>
      <c r="DK10" s="1080"/>
      <c r="DL10" s="1080"/>
      <c r="DM10" s="1080"/>
      <c r="DN10" s="1080"/>
      <c r="DO10" s="1080"/>
      <c r="DP10" s="1080"/>
      <c r="DQ10" s="1080"/>
      <c r="DR10" s="1080"/>
      <c r="DS10" s="1080"/>
      <c r="DT10" s="1080"/>
      <c r="DU10" s="1080"/>
      <c r="DV10" s="1080"/>
      <c r="DW10" s="1080"/>
      <c r="DX10" s="1080"/>
      <c r="DY10" s="1080"/>
      <c r="DZ10" s="1080"/>
      <c r="EA10" s="1080"/>
      <c r="EB10" s="1080"/>
      <c r="EC10" s="1080"/>
      <c r="ED10" s="1080"/>
      <c r="EE10" s="1080"/>
      <c r="EF10" s="1080"/>
      <c r="EG10" s="1080"/>
      <c r="EH10" s="1080"/>
      <c r="EI10" s="1080"/>
      <c r="EJ10" s="1080"/>
      <c r="EK10" s="1080"/>
      <c r="EL10" s="1080"/>
      <c r="EM10" s="1080"/>
      <c r="EN10" s="1080"/>
      <c r="EO10" s="1080"/>
      <c r="EP10" s="1080"/>
      <c r="EQ10" s="1080"/>
      <c r="ER10" s="1080"/>
      <c r="ES10" s="1080"/>
      <c r="ET10" s="1080"/>
      <c r="EU10" s="1080"/>
      <c r="EV10" s="1080"/>
      <c r="EW10" s="1080"/>
      <c r="EX10" s="1080"/>
      <c r="EY10" s="1080"/>
      <c r="EZ10" s="1080"/>
      <c r="FA10" s="1080"/>
      <c r="FB10" s="1080"/>
      <c r="FC10" s="1080"/>
      <c r="FD10" s="1080"/>
      <c r="FE10" s="1080"/>
      <c r="FF10" s="1080"/>
      <c r="FG10" s="1080"/>
      <c r="FH10" s="1080"/>
      <c r="FI10" s="1080"/>
      <c r="FJ10" s="1080"/>
      <c r="FK10" s="1080"/>
      <c r="FL10" s="1080"/>
      <c r="FM10" s="1080"/>
      <c r="FN10" s="1080"/>
      <c r="FO10" s="1080"/>
      <c r="FP10" s="1080"/>
      <c r="FQ10" s="1080"/>
      <c r="FR10" s="1080"/>
      <c r="FS10" s="1080"/>
      <c r="FT10" s="1080"/>
      <c r="FU10" s="1080"/>
      <c r="FV10" s="1080"/>
    </row>
    <row r="11" spans="2:178" s="33" customFormat="1" ht="16.5" thickBot="1">
      <c r="B11" s="886"/>
      <c r="C11" s="886"/>
      <c r="D11" s="886"/>
      <c r="E11" s="886"/>
      <c r="F11" s="886"/>
      <c r="G11" s="886"/>
      <c r="H11" s="886"/>
      <c r="I11" s="886"/>
      <c r="J11" s="886"/>
      <c r="K11" s="886"/>
      <c r="L11" s="886"/>
      <c r="M11" s="886"/>
      <c r="N11" s="886"/>
      <c r="O11" s="886"/>
      <c r="P11" s="886"/>
      <c r="Q11" s="886"/>
      <c r="R11" s="886"/>
      <c r="S11" s="886"/>
      <c r="T11" s="886"/>
      <c r="U11" s="1082"/>
      <c r="V11" s="1082"/>
      <c r="W11" s="886"/>
      <c r="X11" s="886"/>
      <c r="Y11" s="886"/>
      <c r="Z11" s="886"/>
      <c r="AA11" s="886"/>
      <c r="AB11" s="886"/>
      <c r="AC11" s="886"/>
      <c r="AD11" s="886"/>
      <c r="AE11" s="886"/>
      <c r="AF11" s="886"/>
      <c r="AG11" s="886"/>
      <c r="AH11" s="886"/>
      <c r="AI11" s="886"/>
      <c r="AJ11" s="886"/>
      <c r="AK11" s="886"/>
      <c r="AL11" s="886"/>
      <c r="AM11" s="886"/>
      <c r="AN11" s="886"/>
      <c r="AO11" s="886"/>
      <c r="AP11" s="886"/>
      <c r="AQ11" s="886"/>
      <c r="AR11" s="886"/>
      <c r="AS11" s="886"/>
      <c r="AT11" s="886"/>
      <c r="AU11" s="886"/>
      <c r="AV11" s="886"/>
      <c r="AW11" s="886"/>
      <c r="AX11" s="886"/>
      <c r="AY11" s="886"/>
      <c r="AZ11" s="886"/>
      <c r="BA11" s="886"/>
      <c r="BB11" s="886"/>
      <c r="BC11" s="886"/>
      <c r="BD11" s="886"/>
      <c r="BE11" s="886"/>
      <c r="BF11" s="886"/>
      <c r="BG11" s="886"/>
      <c r="BH11" s="886"/>
      <c r="BI11" s="886"/>
      <c r="BJ11" s="886"/>
      <c r="BK11" s="886"/>
      <c r="BL11" s="886"/>
      <c r="BM11" s="886"/>
      <c r="BN11" s="886"/>
      <c r="BO11" s="886"/>
      <c r="BP11" s="886"/>
      <c r="BQ11" s="886"/>
      <c r="BR11" s="886"/>
      <c r="BS11" s="886"/>
      <c r="BT11" s="886"/>
      <c r="BU11" s="886"/>
      <c r="BV11" s="886"/>
      <c r="BW11" s="886"/>
      <c r="BX11" s="886"/>
      <c r="BY11" s="886"/>
      <c r="BZ11" s="886"/>
      <c r="CA11" s="886"/>
      <c r="CB11" s="886"/>
      <c r="CC11" s="886"/>
      <c r="CD11" s="886"/>
      <c r="CE11" s="886"/>
      <c r="CF11" s="886"/>
      <c r="CG11" s="886"/>
      <c r="CH11" s="886"/>
      <c r="CI11" s="886"/>
      <c r="CJ11" s="886"/>
      <c r="CK11" s="886"/>
      <c r="CL11" s="886"/>
      <c r="CM11" s="886"/>
      <c r="CN11" s="886"/>
      <c r="CO11" s="886"/>
      <c r="CP11" s="886"/>
      <c r="CQ11" s="886"/>
      <c r="CR11" s="886"/>
      <c r="CS11" s="886"/>
      <c r="CT11" s="886"/>
      <c r="CU11" s="886"/>
      <c r="CV11" s="886"/>
      <c r="CW11" s="886"/>
      <c r="CX11" s="886"/>
      <c r="CY11" s="886"/>
      <c r="CZ11" s="886"/>
      <c r="DA11" s="886"/>
      <c r="DB11" s="886"/>
      <c r="DC11" s="886"/>
      <c r="DD11" s="886"/>
      <c r="DE11" s="886"/>
      <c r="DF11" s="886"/>
      <c r="DG11" s="886"/>
      <c r="DH11" s="886"/>
      <c r="DI11" s="886"/>
      <c r="DJ11" s="886"/>
      <c r="DK11" s="886"/>
      <c r="DL11" s="886"/>
      <c r="DM11" s="886"/>
      <c r="DN11" s="886"/>
      <c r="DO11" s="886"/>
      <c r="DP11" s="886"/>
      <c r="DQ11" s="886"/>
      <c r="DR11" s="886"/>
      <c r="DS11" s="886"/>
      <c r="DT11" s="886"/>
      <c r="DU11" s="886"/>
      <c r="DV11" s="886"/>
      <c r="DW11" s="886"/>
      <c r="DX11" s="886"/>
      <c r="DY11" s="886"/>
      <c r="DZ11" s="886"/>
      <c r="EA11" s="886"/>
      <c r="EB11" s="886"/>
      <c r="EC11" s="886"/>
      <c r="ED11" s="886"/>
      <c r="EE11" s="886"/>
      <c r="EF11" s="886"/>
      <c r="EG11" s="886"/>
      <c r="EH11" s="886"/>
      <c r="EI11" s="886"/>
      <c r="EJ11" s="886"/>
      <c r="EK11" s="886"/>
      <c r="EL11" s="886"/>
      <c r="EM11" s="886"/>
      <c r="EN11" s="886"/>
      <c r="EO11" s="886"/>
      <c r="EP11" s="886"/>
      <c r="EQ11" s="886"/>
      <c r="ER11" s="886"/>
      <c r="ES11" s="886"/>
      <c r="ET11" s="886"/>
      <c r="EU11" s="886"/>
      <c r="EV11" s="886"/>
      <c r="EW11" s="886"/>
      <c r="EX11" s="886"/>
      <c r="EY11" s="886"/>
      <c r="EZ11" s="886"/>
      <c r="FA11" s="886"/>
      <c r="FB11" s="886"/>
      <c r="FC11" s="886"/>
      <c r="FD11" s="886"/>
      <c r="FE11" s="886"/>
      <c r="FF11" s="886"/>
      <c r="FG11" s="886"/>
      <c r="FH11" s="886"/>
      <c r="FI11" s="886"/>
      <c r="FJ11" s="886"/>
      <c r="FK11" s="886"/>
      <c r="FL11" s="886"/>
      <c r="FM11" s="886"/>
      <c r="FN11" s="886"/>
      <c r="FO11" s="886"/>
      <c r="FP11" s="886"/>
      <c r="FQ11" s="886"/>
      <c r="FR11" s="886"/>
      <c r="FS11" s="886"/>
      <c r="FT11" s="886"/>
      <c r="FU11" s="886"/>
      <c r="FV11" s="886"/>
    </row>
    <row r="12" spans="2:178" s="33" customFormat="1" ht="16.5" thickTop="1">
      <c r="B12" s="1069"/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0"/>
      <c r="T12" s="1070"/>
      <c r="U12" s="1083"/>
      <c r="V12" s="886"/>
      <c r="W12" s="886"/>
      <c r="X12" s="886"/>
      <c r="Y12" s="886"/>
      <c r="Z12" s="886"/>
      <c r="AA12" s="886"/>
      <c r="AB12" s="886"/>
      <c r="AC12" s="886"/>
      <c r="AD12" s="886"/>
      <c r="AE12" s="886"/>
      <c r="AF12" s="886"/>
      <c r="AG12" s="886"/>
      <c r="AH12" s="886"/>
      <c r="AI12" s="886"/>
      <c r="AJ12" s="886"/>
      <c r="AK12" s="886"/>
      <c r="AL12" s="886"/>
      <c r="AM12" s="886"/>
      <c r="AN12" s="886"/>
      <c r="AO12" s="886"/>
      <c r="AP12" s="886"/>
      <c r="AQ12" s="886"/>
      <c r="AR12" s="886"/>
      <c r="AS12" s="886"/>
      <c r="AT12" s="886"/>
      <c r="AU12" s="886"/>
      <c r="AV12" s="886"/>
      <c r="AW12" s="886"/>
      <c r="AX12" s="886"/>
      <c r="AY12" s="886"/>
      <c r="AZ12" s="886"/>
      <c r="BA12" s="886"/>
      <c r="BB12" s="886"/>
      <c r="BC12" s="886"/>
      <c r="BD12" s="886"/>
      <c r="BE12" s="886"/>
      <c r="BF12" s="886"/>
      <c r="BG12" s="886"/>
      <c r="BH12" s="886"/>
      <c r="BI12" s="886"/>
      <c r="BJ12" s="886"/>
      <c r="BK12" s="886"/>
      <c r="BL12" s="886"/>
      <c r="BM12" s="886"/>
      <c r="BN12" s="886"/>
      <c r="BO12" s="886"/>
      <c r="BP12" s="886"/>
      <c r="BQ12" s="886"/>
      <c r="BR12" s="886"/>
      <c r="BS12" s="886"/>
      <c r="BT12" s="886"/>
      <c r="BU12" s="886"/>
      <c r="BV12" s="886"/>
      <c r="BW12" s="886"/>
      <c r="BX12" s="886"/>
      <c r="BY12" s="886"/>
      <c r="BZ12" s="886"/>
      <c r="CA12" s="886"/>
      <c r="CB12" s="886"/>
      <c r="CC12" s="886"/>
      <c r="CD12" s="886"/>
      <c r="CE12" s="886"/>
      <c r="CF12" s="886"/>
      <c r="CG12" s="886"/>
      <c r="CH12" s="886"/>
      <c r="CI12" s="886"/>
      <c r="CJ12" s="886"/>
      <c r="CK12" s="886"/>
      <c r="CL12" s="886"/>
      <c r="CM12" s="886"/>
      <c r="CN12" s="886"/>
      <c r="CO12" s="886"/>
      <c r="CP12" s="886"/>
      <c r="CQ12" s="886"/>
      <c r="CR12" s="886"/>
      <c r="CS12" s="886"/>
      <c r="CT12" s="886"/>
      <c r="CU12" s="886"/>
      <c r="CV12" s="886"/>
      <c r="CW12" s="886"/>
      <c r="CX12" s="886"/>
      <c r="CY12" s="886"/>
      <c r="CZ12" s="886"/>
      <c r="DA12" s="886"/>
      <c r="DB12" s="886"/>
      <c r="DC12" s="886"/>
      <c r="DD12" s="886"/>
      <c r="DE12" s="886"/>
      <c r="DF12" s="886"/>
      <c r="DG12" s="886"/>
      <c r="DH12" s="886"/>
      <c r="DI12" s="886"/>
      <c r="DJ12" s="886"/>
      <c r="DK12" s="886"/>
      <c r="DL12" s="886"/>
      <c r="DM12" s="886"/>
      <c r="DN12" s="886"/>
      <c r="DO12" s="886"/>
      <c r="DP12" s="886"/>
      <c r="DQ12" s="886"/>
      <c r="DR12" s="886"/>
      <c r="DS12" s="886"/>
      <c r="DT12" s="886"/>
      <c r="DU12" s="886"/>
      <c r="DV12" s="886"/>
      <c r="DW12" s="886"/>
      <c r="DX12" s="886"/>
      <c r="DY12" s="886"/>
      <c r="DZ12" s="886"/>
      <c r="EA12" s="886"/>
      <c r="EB12" s="886"/>
      <c r="EC12" s="886"/>
      <c r="ED12" s="886"/>
      <c r="EE12" s="886"/>
      <c r="EF12" s="886"/>
      <c r="EG12" s="886"/>
      <c r="EH12" s="886"/>
      <c r="EI12" s="886"/>
      <c r="EJ12" s="886"/>
      <c r="EK12" s="886"/>
      <c r="EL12" s="886"/>
      <c r="EM12" s="886"/>
      <c r="EN12" s="886"/>
      <c r="EO12" s="886"/>
      <c r="EP12" s="886"/>
      <c r="EQ12" s="886"/>
      <c r="ER12" s="886"/>
      <c r="ES12" s="886"/>
      <c r="ET12" s="886"/>
      <c r="EU12" s="886"/>
      <c r="EV12" s="886"/>
      <c r="EW12" s="886"/>
      <c r="EX12" s="886"/>
      <c r="EY12" s="886"/>
      <c r="EZ12" s="886"/>
      <c r="FA12" s="886"/>
      <c r="FB12" s="886"/>
      <c r="FC12" s="886"/>
      <c r="FD12" s="886"/>
      <c r="FE12" s="886"/>
      <c r="FF12" s="886"/>
      <c r="FG12" s="886"/>
      <c r="FH12" s="886"/>
      <c r="FI12" s="886"/>
      <c r="FJ12" s="886"/>
      <c r="FK12" s="886"/>
      <c r="FL12" s="886"/>
      <c r="FM12" s="886"/>
      <c r="FN12" s="886"/>
      <c r="FO12" s="886"/>
      <c r="FP12" s="886"/>
      <c r="FQ12" s="886"/>
      <c r="FR12" s="886"/>
      <c r="FS12" s="886"/>
      <c r="FT12" s="886"/>
      <c r="FU12" s="886"/>
      <c r="FV12" s="886"/>
    </row>
    <row r="13" spans="2:178" s="33" customFormat="1" ht="19.5">
      <c r="B13" s="38" t="s">
        <v>288</v>
      </c>
      <c r="C13" s="1084"/>
      <c r="D13" s="1084"/>
      <c r="E13" s="1084"/>
      <c r="F13" s="1084"/>
      <c r="G13" s="1084"/>
      <c r="H13" s="1084"/>
      <c r="I13" s="1084"/>
      <c r="J13" s="1084"/>
      <c r="K13" s="1084"/>
      <c r="L13" s="1084"/>
      <c r="M13" s="1084"/>
      <c r="N13" s="1084"/>
      <c r="O13" s="1084"/>
      <c r="P13" s="1084"/>
      <c r="Q13" s="1084"/>
      <c r="R13" s="1084"/>
      <c r="S13" s="1084"/>
      <c r="T13" s="1084"/>
      <c r="U13" s="1085"/>
      <c r="V13" s="1082"/>
      <c r="W13" s="886"/>
      <c r="X13" s="886"/>
      <c r="Y13" s="886"/>
      <c r="Z13" s="886"/>
      <c r="AA13" s="886"/>
      <c r="AB13" s="886"/>
      <c r="AC13" s="886"/>
      <c r="AD13" s="886"/>
      <c r="AE13" s="886"/>
      <c r="AF13" s="886"/>
      <c r="AG13" s="886"/>
      <c r="AH13" s="886"/>
      <c r="AI13" s="886"/>
      <c r="AJ13" s="886"/>
      <c r="AK13" s="886"/>
      <c r="AL13" s="886"/>
      <c r="AM13" s="886"/>
      <c r="AN13" s="886"/>
      <c r="AO13" s="886"/>
      <c r="AP13" s="886"/>
      <c r="AQ13" s="886"/>
      <c r="AR13" s="886"/>
      <c r="AS13" s="886"/>
      <c r="AT13" s="886"/>
      <c r="AU13" s="886"/>
      <c r="AV13" s="886"/>
      <c r="AW13" s="886"/>
      <c r="AX13" s="886"/>
      <c r="AY13" s="886"/>
      <c r="AZ13" s="886"/>
      <c r="BA13" s="886"/>
      <c r="BB13" s="886"/>
      <c r="BC13" s="886"/>
      <c r="BD13" s="886"/>
      <c r="BE13" s="886"/>
      <c r="BF13" s="886"/>
      <c r="BG13" s="886"/>
      <c r="BH13" s="886"/>
      <c r="BI13" s="886"/>
      <c r="BJ13" s="886"/>
      <c r="BK13" s="886"/>
      <c r="BL13" s="886"/>
      <c r="BM13" s="886"/>
      <c r="BN13" s="886"/>
      <c r="BO13" s="886"/>
      <c r="BP13" s="886"/>
      <c r="BQ13" s="886"/>
      <c r="BR13" s="886"/>
      <c r="BS13" s="886"/>
      <c r="BT13" s="886"/>
      <c r="BU13" s="886"/>
      <c r="BV13" s="886"/>
      <c r="BW13" s="886"/>
      <c r="BX13" s="886"/>
      <c r="BY13" s="886"/>
      <c r="BZ13" s="886"/>
      <c r="CA13" s="886"/>
      <c r="CB13" s="886"/>
      <c r="CC13" s="886"/>
      <c r="CD13" s="886"/>
      <c r="CE13" s="886"/>
      <c r="CF13" s="886"/>
      <c r="CG13" s="886"/>
      <c r="CH13" s="886"/>
      <c r="CI13" s="886"/>
      <c r="CJ13" s="886"/>
      <c r="CK13" s="886"/>
      <c r="CL13" s="886"/>
      <c r="CM13" s="886"/>
      <c r="CN13" s="886"/>
      <c r="CO13" s="886"/>
      <c r="CP13" s="886"/>
      <c r="CQ13" s="886"/>
      <c r="CR13" s="886"/>
      <c r="CS13" s="886"/>
      <c r="CT13" s="886"/>
      <c r="CU13" s="886"/>
      <c r="CV13" s="886"/>
      <c r="CW13" s="886"/>
      <c r="CX13" s="886"/>
      <c r="CY13" s="886"/>
      <c r="CZ13" s="886"/>
      <c r="DA13" s="886"/>
      <c r="DB13" s="886"/>
      <c r="DC13" s="886"/>
      <c r="DD13" s="886"/>
      <c r="DE13" s="886"/>
      <c r="DF13" s="886"/>
      <c r="DG13" s="886"/>
      <c r="DH13" s="886"/>
      <c r="DI13" s="886"/>
      <c r="DJ13" s="886"/>
      <c r="DK13" s="886"/>
      <c r="DL13" s="886"/>
      <c r="DM13" s="886"/>
      <c r="DN13" s="886"/>
      <c r="DO13" s="886"/>
      <c r="DP13" s="886"/>
      <c r="DQ13" s="886"/>
      <c r="DR13" s="886"/>
      <c r="DS13" s="886"/>
      <c r="DT13" s="886"/>
      <c r="DU13" s="886"/>
      <c r="DV13" s="886"/>
      <c r="DW13" s="886"/>
      <c r="DX13" s="886"/>
      <c r="DY13" s="886"/>
      <c r="DZ13" s="886"/>
      <c r="EA13" s="886"/>
      <c r="EB13" s="886"/>
      <c r="EC13" s="886"/>
      <c r="ED13" s="886"/>
      <c r="EE13" s="886"/>
      <c r="EF13" s="886"/>
      <c r="EG13" s="886"/>
      <c r="EH13" s="886"/>
      <c r="EI13" s="886"/>
      <c r="EJ13" s="886"/>
      <c r="EK13" s="886"/>
      <c r="EL13" s="886"/>
      <c r="EM13" s="886"/>
      <c r="EN13" s="886"/>
      <c r="EO13" s="886"/>
      <c r="EP13" s="886"/>
      <c r="EQ13" s="886"/>
      <c r="ER13" s="886"/>
      <c r="ES13" s="886"/>
      <c r="ET13" s="886"/>
      <c r="EU13" s="886"/>
      <c r="EV13" s="886"/>
      <c r="EW13" s="886"/>
      <c r="EX13" s="886"/>
      <c r="EY13" s="886"/>
      <c r="EZ13" s="886"/>
      <c r="FA13" s="886"/>
      <c r="FB13" s="886"/>
      <c r="FC13" s="886"/>
      <c r="FD13" s="886"/>
      <c r="FE13" s="886"/>
      <c r="FF13" s="886"/>
      <c r="FG13" s="886"/>
      <c r="FH13" s="886"/>
      <c r="FI13" s="886"/>
      <c r="FJ13" s="886"/>
      <c r="FK13" s="886"/>
      <c r="FL13" s="886"/>
      <c r="FM13" s="886"/>
      <c r="FN13" s="886"/>
      <c r="FO13" s="886"/>
      <c r="FP13" s="886"/>
      <c r="FQ13" s="886"/>
      <c r="FR13" s="886"/>
      <c r="FS13" s="886"/>
      <c r="FT13" s="886"/>
      <c r="FU13" s="886"/>
      <c r="FV13" s="886"/>
    </row>
    <row r="14" spans="2:21" s="33" customFormat="1" ht="16.5" thickBot="1">
      <c r="B14" s="68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1086"/>
    </row>
    <row r="15" spans="2:21" s="1087" customFormat="1" ht="33.75" customHeight="1" thickBot="1" thickTop="1">
      <c r="B15" s="1088"/>
      <c r="C15" s="85"/>
      <c r="D15" s="85" t="s">
        <v>0</v>
      </c>
      <c r="E15" s="144" t="s">
        <v>14</v>
      </c>
      <c r="F15" s="144" t="s">
        <v>15</v>
      </c>
      <c r="G15" s="1089" t="s">
        <v>281</v>
      </c>
      <c r="H15" s="1089">
        <f>IF('[2]BASE'!FD15=0,"",'[2]BASE'!FD15)</f>
        <v>38930</v>
      </c>
      <c r="I15" s="1089">
        <f>IF('[2]BASE'!FE15=0,"",'[2]BASE'!FE15)</f>
        <v>38961</v>
      </c>
      <c r="J15" s="1089">
        <f>IF('[2]BASE'!FF15=0,"",'[2]BASE'!FF15)</f>
        <v>38991</v>
      </c>
      <c r="K15" s="1089">
        <f>IF('[2]BASE'!FG15=0,"",'[2]BASE'!FG15)</f>
        <v>39022</v>
      </c>
      <c r="L15" s="1089">
        <f>IF('[2]BASE'!FH15=0,"",'[2]BASE'!FH15)</f>
        <v>39052</v>
      </c>
      <c r="M15" s="1089">
        <f>IF('[2]BASE'!FI15=0,"",'[2]BASE'!FI15)</f>
        <v>39083</v>
      </c>
      <c r="N15" s="1089">
        <f>IF('[2]BASE'!FJ15=0,"",'[2]BASE'!FJ15)</f>
        <v>39114</v>
      </c>
      <c r="O15" s="1089">
        <f>IF('[2]BASE'!FK15=0,"",'[2]BASE'!FK15)</f>
        <v>39142</v>
      </c>
      <c r="P15" s="1089">
        <f>IF('[2]BASE'!FL15=0,"",'[2]BASE'!FL15)</f>
        <v>39173</v>
      </c>
      <c r="Q15" s="1089">
        <f>IF('[2]BASE'!FM15=0,"",'[2]BASE'!FM15)</f>
        <v>39203</v>
      </c>
      <c r="R15" s="1089">
        <f>IF('[2]BASE'!FN15=0,"",'[2]BASE'!FN15)</f>
        <v>39234</v>
      </c>
      <c r="S15" s="1089">
        <f>IF('[2]BASE'!FO15=0,"",'[2]BASE'!FO15)</f>
        <v>39264</v>
      </c>
      <c r="T15" s="1089">
        <f>IF('[2]BASE'!FP15=0,"",'[2]BASE'!FP15)</f>
        <v>39295</v>
      </c>
      <c r="U15" s="1089">
        <f>IF('[2]BASE'!FQ15=0,"",'[2]BASE'!FQ15)</f>
        <v>39326</v>
      </c>
    </row>
    <row r="16" spans="2:21" s="1090" customFormat="1" ht="19.5" customHeight="1" thickTop="1">
      <c r="B16" s="1091"/>
      <c r="C16" s="1092"/>
      <c r="D16" s="1093"/>
      <c r="E16" s="1093"/>
      <c r="F16" s="1093"/>
      <c r="G16" s="1093"/>
      <c r="H16" s="1094"/>
      <c r="I16" s="1094"/>
      <c r="J16" s="1094"/>
      <c r="K16" s="1094"/>
      <c r="L16" s="1094"/>
      <c r="M16" s="1094"/>
      <c r="N16" s="1094"/>
      <c r="O16" s="1094"/>
      <c r="P16" s="1094"/>
      <c r="Q16" s="1094"/>
      <c r="R16" s="1094"/>
      <c r="S16" s="1094"/>
      <c r="T16" s="1094"/>
      <c r="U16" s="1095"/>
    </row>
    <row r="17" spans="2:21" s="1090" customFormat="1" ht="19.5" customHeight="1">
      <c r="B17" s="1091"/>
      <c r="C17" s="1096">
        <f>IF('[2]BASE'!C17=0,"",'[2]BASE'!C17)</f>
        <v>1</v>
      </c>
      <c r="D17" s="1096" t="str">
        <f>IF('[2]BASE'!D17=0,"",'[2]BASE'!D17)</f>
        <v>ABASTO - OLAVARRIA 1</v>
      </c>
      <c r="E17" s="1096">
        <f>IF('[2]BASE'!E17=0,"",'[2]BASE'!E17)</f>
        <v>500</v>
      </c>
      <c r="F17" s="1096">
        <f>IF('[2]BASE'!F17=0,"",'[2]BASE'!F17)</f>
        <v>291</v>
      </c>
      <c r="G17" s="1097" t="str">
        <f>IF('[2]BASE'!G17=0,"",'[2]BASE'!G17)</f>
        <v>B</v>
      </c>
      <c r="H17" s="1098">
        <f>IF('[2]BASE'!FD17=0,"",'[2]BASE'!FD17)</f>
      </c>
      <c r="I17" s="1098">
        <f>IF('[2]BASE'!FE17=0,"",'[2]BASE'!FE17)</f>
        <v>1</v>
      </c>
      <c r="J17" s="1098">
        <f>IF('[2]BASE'!FF17=0,"",'[2]BASE'!FF17)</f>
      </c>
      <c r="K17" s="1098">
        <f>IF('[2]BASE'!FG17=0,"",'[2]BASE'!FG17)</f>
      </c>
      <c r="L17" s="1098">
        <f>IF('[2]BASE'!FH17=0,"",'[2]BASE'!FH17)</f>
      </c>
      <c r="M17" s="1098">
        <f>IF('[2]BASE'!FI17=0,"",'[2]BASE'!FI17)</f>
      </c>
      <c r="N17" s="1098">
        <f>IF('[2]BASE'!FJ17=0,"",'[2]BASE'!FJ17)</f>
      </c>
      <c r="O17" s="1098">
        <f>IF('[2]BASE'!FK17=0,"",'[2]BASE'!FK17)</f>
        <v>1</v>
      </c>
      <c r="P17" s="1098">
        <f>IF('[2]BASE'!FL17=0,"",'[2]BASE'!FL17)</f>
      </c>
      <c r="Q17" s="1098">
        <f>IF('[2]BASE'!FM17=0,"",'[2]BASE'!FM17)</f>
      </c>
      <c r="R17" s="1098">
        <f>IF('[2]BASE'!FN17=0,"",'[2]BASE'!FN17)</f>
      </c>
      <c r="S17" s="1098">
        <f>IF('[2]BASE'!FO17=0,"",'[2]BASE'!FO17)</f>
      </c>
      <c r="T17" s="1098">
        <f>IF('[2]BASE'!FP17=0,"",'[2]BASE'!FP17)</f>
      </c>
      <c r="U17" s="1095"/>
    </row>
    <row r="18" spans="2:21" s="1090" customFormat="1" ht="19.5" customHeight="1">
      <c r="B18" s="1091"/>
      <c r="C18" s="1099">
        <f>IF('[2]BASE'!C18=0,"",'[2]BASE'!C18)</f>
        <v>2</v>
      </c>
      <c r="D18" s="1099" t="str">
        <f>IF('[2]BASE'!D18=0,"",'[2]BASE'!D18)</f>
        <v>ABASTO - OLAVARRIA 2</v>
      </c>
      <c r="E18" s="1099">
        <f>IF('[2]BASE'!E18=0,"",'[2]BASE'!E18)</f>
        <v>500</v>
      </c>
      <c r="F18" s="1099">
        <f>IF('[2]BASE'!F18=0,"",'[2]BASE'!F18)</f>
        <v>301.9</v>
      </c>
      <c r="G18" s="1100">
        <f>IF('[2]BASE'!G18=0,"",'[2]BASE'!G18)</f>
      </c>
      <c r="H18" s="1098">
        <f>IF('[2]BASE'!FD18=0,"",'[2]BASE'!FD18)</f>
      </c>
      <c r="I18" s="1098">
        <f>IF('[2]BASE'!FE18=0,"",'[2]BASE'!FE18)</f>
        <v>1</v>
      </c>
      <c r="J18" s="1098">
        <f>IF('[2]BASE'!FF18=0,"",'[2]BASE'!FF18)</f>
      </c>
      <c r="K18" s="1098">
        <f>IF('[2]BASE'!FG18=0,"",'[2]BASE'!FG18)</f>
      </c>
      <c r="L18" s="1098">
        <f>IF('[2]BASE'!FH18=0,"",'[2]BASE'!FH18)</f>
      </c>
      <c r="M18" s="1098">
        <f>IF('[2]BASE'!FI18=0,"",'[2]BASE'!FI18)</f>
      </c>
      <c r="N18" s="1098">
        <f>IF('[2]BASE'!FJ18=0,"",'[2]BASE'!FJ18)</f>
      </c>
      <c r="O18" s="1098">
        <f>IF('[2]BASE'!FK18=0,"",'[2]BASE'!FK18)</f>
      </c>
      <c r="P18" s="1094"/>
      <c r="Q18" s="1098">
        <f>IF('[2]BASE'!FM18=0,"",'[2]BASE'!FM18)</f>
      </c>
      <c r="R18" s="1098">
        <f>IF('[2]BASE'!FN18=0,"",'[2]BASE'!FN18)</f>
      </c>
      <c r="S18" s="1098">
        <f>IF('[2]BASE'!FO18=0,"",'[2]BASE'!FO18)</f>
      </c>
      <c r="T18" s="1098">
        <f>IF('[2]BASE'!FP18=0,"",'[2]BASE'!FP18)</f>
      </c>
      <c r="U18" s="1095"/>
    </row>
    <row r="19" spans="2:21" s="1090" customFormat="1" ht="19.5" customHeight="1">
      <c r="B19" s="1091"/>
      <c r="C19" s="1101">
        <f>IF('[2]BASE'!C19=0,"",'[2]BASE'!C19)</f>
        <v>3</v>
      </c>
      <c r="D19" s="1101" t="str">
        <f>IF('[2]BASE'!D19=0,"",'[2]BASE'!D19)</f>
        <v>AGUA DEL CAJON - CHOCON OESTE</v>
      </c>
      <c r="E19" s="1101">
        <f>IF('[2]BASE'!E19=0,"",'[2]BASE'!E19)</f>
        <v>500</v>
      </c>
      <c r="F19" s="1101">
        <f>IF('[2]BASE'!F19=0,"",'[2]BASE'!F19)</f>
        <v>52</v>
      </c>
      <c r="G19" s="1102">
        <f>IF('[2]BASE'!G19=0,"",'[2]BASE'!G19)</f>
      </c>
      <c r="H19" s="1098">
        <f>IF('[2]BASE'!FD19=0,"",'[2]BASE'!FD19)</f>
      </c>
      <c r="I19" s="1098">
        <f>IF('[2]BASE'!FE19=0,"",'[2]BASE'!FE19)</f>
      </c>
      <c r="J19" s="1098">
        <f>IF('[2]BASE'!FF19=0,"",'[2]BASE'!FF19)</f>
      </c>
      <c r="K19" s="1098">
        <f>IF('[2]BASE'!FG19=0,"",'[2]BASE'!FG19)</f>
      </c>
      <c r="L19" s="1098">
        <f>IF('[2]BASE'!FH19=0,"",'[2]BASE'!FH19)</f>
      </c>
      <c r="M19" s="1098">
        <f>IF('[2]BASE'!FI19=0,"",'[2]BASE'!FI19)</f>
      </c>
      <c r="N19" s="1098">
        <f>IF('[2]BASE'!FJ19=0,"",'[2]BASE'!FJ19)</f>
      </c>
      <c r="O19" s="1098">
        <f>IF('[2]BASE'!FK19=0,"",'[2]BASE'!FK19)</f>
      </c>
      <c r="P19" s="1098">
        <f>IF('[2]BASE'!FL19=0,"",'[2]BASE'!FL19)</f>
      </c>
      <c r="Q19" s="1098">
        <f>IF('[2]BASE'!FM19=0,"",'[2]BASE'!FM19)</f>
      </c>
      <c r="R19" s="1098">
        <f>IF('[2]BASE'!FN19=0,"",'[2]BASE'!FN19)</f>
      </c>
      <c r="S19" s="1098">
        <f>IF('[2]BASE'!FO19=0,"",'[2]BASE'!FO19)</f>
      </c>
      <c r="T19" s="1098">
        <f>IF('[2]BASE'!FP19=0,"",'[2]BASE'!FP19)</f>
      </c>
      <c r="U19" s="1095"/>
    </row>
    <row r="20" spans="2:21" s="1090" customFormat="1" ht="19.5" customHeight="1">
      <c r="B20" s="1091"/>
      <c r="C20" s="1099">
        <f>IF('[2]BASE'!C20=0,"",'[2]BASE'!C20)</f>
        <v>4</v>
      </c>
      <c r="D20" s="1099" t="str">
        <f>IF('[2]BASE'!D20=0,"",'[2]BASE'!D20)</f>
        <v>ALICURA - E.T. P.del A. 1 (5LG1)</v>
      </c>
      <c r="E20" s="1099">
        <f>IF('[2]BASE'!E20=0,"",'[2]BASE'!E20)</f>
        <v>500</v>
      </c>
      <c r="F20" s="1099">
        <f>IF('[2]BASE'!F20=0,"",'[2]BASE'!F20)</f>
        <v>76</v>
      </c>
      <c r="G20" s="1100" t="str">
        <f>IF('[2]BASE'!G20=0,"",'[2]BASE'!G20)</f>
        <v>C</v>
      </c>
      <c r="H20" s="1098">
        <f>IF('[2]BASE'!FD20=0,"",'[2]BASE'!FD20)</f>
      </c>
      <c r="I20" s="1098">
        <f>IF('[2]BASE'!FE20=0,"",'[2]BASE'!FE20)</f>
      </c>
      <c r="J20" s="1098">
        <f>IF('[2]BASE'!FF20=0,"",'[2]BASE'!FF20)</f>
      </c>
      <c r="K20" s="1098">
        <f>IF('[2]BASE'!FG20=0,"",'[2]BASE'!FG20)</f>
      </c>
      <c r="L20" s="1098">
        <f>IF('[2]BASE'!FH20=0,"",'[2]BASE'!FH20)</f>
      </c>
      <c r="M20" s="1098">
        <f>IF('[2]BASE'!FI20=0,"",'[2]BASE'!FI20)</f>
      </c>
      <c r="N20" s="1098">
        <f>IF('[2]BASE'!FJ20=0,"",'[2]BASE'!FJ20)</f>
      </c>
      <c r="O20" s="1098">
        <f>IF('[2]BASE'!FK20=0,"",'[2]BASE'!FK20)</f>
      </c>
      <c r="P20" s="1094"/>
      <c r="Q20" s="1098">
        <f>IF('[2]BASE'!FM20=0,"",'[2]BASE'!FM20)</f>
      </c>
      <c r="R20" s="1098">
        <f>IF('[2]BASE'!FN20=0,"",'[2]BASE'!FN20)</f>
      </c>
      <c r="S20" s="1098">
        <f>IF('[2]BASE'!FO20=0,"",'[2]BASE'!FO20)</f>
      </c>
      <c r="T20" s="1098">
        <f>IF('[2]BASE'!FP20=0,"",'[2]BASE'!FP20)</f>
      </c>
      <c r="U20" s="1095"/>
    </row>
    <row r="21" spans="2:21" s="1090" customFormat="1" ht="19.5" customHeight="1">
      <c r="B21" s="1091"/>
      <c r="C21" s="1101">
        <f>IF('[2]BASE'!C21=0,"",'[2]BASE'!C21)</f>
        <v>5</v>
      </c>
      <c r="D21" s="1101" t="str">
        <f>IF('[2]BASE'!D21=0,"",'[2]BASE'!D21)</f>
        <v>ALICURA - E.T. P.del A. 2 (5LG2)</v>
      </c>
      <c r="E21" s="1101">
        <f>IF('[2]BASE'!E21=0,"",'[2]BASE'!E21)</f>
        <v>500</v>
      </c>
      <c r="F21" s="1101">
        <f>IF('[2]BASE'!F21=0,"",'[2]BASE'!F21)</f>
        <v>76</v>
      </c>
      <c r="G21" s="1102" t="str">
        <f>IF('[2]BASE'!G21=0,"",'[2]BASE'!G21)</f>
        <v>C</v>
      </c>
      <c r="H21" s="1098">
        <f>IF('[2]BASE'!FD21=0,"",'[2]BASE'!FD21)</f>
      </c>
      <c r="I21" s="1098">
        <f>IF('[2]BASE'!FE21=0,"",'[2]BASE'!FE21)</f>
      </c>
      <c r="J21" s="1098">
        <f>IF('[2]BASE'!FF21=0,"",'[2]BASE'!FF21)</f>
      </c>
      <c r="K21" s="1098">
        <f>IF('[2]BASE'!FG21=0,"",'[2]BASE'!FG21)</f>
      </c>
      <c r="L21" s="1098">
        <f>IF('[2]BASE'!FH21=0,"",'[2]BASE'!FH21)</f>
      </c>
      <c r="M21" s="1098">
        <f>IF('[2]BASE'!FI21=0,"",'[2]BASE'!FI21)</f>
      </c>
      <c r="N21" s="1098">
        <f>IF('[2]BASE'!FJ21=0,"",'[2]BASE'!FJ21)</f>
      </c>
      <c r="O21" s="1098">
        <f>IF('[2]BASE'!FK21=0,"",'[2]BASE'!FK21)</f>
      </c>
      <c r="P21" s="1098">
        <f>IF('[2]BASE'!FL21=0,"",'[2]BASE'!FL21)</f>
      </c>
      <c r="Q21" s="1098">
        <f>IF('[2]BASE'!FM21=0,"",'[2]BASE'!FM21)</f>
      </c>
      <c r="R21" s="1098">
        <f>IF('[2]BASE'!FN21=0,"",'[2]BASE'!FN21)</f>
      </c>
      <c r="S21" s="1098">
        <f>IF('[2]BASE'!FO21=0,"",'[2]BASE'!FO21)</f>
      </c>
      <c r="T21" s="1098">
        <f>IF('[2]BASE'!FP21=0,"",'[2]BASE'!FP21)</f>
      </c>
      <c r="U21" s="1095"/>
    </row>
    <row r="22" spans="2:21" s="1090" customFormat="1" ht="19.5" customHeight="1">
      <c r="B22" s="1091"/>
      <c r="C22" s="1099">
        <f>IF('[2]BASE'!C22=0,"",'[2]BASE'!C22)</f>
        <v>6</v>
      </c>
      <c r="D22" s="1099" t="str">
        <f>IF('[2]BASE'!D22=0,"",'[2]BASE'!D22)</f>
        <v>ALMAFUERTE - EMBALSE </v>
      </c>
      <c r="E22" s="1099">
        <f>IF('[2]BASE'!E22=0,"",'[2]BASE'!E22)</f>
        <v>500</v>
      </c>
      <c r="F22" s="1099">
        <f>IF('[2]BASE'!F22=0,"",'[2]BASE'!F22)</f>
        <v>12</v>
      </c>
      <c r="G22" s="1100" t="str">
        <f>IF('[2]BASE'!G22=0,"",'[2]BASE'!G22)</f>
        <v>A</v>
      </c>
      <c r="H22" s="1098">
        <f>IF('[2]BASE'!FD22=0,"",'[2]BASE'!FD22)</f>
      </c>
      <c r="I22" s="1098">
        <f>IF('[2]BASE'!FE22=0,"",'[2]BASE'!FE22)</f>
      </c>
      <c r="J22" s="1098">
        <f>IF('[2]BASE'!FF22=0,"",'[2]BASE'!FF22)</f>
      </c>
      <c r="K22" s="1098">
        <f>IF('[2]BASE'!FG22=0,"",'[2]BASE'!FG22)</f>
      </c>
      <c r="L22" s="1098">
        <f>IF('[2]BASE'!FH22=0,"",'[2]BASE'!FH22)</f>
      </c>
      <c r="M22" s="1098">
        <f>IF('[2]BASE'!FI22=0,"",'[2]BASE'!FI22)</f>
      </c>
      <c r="N22" s="1098">
        <f>IF('[2]BASE'!FJ22=0,"",'[2]BASE'!FJ22)</f>
      </c>
      <c r="O22" s="1098">
        <f>IF('[2]BASE'!FK22=0,"",'[2]BASE'!FK22)</f>
      </c>
      <c r="P22" s="1094"/>
      <c r="Q22" s="1098">
        <f>IF('[2]BASE'!FM22=0,"",'[2]BASE'!FM22)</f>
      </c>
      <c r="R22" s="1098">
        <f>IF('[2]BASE'!FN22=0,"",'[2]BASE'!FN22)</f>
      </c>
      <c r="S22" s="1098">
        <f>IF('[2]BASE'!FO22=0,"",'[2]BASE'!FO22)</f>
      </c>
      <c r="T22" s="1098">
        <f>IF('[2]BASE'!FP22=0,"",'[2]BASE'!FP22)</f>
      </c>
      <c r="U22" s="1095"/>
    </row>
    <row r="23" spans="2:21" s="1090" customFormat="1" ht="19.5" customHeight="1">
      <c r="B23" s="1091"/>
      <c r="C23" s="1101">
        <f>IF('[2]BASE'!C23=0,"",'[2]BASE'!C23)</f>
        <v>7</v>
      </c>
      <c r="D23" s="1101" t="str">
        <f>IF('[2]BASE'!D23=0,"",'[2]BASE'!D23)</f>
        <v> ALMAFUERTE - ROSARIO OESTE</v>
      </c>
      <c r="E23" s="1101">
        <f>IF('[2]BASE'!E23=0,"",'[2]BASE'!E23)</f>
        <v>500</v>
      </c>
      <c r="F23" s="1101">
        <f>IF('[2]BASE'!F23=0,"",'[2]BASE'!F23)</f>
        <v>345</v>
      </c>
      <c r="G23" s="1102" t="str">
        <f>IF('[2]BASE'!G23=0,"",'[2]BASE'!G23)</f>
        <v>B</v>
      </c>
      <c r="H23" s="1098">
        <f>IF('[2]BASE'!FD23=0,"",'[2]BASE'!FD23)</f>
      </c>
      <c r="I23" s="1098">
        <f>IF('[2]BASE'!FE23=0,"",'[2]BASE'!FE23)</f>
      </c>
      <c r="J23" s="1098">
        <f>IF('[2]BASE'!FF23=0,"",'[2]BASE'!FF23)</f>
      </c>
      <c r="K23" s="1098">
        <f>IF('[2]BASE'!FG23=0,"",'[2]BASE'!FG23)</f>
      </c>
      <c r="L23" s="1098">
        <f>IF('[2]BASE'!FH23=0,"",'[2]BASE'!FH23)</f>
      </c>
      <c r="M23" s="1098">
        <f>IF('[2]BASE'!FI23=0,"",'[2]BASE'!FI23)</f>
      </c>
      <c r="N23" s="1098">
        <f>IF('[2]BASE'!FJ23=0,"",'[2]BASE'!FJ23)</f>
      </c>
      <c r="O23" s="1098">
        <f>IF('[2]BASE'!FK23=0,"",'[2]BASE'!FK23)</f>
      </c>
      <c r="P23" s="1098">
        <f>IF('[2]BASE'!FL23=0,"",'[2]BASE'!FL23)</f>
        <v>1</v>
      </c>
      <c r="Q23" s="1098">
        <f>IF('[2]BASE'!FM23=0,"",'[2]BASE'!FM23)</f>
      </c>
      <c r="R23" s="1098">
        <f>IF('[2]BASE'!FN23=0,"",'[2]BASE'!FN23)</f>
      </c>
      <c r="S23" s="1098">
        <f>IF('[2]BASE'!FO23=0,"",'[2]BASE'!FO23)</f>
      </c>
      <c r="T23" s="1098">
        <f>IF('[2]BASE'!FP23=0,"",'[2]BASE'!FP23)</f>
      </c>
      <c r="U23" s="1095"/>
    </row>
    <row r="24" spans="2:21" s="1090" customFormat="1" ht="19.5" customHeight="1">
      <c r="B24" s="1091"/>
      <c r="C24" s="1099">
        <f>IF('[2]BASE'!C24=0,"",'[2]BASE'!C24)</f>
        <v>8</v>
      </c>
      <c r="D24" s="1099" t="str">
        <f>IF('[2]BASE'!D24=0,"",'[2]BASE'!D24)</f>
        <v>BAHIA BLANCA - CHOELE CHOEL 1</v>
      </c>
      <c r="E24" s="1099">
        <f>IF('[2]BASE'!E24=0,"",'[2]BASE'!E24)</f>
        <v>500</v>
      </c>
      <c r="F24" s="1099">
        <f>IF('[2]BASE'!F24=0,"",'[2]BASE'!F24)</f>
        <v>346</v>
      </c>
      <c r="G24" s="1100" t="str">
        <f>IF('[2]BASE'!G24=0,"",'[2]BASE'!G24)</f>
        <v>B</v>
      </c>
      <c r="H24" s="1098">
        <f>IF('[2]BASE'!FD24=0,"",'[2]BASE'!FD24)</f>
      </c>
      <c r="I24" s="1098">
        <f>IF('[2]BASE'!FE24=0,"",'[2]BASE'!FE24)</f>
        <v>1</v>
      </c>
      <c r="J24" s="1098">
        <f>IF('[2]BASE'!FF24=0,"",'[2]BASE'!FF24)</f>
      </c>
      <c r="K24" s="1098">
        <f>IF('[2]BASE'!FG24=0,"",'[2]BASE'!FG24)</f>
      </c>
      <c r="L24" s="1098">
        <f>IF('[2]BASE'!FH24=0,"",'[2]BASE'!FH24)</f>
      </c>
      <c r="M24" s="1098">
        <f>IF('[2]BASE'!FI24=0,"",'[2]BASE'!FI24)</f>
      </c>
      <c r="N24" s="1098">
        <f>IF('[2]BASE'!FJ24=0,"",'[2]BASE'!FJ24)</f>
      </c>
      <c r="O24" s="1098">
        <f>IF('[2]BASE'!FK24=0,"",'[2]BASE'!FK24)</f>
      </c>
      <c r="P24" s="1094"/>
      <c r="Q24" s="1098">
        <f>IF('[2]BASE'!FM24=0,"",'[2]BASE'!FM24)</f>
      </c>
      <c r="R24" s="1098">
        <f>IF('[2]BASE'!FN24=0,"",'[2]BASE'!FN24)</f>
      </c>
      <c r="S24" s="1098">
        <f>IF('[2]BASE'!FO24=0,"",'[2]BASE'!FO24)</f>
      </c>
      <c r="T24" s="1098">
        <f>IF('[2]BASE'!FP24=0,"",'[2]BASE'!FP24)</f>
        <v>1</v>
      </c>
      <c r="U24" s="1095"/>
    </row>
    <row r="25" spans="2:21" s="1090" customFormat="1" ht="19.5" customHeight="1">
      <c r="B25" s="1091"/>
      <c r="C25" s="1101">
        <f>IF('[2]BASE'!C25=0,"",'[2]BASE'!C25)</f>
        <v>9</v>
      </c>
      <c r="D25" s="1101" t="str">
        <f>IF('[2]BASE'!D25=0,"",'[2]BASE'!D25)</f>
        <v>BAHIA BLANCA - CHOELE CHOEL 2</v>
      </c>
      <c r="E25" s="1101">
        <f>IF('[2]BASE'!E25=0,"",'[2]BASE'!E25)</f>
        <v>500</v>
      </c>
      <c r="F25" s="1101">
        <f>IF('[2]BASE'!F25=0,"",'[2]BASE'!F25)</f>
        <v>348.4</v>
      </c>
      <c r="G25" s="1102">
        <f>IF('[2]BASE'!G25=0,"",'[2]BASE'!G25)</f>
      </c>
      <c r="H25" s="1098">
        <f>IF('[2]BASE'!FD25=0,"",'[2]BASE'!FD25)</f>
      </c>
      <c r="I25" s="1098">
        <f>IF('[2]BASE'!FE25=0,"",'[2]BASE'!FE25)</f>
      </c>
      <c r="J25" s="1098">
        <f>IF('[2]BASE'!FF25=0,"",'[2]BASE'!FF25)</f>
      </c>
      <c r="K25" s="1098">
        <f>IF('[2]BASE'!FG25=0,"",'[2]BASE'!FG25)</f>
      </c>
      <c r="L25" s="1098">
        <f>IF('[2]BASE'!FH25=0,"",'[2]BASE'!FH25)</f>
      </c>
      <c r="M25" s="1098">
        <f>IF('[2]BASE'!FI25=0,"",'[2]BASE'!FI25)</f>
      </c>
      <c r="N25" s="1098">
        <f>IF('[2]BASE'!FJ25=0,"",'[2]BASE'!FJ25)</f>
      </c>
      <c r="O25" s="1098">
        <f>IF('[2]BASE'!FK25=0,"",'[2]BASE'!FK25)</f>
      </c>
      <c r="P25" s="1098">
        <f>IF('[2]BASE'!FL25=0,"",'[2]BASE'!FL25)</f>
      </c>
      <c r="Q25" s="1098">
        <f>IF('[2]BASE'!FM25=0,"",'[2]BASE'!FM25)</f>
      </c>
      <c r="R25" s="1098">
        <f>IF('[2]BASE'!FN25=0,"",'[2]BASE'!FN25)</f>
      </c>
      <c r="S25" s="1098">
        <f>IF('[2]BASE'!FO25=0,"",'[2]BASE'!FO25)</f>
      </c>
      <c r="T25" s="1098">
        <f>IF('[2]BASE'!FP25=0,"",'[2]BASE'!FP25)</f>
      </c>
      <c r="U25" s="1095"/>
    </row>
    <row r="26" spans="2:21" s="1090" customFormat="1" ht="19.5" customHeight="1">
      <c r="B26" s="1091"/>
      <c r="C26" s="1099">
        <f>IF('[2]BASE'!C26=0,"",'[2]BASE'!C26)</f>
        <v>10</v>
      </c>
      <c r="D26" s="1099" t="str">
        <f>IF('[2]BASE'!D26=0,"",'[2]BASE'!D26)</f>
        <v>CERR. de la CTA - P.BAND. (A3)</v>
      </c>
      <c r="E26" s="1099">
        <f>IF('[2]BASE'!E26=0,"",'[2]BASE'!E26)</f>
        <v>500</v>
      </c>
      <c r="F26" s="1099">
        <f>IF('[2]BASE'!F26=0,"",'[2]BASE'!F26)</f>
        <v>27</v>
      </c>
      <c r="G26" s="1100" t="str">
        <f>IF('[2]BASE'!G26=0,"",'[2]BASE'!G26)</f>
        <v>C</v>
      </c>
      <c r="H26" s="1098">
        <f>IF('[2]BASE'!FD26=0,"",'[2]BASE'!FD26)</f>
      </c>
      <c r="I26" s="1098">
        <f>IF('[2]BASE'!FE26=0,"",'[2]BASE'!FE26)</f>
      </c>
      <c r="J26" s="1098">
        <f>IF('[2]BASE'!FF26=0,"",'[2]BASE'!FF26)</f>
      </c>
      <c r="K26" s="1098">
        <f>IF('[2]BASE'!FG26=0,"",'[2]BASE'!FG26)</f>
      </c>
      <c r="L26" s="1098">
        <f>IF('[2]BASE'!FH26=0,"",'[2]BASE'!FH26)</f>
      </c>
      <c r="M26" s="1098">
        <f>IF('[2]BASE'!FI26=0,"",'[2]BASE'!FI26)</f>
      </c>
      <c r="N26" s="1098">
        <f>IF('[2]BASE'!FJ26=0,"",'[2]BASE'!FJ26)</f>
      </c>
      <c r="O26" s="1098">
        <f>IF('[2]BASE'!FK26=0,"",'[2]BASE'!FK26)</f>
        <v>1</v>
      </c>
      <c r="P26" s="1094"/>
      <c r="Q26" s="1098">
        <f>IF('[2]BASE'!FM26=0,"",'[2]BASE'!FM26)</f>
      </c>
      <c r="R26" s="1098">
        <f>IF('[2]BASE'!FN26=0,"",'[2]BASE'!FN26)</f>
      </c>
      <c r="S26" s="1098">
        <f>IF('[2]BASE'!FO26=0,"",'[2]BASE'!FO26)</f>
      </c>
      <c r="T26" s="1098">
        <f>IF('[2]BASE'!FP26=0,"",'[2]BASE'!FP26)</f>
      </c>
      <c r="U26" s="1095"/>
    </row>
    <row r="27" spans="2:21" s="1090" customFormat="1" ht="19.5" customHeight="1">
      <c r="B27" s="1091"/>
      <c r="C27" s="1101">
        <f>IF('[2]BASE'!C27=0,"",'[2]BASE'!C27)</f>
        <v>11</v>
      </c>
      <c r="D27" s="1101" t="str">
        <f>IF('[2]BASE'!D27=0,"",'[2]BASE'!D27)</f>
        <v>COLONIA ELIA - CAMPANA</v>
      </c>
      <c r="E27" s="1101">
        <f>IF('[2]BASE'!E27=0,"",'[2]BASE'!E27)</f>
        <v>500</v>
      </c>
      <c r="F27" s="1101">
        <f>IF('[2]BASE'!F27=0,"",'[2]BASE'!F27)</f>
        <v>194</v>
      </c>
      <c r="G27" s="1102" t="str">
        <f>IF('[2]BASE'!G27=0,"",'[2]BASE'!G27)</f>
        <v>C</v>
      </c>
      <c r="H27" s="1098">
        <f>IF('[2]BASE'!FD27=0,"",'[2]BASE'!FD27)</f>
      </c>
      <c r="I27" s="1098">
        <f>IF('[2]BASE'!FE27=0,"",'[2]BASE'!FE27)</f>
      </c>
      <c r="J27" s="1098">
        <f>IF('[2]BASE'!FF27=0,"",'[2]BASE'!FF27)</f>
      </c>
      <c r="K27" s="1098">
        <f>IF('[2]BASE'!FG27=0,"",'[2]BASE'!FG27)</f>
      </c>
      <c r="L27" s="1098">
        <f>IF('[2]BASE'!FH27=0,"",'[2]BASE'!FH27)</f>
      </c>
      <c r="M27" s="1098">
        <f>IF('[2]BASE'!FI27=0,"",'[2]BASE'!FI27)</f>
      </c>
      <c r="N27" s="1098">
        <f>IF('[2]BASE'!FJ27=0,"",'[2]BASE'!FJ27)</f>
      </c>
      <c r="O27" s="1098">
        <f>IF('[2]BASE'!FK27=0,"",'[2]BASE'!FK27)</f>
      </c>
      <c r="P27" s="1098">
        <f>IF('[2]BASE'!FL27=0,"",'[2]BASE'!FL27)</f>
      </c>
      <c r="Q27" s="1098">
        <f>IF('[2]BASE'!FM27=0,"",'[2]BASE'!FM27)</f>
      </c>
      <c r="R27" s="1098">
        <f>IF('[2]BASE'!FN27=0,"",'[2]BASE'!FN27)</f>
      </c>
      <c r="S27" s="1098">
        <f>IF('[2]BASE'!FO27=0,"",'[2]BASE'!FO27)</f>
      </c>
      <c r="T27" s="1098">
        <f>IF('[2]BASE'!FP27=0,"",'[2]BASE'!FP27)</f>
      </c>
      <c r="U27" s="1095"/>
    </row>
    <row r="28" spans="2:21" s="1090" customFormat="1" ht="19.5" customHeight="1">
      <c r="B28" s="1091"/>
      <c r="C28" s="1099">
        <f>IF('[2]BASE'!C28=0,"",'[2]BASE'!C28)</f>
        <v>12</v>
      </c>
      <c r="D28" s="1099" t="str">
        <f>IF('[2]BASE'!D28=0,"",'[2]BASE'!D28)</f>
        <v>CHO. W. - CHOELE CHOEL (5WH1)</v>
      </c>
      <c r="E28" s="1099">
        <f>IF('[2]BASE'!E28=0,"",'[2]BASE'!E28)</f>
        <v>500</v>
      </c>
      <c r="F28" s="1099">
        <f>IF('[2]BASE'!F28=0,"",'[2]BASE'!F28)</f>
        <v>269</v>
      </c>
      <c r="G28" s="1100" t="str">
        <f>IF('[2]BASE'!G28=0,"",'[2]BASE'!G28)</f>
        <v>B</v>
      </c>
      <c r="H28" s="1098">
        <f>IF('[2]BASE'!FD28=0,"",'[2]BASE'!FD28)</f>
      </c>
      <c r="I28" s="1098">
        <f>IF('[2]BASE'!FE28=0,"",'[2]BASE'!FE28)</f>
      </c>
      <c r="J28" s="1098">
        <f>IF('[2]BASE'!FF28=0,"",'[2]BASE'!FF28)</f>
      </c>
      <c r="K28" s="1098">
        <f>IF('[2]BASE'!FG28=0,"",'[2]BASE'!FG28)</f>
      </c>
      <c r="L28" s="1098">
        <f>IF('[2]BASE'!FH28=0,"",'[2]BASE'!FH28)</f>
      </c>
      <c r="M28" s="1098">
        <f>IF('[2]BASE'!FI28=0,"",'[2]BASE'!FI28)</f>
      </c>
      <c r="N28" s="1098">
        <f>IF('[2]BASE'!FJ28=0,"",'[2]BASE'!FJ28)</f>
      </c>
      <c r="O28" s="1098">
        <f>IF('[2]BASE'!FK28=0,"",'[2]BASE'!FK28)</f>
      </c>
      <c r="P28" s="1094"/>
      <c r="Q28" s="1098">
        <f>IF('[2]BASE'!FM28=0,"",'[2]BASE'!FM28)</f>
      </c>
      <c r="R28" s="1098">
        <f>IF('[2]BASE'!FN28=0,"",'[2]BASE'!FN28)</f>
      </c>
      <c r="S28" s="1098">
        <f>IF('[2]BASE'!FO28=0,"",'[2]BASE'!FO28)</f>
      </c>
      <c r="T28" s="1098">
        <f>IF('[2]BASE'!FP28=0,"",'[2]BASE'!FP28)</f>
      </c>
      <c r="U28" s="1095"/>
    </row>
    <row r="29" spans="2:21" s="1090" customFormat="1" ht="19.5" customHeight="1">
      <c r="B29" s="1091"/>
      <c r="C29" s="1101">
        <f>IF('[2]BASE'!C29=0,"",'[2]BASE'!C29)</f>
        <v>13</v>
      </c>
      <c r="D29" s="1101" t="str">
        <f>IF('[2]BASE'!D29=0,"",'[2]BASE'!D29)</f>
        <v>CHO.W. - CHO. 1 (5WC1)</v>
      </c>
      <c r="E29" s="1101">
        <f>IF('[2]BASE'!E29=0,"",'[2]BASE'!E29)</f>
        <v>500</v>
      </c>
      <c r="F29" s="1101">
        <f>IF('[2]BASE'!F29=0,"",'[2]BASE'!F29)</f>
        <v>4.5</v>
      </c>
      <c r="G29" s="1102" t="str">
        <f>IF('[2]BASE'!G29=0,"",'[2]BASE'!G29)</f>
        <v>C</v>
      </c>
      <c r="H29" s="1098">
        <f>IF('[2]BASE'!FD29=0,"",'[2]BASE'!FD29)</f>
      </c>
      <c r="I29" s="1098">
        <f>IF('[2]BASE'!FE29=0,"",'[2]BASE'!FE29)</f>
      </c>
      <c r="J29" s="1098">
        <f>IF('[2]BASE'!FF29=0,"",'[2]BASE'!FF29)</f>
      </c>
      <c r="K29" s="1098">
        <f>IF('[2]BASE'!FG29=0,"",'[2]BASE'!FG29)</f>
      </c>
      <c r="L29" s="1098">
        <f>IF('[2]BASE'!FH29=0,"",'[2]BASE'!FH29)</f>
      </c>
      <c r="M29" s="1098">
        <f>IF('[2]BASE'!FI29=0,"",'[2]BASE'!FI29)</f>
      </c>
      <c r="N29" s="1098">
        <f>IF('[2]BASE'!FJ29=0,"",'[2]BASE'!FJ29)</f>
      </c>
      <c r="O29" s="1098">
        <f>IF('[2]BASE'!FK29=0,"",'[2]BASE'!FK29)</f>
      </c>
      <c r="P29" s="1098">
        <f>IF('[2]BASE'!FL29=0,"",'[2]BASE'!FL29)</f>
      </c>
      <c r="Q29" s="1098">
        <f>IF('[2]BASE'!FM29=0,"",'[2]BASE'!FM29)</f>
      </c>
      <c r="R29" s="1098">
        <f>IF('[2]BASE'!FN29=0,"",'[2]BASE'!FN29)</f>
      </c>
      <c r="S29" s="1098">
        <f>IF('[2]BASE'!FO29=0,"",'[2]BASE'!FO29)</f>
      </c>
      <c r="T29" s="1098">
        <f>IF('[2]BASE'!FP29=0,"",'[2]BASE'!FP29)</f>
      </c>
      <c r="U29" s="1095"/>
    </row>
    <row r="30" spans="2:21" s="1090" customFormat="1" ht="19.5" customHeight="1">
      <c r="B30" s="1091"/>
      <c r="C30" s="1099">
        <f>IF('[2]BASE'!C30=0,"",'[2]BASE'!C30)</f>
        <v>14</v>
      </c>
      <c r="D30" s="1099" t="str">
        <f>IF('[2]BASE'!D30=0,"",'[2]BASE'!D30)</f>
        <v>CHO.W. - CHO. 2 (5WC2)</v>
      </c>
      <c r="E30" s="1099">
        <f>IF('[2]BASE'!E30=0,"",'[2]BASE'!E30)</f>
        <v>500</v>
      </c>
      <c r="F30" s="1099">
        <f>IF('[2]BASE'!F30=0,"",'[2]BASE'!F30)</f>
        <v>4.5</v>
      </c>
      <c r="G30" s="1100" t="str">
        <f>IF('[2]BASE'!G30=0,"",'[2]BASE'!G30)</f>
        <v>C</v>
      </c>
      <c r="H30" s="1098">
        <f>IF('[2]BASE'!FD30=0,"",'[2]BASE'!FD30)</f>
      </c>
      <c r="I30" s="1098">
        <f>IF('[2]BASE'!FE30=0,"",'[2]BASE'!FE30)</f>
      </c>
      <c r="J30" s="1098">
        <f>IF('[2]BASE'!FF30=0,"",'[2]BASE'!FF30)</f>
      </c>
      <c r="K30" s="1098">
        <f>IF('[2]BASE'!FG30=0,"",'[2]BASE'!FG30)</f>
      </c>
      <c r="L30" s="1098">
        <f>IF('[2]BASE'!FH30=0,"",'[2]BASE'!FH30)</f>
      </c>
      <c r="M30" s="1098">
        <f>IF('[2]BASE'!FI30=0,"",'[2]BASE'!FI30)</f>
      </c>
      <c r="N30" s="1098">
        <f>IF('[2]BASE'!FJ30=0,"",'[2]BASE'!FJ30)</f>
      </c>
      <c r="O30" s="1098">
        <f>IF('[2]BASE'!FK30=0,"",'[2]BASE'!FK30)</f>
      </c>
      <c r="P30" s="1094"/>
      <c r="Q30" s="1098">
        <f>IF('[2]BASE'!FM30=0,"",'[2]BASE'!FM30)</f>
      </c>
      <c r="R30" s="1098">
        <f>IF('[2]BASE'!FN30=0,"",'[2]BASE'!FN30)</f>
      </c>
      <c r="S30" s="1098">
        <f>IF('[2]BASE'!FO30=0,"",'[2]BASE'!FO30)</f>
      </c>
      <c r="T30" s="1098">
        <f>IF('[2]BASE'!FP30=0,"",'[2]BASE'!FP30)</f>
      </c>
      <c r="U30" s="1095"/>
    </row>
    <row r="31" spans="2:21" s="1090" customFormat="1" ht="19.5" customHeight="1">
      <c r="B31" s="1091"/>
      <c r="C31" s="1101">
        <f>IF('[2]BASE'!C31=0,"",'[2]BASE'!C31)</f>
        <v>15</v>
      </c>
      <c r="D31" s="1101" t="str">
        <f>IF('[2]BASE'!D31=0,"",'[2]BASE'!D31)</f>
        <v>CHOCON - C.H. CHOCON 1</v>
      </c>
      <c r="E31" s="1101">
        <f>IF('[2]BASE'!E31=0,"",'[2]BASE'!E31)</f>
        <v>500</v>
      </c>
      <c r="F31" s="1101">
        <f>IF('[2]BASE'!F31=0,"",'[2]BASE'!F31)</f>
        <v>3</v>
      </c>
      <c r="G31" s="1102" t="str">
        <f>IF('[2]BASE'!G31=0,"",'[2]BASE'!G31)</f>
        <v>C</v>
      </c>
      <c r="H31" s="1098">
        <f>IF('[2]BASE'!FD31=0,"",'[2]BASE'!FD31)</f>
      </c>
      <c r="I31" s="1098">
        <f>IF('[2]BASE'!FE31=0,"",'[2]BASE'!FE31)</f>
      </c>
      <c r="J31" s="1098">
        <f>IF('[2]BASE'!FF31=0,"",'[2]BASE'!FF31)</f>
      </c>
      <c r="K31" s="1098">
        <f>IF('[2]BASE'!FG31=0,"",'[2]BASE'!FG31)</f>
      </c>
      <c r="L31" s="1098">
        <f>IF('[2]BASE'!FH31=0,"",'[2]BASE'!FH31)</f>
      </c>
      <c r="M31" s="1098">
        <f>IF('[2]BASE'!FI31=0,"",'[2]BASE'!FI31)</f>
      </c>
      <c r="N31" s="1098">
        <f>IF('[2]BASE'!FJ31=0,"",'[2]BASE'!FJ31)</f>
      </c>
      <c r="O31" s="1098">
        <f>IF('[2]BASE'!FK31=0,"",'[2]BASE'!FK31)</f>
      </c>
      <c r="P31" s="1098">
        <f>IF('[2]BASE'!FL31=0,"",'[2]BASE'!FL31)</f>
      </c>
      <c r="Q31" s="1098">
        <f>IF('[2]BASE'!FM31=0,"",'[2]BASE'!FM31)</f>
      </c>
      <c r="R31" s="1098">
        <f>IF('[2]BASE'!FN31=0,"",'[2]BASE'!FN31)</f>
      </c>
      <c r="S31" s="1098">
        <f>IF('[2]BASE'!FO31=0,"",'[2]BASE'!FO31)</f>
      </c>
      <c r="T31" s="1098">
        <f>IF('[2]BASE'!FP31=0,"",'[2]BASE'!FP31)</f>
      </c>
      <c r="U31" s="1095"/>
    </row>
    <row r="32" spans="2:21" s="1090" customFormat="1" ht="19.5" customHeight="1">
      <c r="B32" s="1091"/>
      <c r="C32" s="1099">
        <f>IF('[2]BASE'!C32=0,"",'[2]BASE'!C32)</f>
        <v>16</v>
      </c>
      <c r="D32" s="1099" t="str">
        <f>IF('[2]BASE'!D32=0,"",'[2]BASE'!D32)</f>
        <v>CHOCON - C.H. CHOCON 2</v>
      </c>
      <c r="E32" s="1099">
        <f>IF('[2]BASE'!E32=0,"",'[2]BASE'!E32)</f>
        <v>500</v>
      </c>
      <c r="F32" s="1099">
        <f>IF('[2]BASE'!F32=0,"",'[2]BASE'!F32)</f>
        <v>3</v>
      </c>
      <c r="G32" s="1100" t="str">
        <f>IF('[2]BASE'!G32=0,"",'[2]BASE'!G32)</f>
        <v>C</v>
      </c>
      <c r="H32" s="1098">
        <f>IF('[2]BASE'!FD32=0,"",'[2]BASE'!FD32)</f>
      </c>
      <c r="I32" s="1098">
        <f>IF('[2]BASE'!FE32=0,"",'[2]BASE'!FE32)</f>
      </c>
      <c r="J32" s="1098">
        <f>IF('[2]BASE'!FF32=0,"",'[2]BASE'!FF32)</f>
      </c>
      <c r="K32" s="1098">
        <f>IF('[2]BASE'!FG32=0,"",'[2]BASE'!FG32)</f>
      </c>
      <c r="L32" s="1098">
        <f>IF('[2]BASE'!FH32=0,"",'[2]BASE'!FH32)</f>
      </c>
      <c r="M32" s="1098">
        <f>IF('[2]BASE'!FI32=0,"",'[2]BASE'!FI32)</f>
      </c>
      <c r="N32" s="1098">
        <f>IF('[2]BASE'!FJ32=0,"",'[2]BASE'!FJ32)</f>
      </c>
      <c r="O32" s="1098">
        <f>IF('[2]BASE'!FK32=0,"",'[2]BASE'!FK32)</f>
      </c>
      <c r="P32" s="1094"/>
      <c r="Q32" s="1098">
        <f>IF('[2]BASE'!FM32=0,"",'[2]BASE'!FM32)</f>
      </c>
      <c r="R32" s="1098">
        <f>IF('[2]BASE'!FN32=0,"",'[2]BASE'!FN32)</f>
      </c>
      <c r="S32" s="1098">
        <f>IF('[2]BASE'!FO32=0,"",'[2]BASE'!FO32)</f>
      </c>
      <c r="T32" s="1098">
        <f>IF('[2]BASE'!FP32=0,"",'[2]BASE'!FP32)</f>
      </c>
      <c r="U32" s="1095"/>
    </row>
    <row r="33" spans="2:21" s="1090" customFormat="1" ht="19.5" customHeight="1">
      <c r="B33" s="1091"/>
      <c r="C33" s="1101">
        <f>IF('[2]BASE'!C33=0,"",'[2]BASE'!C33)</f>
        <v>17</v>
      </c>
      <c r="D33" s="1101" t="str">
        <f>IF('[2]BASE'!D33=0,"",'[2]BASE'!D33)</f>
        <v>CHOCON - C.H. CHOCON 3</v>
      </c>
      <c r="E33" s="1101">
        <f>IF('[2]BASE'!E33=0,"",'[2]BASE'!E33)</f>
        <v>500</v>
      </c>
      <c r="F33" s="1101">
        <f>IF('[2]BASE'!F33=0,"",'[2]BASE'!F33)</f>
        <v>3</v>
      </c>
      <c r="G33" s="1102" t="str">
        <f>IF('[2]BASE'!G33=0,"",'[2]BASE'!G33)</f>
        <v>C</v>
      </c>
      <c r="H33" s="1098">
        <f>IF('[2]BASE'!FD33=0,"",'[2]BASE'!FD33)</f>
      </c>
      <c r="I33" s="1098">
        <f>IF('[2]BASE'!FE33=0,"",'[2]BASE'!FE33)</f>
      </c>
      <c r="J33" s="1098">
        <f>IF('[2]BASE'!FF33=0,"",'[2]BASE'!FF33)</f>
      </c>
      <c r="K33" s="1098">
        <f>IF('[2]BASE'!FG33=0,"",'[2]BASE'!FG33)</f>
      </c>
      <c r="L33" s="1098">
        <f>IF('[2]BASE'!FH33=0,"",'[2]BASE'!FH33)</f>
      </c>
      <c r="M33" s="1098">
        <f>IF('[2]BASE'!FI33=0,"",'[2]BASE'!FI33)</f>
      </c>
      <c r="N33" s="1098">
        <f>IF('[2]BASE'!FJ33=0,"",'[2]BASE'!FJ33)</f>
      </c>
      <c r="O33" s="1098">
        <f>IF('[2]BASE'!FK33=0,"",'[2]BASE'!FK33)</f>
      </c>
      <c r="P33" s="1098">
        <f>IF('[2]BASE'!FL33=0,"",'[2]BASE'!FL33)</f>
      </c>
      <c r="Q33" s="1098">
        <f>IF('[2]BASE'!FM33=0,"",'[2]BASE'!FM33)</f>
      </c>
      <c r="R33" s="1098">
        <f>IF('[2]BASE'!FN33=0,"",'[2]BASE'!FN33)</f>
      </c>
      <c r="S33" s="1098">
        <f>IF('[2]BASE'!FO33=0,"",'[2]BASE'!FO33)</f>
      </c>
      <c r="T33" s="1098">
        <f>IF('[2]BASE'!FP33=0,"",'[2]BASE'!FP33)</f>
      </c>
      <c r="U33" s="1095"/>
    </row>
    <row r="34" spans="2:21" s="1090" customFormat="1" ht="19.5" customHeight="1">
      <c r="B34" s="1091"/>
      <c r="C34" s="1099">
        <f>IF('[2]BASE'!C34=0,"",'[2]BASE'!C34)</f>
        <v>18</v>
      </c>
      <c r="D34" s="1099" t="str">
        <f>IF('[2]BASE'!D34=0,"",'[2]BASE'!D34)</f>
        <v>CHOCON - PUELCHES 1</v>
      </c>
      <c r="E34" s="1099">
        <f>IF('[2]BASE'!E34=0,"",'[2]BASE'!E34)</f>
        <v>500</v>
      </c>
      <c r="F34" s="1099">
        <f>IF('[2]BASE'!F34=0,"",'[2]BASE'!F34)</f>
        <v>304</v>
      </c>
      <c r="G34" s="1100" t="str">
        <f>IF('[2]BASE'!G34=0,"",'[2]BASE'!G34)</f>
        <v>A</v>
      </c>
      <c r="H34" s="1098">
        <f>IF('[2]BASE'!FD34=0,"",'[2]BASE'!FD34)</f>
      </c>
      <c r="I34" s="1098">
        <f>IF('[2]BASE'!FE34=0,"",'[2]BASE'!FE34)</f>
      </c>
      <c r="J34" s="1098">
        <f>IF('[2]BASE'!FF34=0,"",'[2]BASE'!FF34)</f>
      </c>
      <c r="K34" s="1098">
        <f>IF('[2]BASE'!FG34=0,"",'[2]BASE'!FG34)</f>
      </c>
      <c r="L34" s="1098">
        <f>IF('[2]BASE'!FH34=0,"",'[2]BASE'!FH34)</f>
      </c>
      <c r="M34" s="1098">
        <f>IF('[2]BASE'!FI34=0,"",'[2]BASE'!FI34)</f>
      </c>
      <c r="N34" s="1098">
        <f>IF('[2]BASE'!FJ34=0,"",'[2]BASE'!FJ34)</f>
      </c>
      <c r="O34" s="1098">
        <f>IF('[2]BASE'!FK34=0,"",'[2]BASE'!FK34)</f>
      </c>
      <c r="P34" s="1094"/>
      <c r="Q34" s="1098">
        <f>IF('[2]BASE'!FM34=0,"",'[2]BASE'!FM34)</f>
      </c>
      <c r="R34" s="1098">
        <f>IF('[2]BASE'!FN34=0,"",'[2]BASE'!FN34)</f>
      </c>
      <c r="S34" s="1098">
        <f>IF('[2]BASE'!FO34=0,"",'[2]BASE'!FO34)</f>
      </c>
      <c r="T34" s="1098">
        <f>IF('[2]BASE'!FP34=0,"",'[2]BASE'!FP34)</f>
      </c>
      <c r="U34" s="1095"/>
    </row>
    <row r="35" spans="2:21" s="1090" customFormat="1" ht="19.5" customHeight="1">
      <c r="B35" s="1091"/>
      <c r="C35" s="1101">
        <f>IF('[2]BASE'!C35=0,"",'[2]BASE'!C35)</f>
        <v>19</v>
      </c>
      <c r="D35" s="1101" t="str">
        <f>IF('[2]BASE'!D35=0,"",'[2]BASE'!D35)</f>
        <v>CHOCON - PUELCHES 2</v>
      </c>
      <c r="E35" s="1101">
        <f>IF('[2]BASE'!E35=0,"",'[2]BASE'!E35)</f>
        <v>500</v>
      </c>
      <c r="F35" s="1101">
        <f>IF('[2]BASE'!F35=0,"",'[2]BASE'!F35)</f>
        <v>304</v>
      </c>
      <c r="G35" s="1102" t="str">
        <f>IF('[2]BASE'!G35=0,"",'[2]BASE'!G35)</f>
        <v>A</v>
      </c>
      <c r="H35" s="1098">
        <f>IF('[2]BASE'!FD35=0,"",'[2]BASE'!FD35)</f>
      </c>
      <c r="I35" s="1098">
        <f>IF('[2]BASE'!FE35=0,"",'[2]BASE'!FE35)</f>
      </c>
      <c r="J35" s="1098">
        <f>IF('[2]BASE'!FF35=0,"",'[2]BASE'!FF35)</f>
      </c>
      <c r="K35" s="1098">
        <f>IF('[2]BASE'!FG35=0,"",'[2]BASE'!FG35)</f>
      </c>
      <c r="L35" s="1098">
        <f>IF('[2]BASE'!FH35=0,"",'[2]BASE'!FH35)</f>
      </c>
      <c r="M35" s="1098">
        <f>IF('[2]BASE'!FI35=0,"",'[2]BASE'!FI35)</f>
      </c>
      <c r="N35" s="1098">
        <f>IF('[2]BASE'!FJ35=0,"",'[2]BASE'!FJ35)</f>
      </c>
      <c r="O35" s="1098">
        <f>IF('[2]BASE'!FK35=0,"",'[2]BASE'!FK35)</f>
      </c>
      <c r="P35" s="1098">
        <f>IF('[2]BASE'!FL35=0,"",'[2]BASE'!FL35)</f>
      </c>
      <c r="Q35" s="1098">
        <f>IF('[2]BASE'!FM35=0,"",'[2]BASE'!FM35)</f>
      </c>
      <c r="R35" s="1098">
        <f>IF('[2]BASE'!FN35=0,"",'[2]BASE'!FN35)</f>
      </c>
      <c r="S35" s="1098">
        <f>IF('[2]BASE'!FO35=0,"",'[2]BASE'!FO35)</f>
      </c>
      <c r="T35" s="1098">
        <f>IF('[2]BASE'!FP35=0,"",'[2]BASE'!FP35)</f>
      </c>
      <c r="U35" s="1095"/>
    </row>
    <row r="36" spans="2:21" s="1090" customFormat="1" ht="19.5" customHeight="1">
      <c r="B36" s="1091"/>
      <c r="C36" s="1099">
        <f>IF('[2]BASE'!C36=0,"",'[2]BASE'!C36)</f>
        <v>20</v>
      </c>
      <c r="D36" s="1099" t="str">
        <f>IF('[2]BASE'!D36=0,"",'[2]BASE'!D36)</f>
        <v>E.T.P.del AGUILA - CENTRAL P.del A. 1</v>
      </c>
      <c r="E36" s="1099">
        <f>IF('[2]BASE'!E36=0,"",'[2]BASE'!E36)</f>
        <v>500</v>
      </c>
      <c r="F36" s="1099">
        <f>IF('[2]BASE'!F36=0,"",'[2]BASE'!F36)</f>
        <v>5.6</v>
      </c>
      <c r="G36" s="1100" t="str">
        <f>IF('[2]BASE'!G36=0,"",'[2]BASE'!G36)</f>
        <v>C</v>
      </c>
      <c r="H36" s="1098">
        <f>IF('[2]BASE'!FD36=0,"",'[2]BASE'!FD36)</f>
      </c>
      <c r="I36" s="1098">
        <f>IF('[2]BASE'!FE36=0,"",'[2]BASE'!FE36)</f>
      </c>
      <c r="J36" s="1098">
        <f>IF('[2]BASE'!FF36=0,"",'[2]BASE'!FF36)</f>
      </c>
      <c r="K36" s="1098">
        <f>IF('[2]BASE'!FG36=0,"",'[2]BASE'!FG36)</f>
      </c>
      <c r="L36" s="1098">
        <f>IF('[2]BASE'!FH36=0,"",'[2]BASE'!FH36)</f>
      </c>
      <c r="M36" s="1098">
        <f>IF('[2]BASE'!FI36=0,"",'[2]BASE'!FI36)</f>
      </c>
      <c r="N36" s="1098">
        <f>IF('[2]BASE'!FJ36=0,"",'[2]BASE'!FJ36)</f>
      </c>
      <c r="O36" s="1098">
        <f>IF('[2]BASE'!FK36=0,"",'[2]BASE'!FK36)</f>
      </c>
      <c r="P36" s="1094"/>
      <c r="Q36" s="1098">
        <f>IF('[2]BASE'!FM36=0,"",'[2]BASE'!FM36)</f>
      </c>
      <c r="R36" s="1098">
        <f>IF('[2]BASE'!FN36=0,"",'[2]BASE'!FN36)</f>
      </c>
      <c r="S36" s="1098">
        <f>IF('[2]BASE'!FO36=0,"",'[2]BASE'!FO36)</f>
      </c>
      <c r="T36" s="1098">
        <f>IF('[2]BASE'!FP36=0,"",'[2]BASE'!FP36)</f>
      </c>
      <c r="U36" s="1095"/>
    </row>
    <row r="37" spans="2:21" s="1090" customFormat="1" ht="19.5" customHeight="1">
      <c r="B37" s="1091"/>
      <c r="C37" s="1101">
        <f>IF('[2]BASE'!C37=0,"",'[2]BASE'!C37)</f>
        <v>21</v>
      </c>
      <c r="D37" s="1101" t="str">
        <f>IF('[2]BASE'!D37=0,"",'[2]BASE'!D37)</f>
        <v>E.T.P.del AGUILA - CENTRAL P.del A. 2</v>
      </c>
      <c r="E37" s="1101">
        <f>IF('[2]BASE'!E37=0,"",'[2]BASE'!E37)</f>
        <v>500</v>
      </c>
      <c r="F37" s="1101">
        <f>IF('[2]BASE'!F37=0,"",'[2]BASE'!F37)</f>
        <v>5.6</v>
      </c>
      <c r="G37" s="1102" t="str">
        <f>IF('[2]BASE'!G37=0,"",'[2]BASE'!G37)</f>
        <v>C</v>
      </c>
      <c r="H37" s="1098">
        <f>IF('[2]BASE'!FD37=0,"",'[2]BASE'!FD37)</f>
      </c>
      <c r="I37" s="1098">
        <f>IF('[2]BASE'!FE37=0,"",'[2]BASE'!FE37)</f>
      </c>
      <c r="J37" s="1098">
        <f>IF('[2]BASE'!FF37=0,"",'[2]BASE'!FF37)</f>
      </c>
      <c r="K37" s="1098">
        <f>IF('[2]BASE'!FG37=0,"",'[2]BASE'!FG37)</f>
      </c>
      <c r="L37" s="1098">
        <f>IF('[2]BASE'!FH37=0,"",'[2]BASE'!FH37)</f>
      </c>
      <c r="M37" s="1098">
        <f>IF('[2]BASE'!FI37=0,"",'[2]BASE'!FI37)</f>
      </c>
      <c r="N37" s="1098">
        <f>IF('[2]BASE'!FJ37=0,"",'[2]BASE'!FJ37)</f>
      </c>
      <c r="O37" s="1098">
        <f>IF('[2]BASE'!FK37=0,"",'[2]BASE'!FK37)</f>
      </c>
      <c r="P37" s="1098">
        <f>IF('[2]BASE'!FL37=0,"",'[2]BASE'!FL37)</f>
      </c>
      <c r="Q37" s="1098">
        <f>IF('[2]BASE'!FM37=0,"",'[2]BASE'!FM37)</f>
      </c>
      <c r="R37" s="1098">
        <f>IF('[2]BASE'!FN37=0,"",'[2]BASE'!FN37)</f>
      </c>
      <c r="S37" s="1098">
        <f>IF('[2]BASE'!FO37=0,"",'[2]BASE'!FO37)</f>
      </c>
      <c r="T37" s="1098">
        <f>IF('[2]BASE'!FP37=0,"",'[2]BASE'!FP37)</f>
      </c>
      <c r="U37" s="1095"/>
    </row>
    <row r="38" spans="2:21" s="1090" customFormat="1" ht="19.5" customHeight="1">
      <c r="B38" s="1091"/>
      <c r="C38" s="1099">
        <f>IF('[2]BASE'!C38=0,"",'[2]BASE'!C38)</f>
        <v>22</v>
      </c>
      <c r="D38" s="1099" t="str">
        <f>IF('[2]BASE'!D38=0,"",'[2]BASE'!D38)</f>
        <v>EL BRACHO - RECREO(5)</v>
      </c>
      <c r="E38" s="1099">
        <f>IF('[2]BASE'!E38=0,"",'[2]BASE'!E38)</f>
        <v>500</v>
      </c>
      <c r="F38" s="1099">
        <f>IF('[2]BASE'!F38=0,"",'[2]BASE'!F38)</f>
        <v>255</v>
      </c>
      <c r="G38" s="1100" t="str">
        <f>IF('[2]BASE'!G38=0,"",'[2]BASE'!G38)</f>
        <v>C</v>
      </c>
      <c r="H38" s="1098">
        <f>IF('[2]BASE'!FD38=0,"",'[2]BASE'!FD38)</f>
      </c>
      <c r="I38" s="1098">
        <f>IF('[2]BASE'!FE38=0,"",'[2]BASE'!FE38)</f>
      </c>
      <c r="J38" s="1098">
        <f>IF('[2]BASE'!FF38=0,"",'[2]BASE'!FF38)</f>
      </c>
      <c r="K38" s="1098">
        <f>IF('[2]BASE'!FG38=0,"",'[2]BASE'!FG38)</f>
      </c>
      <c r="L38" s="1098">
        <f>IF('[2]BASE'!FH38=0,"",'[2]BASE'!FH38)</f>
      </c>
      <c r="M38" s="1098">
        <f>IF('[2]BASE'!FI38=0,"",'[2]BASE'!FI38)</f>
      </c>
      <c r="N38" s="1098">
        <f>IF('[2]BASE'!FJ38=0,"",'[2]BASE'!FJ38)</f>
      </c>
      <c r="O38" s="1098">
        <f>IF('[2]BASE'!FK38=0,"",'[2]BASE'!FK38)</f>
      </c>
      <c r="P38" s="1094"/>
      <c r="Q38" s="1098">
        <f>IF('[2]BASE'!FM38=0,"",'[2]BASE'!FM38)</f>
      </c>
      <c r="R38" s="1098">
        <f>IF('[2]BASE'!FN38=0,"",'[2]BASE'!FN38)</f>
      </c>
      <c r="S38" s="1098">
        <f>IF('[2]BASE'!FO38=0,"",'[2]BASE'!FO38)</f>
      </c>
      <c r="T38" s="1098">
        <f>IF('[2]BASE'!FP38=0,"",'[2]BASE'!FP38)</f>
      </c>
      <c r="U38" s="1095"/>
    </row>
    <row r="39" spans="2:21" s="1090" customFormat="1" ht="19.5" customHeight="1">
      <c r="B39" s="1091"/>
      <c r="C39" s="1101">
        <f>IF('[2]BASE'!C39=0,"",'[2]BASE'!C39)</f>
        <v>23</v>
      </c>
      <c r="D39" s="1101" t="str">
        <f>IF('[2]BASE'!D39=0,"",'[2]BASE'!D39)</f>
        <v>EZEIZA - ABASTO 1</v>
      </c>
      <c r="E39" s="1101">
        <f>IF('[2]BASE'!E39=0,"",'[2]BASE'!E39)</f>
        <v>500</v>
      </c>
      <c r="F39" s="1101">
        <f>IF('[2]BASE'!F39=0,"",'[2]BASE'!F39)</f>
        <v>58</v>
      </c>
      <c r="G39" s="1102" t="str">
        <f>IF('[2]BASE'!G39=0,"",'[2]BASE'!G39)</f>
        <v>C</v>
      </c>
      <c r="H39" s="1098">
        <f>IF('[2]BASE'!FD39=0,"",'[2]BASE'!FD39)</f>
      </c>
      <c r="I39" s="1098">
        <f>IF('[2]BASE'!FE39=0,"",'[2]BASE'!FE39)</f>
      </c>
      <c r="J39" s="1098">
        <f>IF('[2]BASE'!FF39=0,"",'[2]BASE'!FF39)</f>
      </c>
      <c r="K39" s="1098">
        <f>IF('[2]BASE'!FG39=0,"",'[2]BASE'!FG39)</f>
      </c>
      <c r="L39" s="1098">
        <f>IF('[2]BASE'!FH39=0,"",'[2]BASE'!FH39)</f>
      </c>
      <c r="M39" s="1098">
        <f>IF('[2]BASE'!FI39=0,"",'[2]BASE'!FI39)</f>
      </c>
      <c r="N39" s="1098">
        <f>IF('[2]BASE'!FJ39=0,"",'[2]BASE'!FJ39)</f>
      </c>
      <c r="O39" s="1098">
        <f>IF('[2]BASE'!FK39=0,"",'[2]BASE'!FK39)</f>
      </c>
      <c r="P39" s="1098">
        <f>IF('[2]BASE'!FL39=0,"",'[2]BASE'!FL39)</f>
      </c>
      <c r="Q39" s="1098">
        <f>IF('[2]BASE'!FM39=0,"",'[2]BASE'!FM39)</f>
      </c>
      <c r="R39" s="1098">
        <f>IF('[2]BASE'!FN39=0,"",'[2]BASE'!FN39)</f>
      </c>
      <c r="S39" s="1098">
        <f>IF('[2]BASE'!FO39=0,"",'[2]BASE'!FO39)</f>
      </c>
      <c r="T39" s="1098">
        <f>IF('[2]BASE'!FP39=0,"",'[2]BASE'!FP39)</f>
      </c>
      <c r="U39" s="1095"/>
    </row>
    <row r="40" spans="2:21" s="1090" customFormat="1" ht="19.5" customHeight="1">
      <c r="B40" s="1091"/>
      <c r="C40" s="1099">
        <f>IF('[2]BASE'!C40=0,"",'[2]BASE'!C40)</f>
        <v>24</v>
      </c>
      <c r="D40" s="1099" t="str">
        <f>IF('[2]BASE'!D40=0,"",'[2]BASE'!D40)</f>
        <v>EZEIZA - ABASTO 2</v>
      </c>
      <c r="E40" s="1099">
        <f>IF('[2]BASE'!E40=0,"",'[2]BASE'!E40)</f>
        <v>500</v>
      </c>
      <c r="F40" s="1099">
        <f>IF('[2]BASE'!F40=0,"",'[2]BASE'!F40)</f>
        <v>58</v>
      </c>
      <c r="G40" s="1100" t="str">
        <f>IF('[2]BASE'!G40=0,"",'[2]BASE'!G40)</f>
        <v>C</v>
      </c>
      <c r="H40" s="1098">
        <f>IF('[2]BASE'!FD40=0,"",'[2]BASE'!FD40)</f>
      </c>
      <c r="I40" s="1098">
        <f>IF('[2]BASE'!FE40=0,"",'[2]BASE'!FE40)</f>
      </c>
      <c r="J40" s="1098">
        <f>IF('[2]BASE'!FF40=0,"",'[2]BASE'!FF40)</f>
      </c>
      <c r="K40" s="1098">
        <f>IF('[2]BASE'!FG40=0,"",'[2]BASE'!FG40)</f>
      </c>
      <c r="L40" s="1098">
        <f>IF('[2]BASE'!FH40=0,"",'[2]BASE'!FH40)</f>
      </c>
      <c r="M40" s="1098">
        <f>IF('[2]BASE'!FI40=0,"",'[2]BASE'!FI40)</f>
      </c>
      <c r="N40" s="1098">
        <f>IF('[2]BASE'!FJ40=0,"",'[2]BASE'!FJ40)</f>
      </c>
      <c r="O40" s="1098">
        <f>IF('[2]BASE'!FK40=0,"",'[2]BASE'!FK40)</f>
      </c>
      <c r="P40" s="1094"/>
      <c r="Q40" s="1098">
        <f>IF('[2]BASE'!FM40=0,"",'[2]BASE'!FM40)</f>
      </c>
      <c r="R40" s="1098">
        <f>IF('[2]BASE'!FN40=0,"",'[2]BASE'!FN40)</f>
      </c>
      <c r="S40" s="1098">
        <f>IF('[2]BASE'!FO40=0,"",'[2]BASE'!FO40)</f>
      </c>
      <c r="T40" s="1098">
        <f>IF('[2]BASE'!FP40=0,"",'[2]BASE'!FP40)</f>
      </c>
      <c r="U40" s="1095"/>
    </row>
    <row r="41" spans="2:21" s="1090" customFormat="1" ht="19.5" customHeight="1">
      <c r="B41" s="1091"/>
      <c r="C41" s="1101">
        <f>IF('[2]BASE'!C41=0,"",'[2]BASE'!C41)</f>
        <v>25</v>
      </c>
      <c r="D41" s="1101" t="str">
        <f>IF('[2]BASE'!D41=0,"",'[2]BASE'!D41)</f>
        <v>EZEIZA - RODRIGUEZ 1</v>
      </c>
      <c r="E41" s="1101">
        <f>IF('[2]BASE'!E41=0,"",'[2]BASE'!E41)</f>
        <v>500</v>
      </c>
      <c r="F41" s="1101">
        <f>IF('[2]BASE'!F41=0,"",'[2]BASE'!F41)</f>
        <v>53</v>
      </c>
      <c r="G41" s="1102" t="str">
        <f>IF('[2]BASE'!G41=0,"",'[2]BASE'!G41)</f>
        <v>C</v>
      </c>
      <c r="H41" s="1098">
        <f>IF('[2]BASE'!FD41=0,"",'[2]BASE'!FD41)</f>
      </c>
      <c r="I41" s="1098">
        <f>IF('[2]BASE'!FE41=0,"",'[2]BASE'!FE41)</f>
      </c>
      <c r="J41" s="1098">
        <f>IF('[2]BASE'!FF41=0,"",'[2]BASE'!FF41)</f>
      </c>
      <c r="K41" s="1098">
        <f>IF('[2]BASE'!FG41=0,"",'[2]BASE'!FG41)</f>
      </c>
      <c r="L41" s="1098">
        <f>IF('[2]BASE'!FH41=0,"",'[2]BASE'!FH41)</f>
      </c>
      <c r="M41" s="1098">
        <f>IF('[2]BASE'!FI41=0,"",'[2]BASE'!FI41)</f>
      </c>
      <c r="N41" s="1098">
        <f>IF('[2]BASE'!FJ41=0,"",'[2]BASE'!FJ41)</f>
      </c>
      <c r="O41" s="1098">
        <f>IF('[2]BASE'!FK41=0,"",'[2]BASE'!FK41)</f>
      </c>
      <c r="P41" s="1098">
        <f>IF('[2]BASE'!FL41=0,"",'[2]BASE'!FL41)</f>
      </c>
      <c r="Q41" s="1098">
        <f>IF('[2]BASE'!FM41=0,"",'[2]BASE'!FM41)</f>
      </c>
      <c r="R41" s="1098">
        <f>IF('[2]BASE'!FN41=0,"",'[2]BASE'!FN41)</f>
      </c>
      <c r="S41" s="1098">
        <f>IF('[2]BASE'!FO41=0,"",'[2]BASE'!FO41)</f>
      </c>
      <c r="T41" s="1098">
        <f>IF('[2]BASE'!FP41=0,"",'[2]BASE'!FP41)</f>
      </c>
      <c r="U41" s="1095"/>
    </row>
    <row r="42" spans="2:21" s="1090" customFormat="1" ht="19.5" customHeight="1">
      <c r="B42" s="1091"/>
      <c r="C42" s="1099">
        <f>IF('[2]BASE'!C42=0,"",'[2]BASE'!C42)</f>
        <v>26</v>
      </c>
      <c r="D42" s="1099" t="str">
        <f>IF('[2]BASE'!D42=0,"",'[2]BASE'!D42)</f>
        <v>EZEIZA - RODRIGUEZ 2</v>
      </c>
      <c r="E42" s="1099">
        <f>IF('[2]BASE'!E42=0,"",'[2]BASE'!E42)</f>
        <v>500</v>
      </c>
      <c r="F42" s="1099">
        <f>IF('[2]BASE'!F42=0,"",'[2]BASE'!F42)</f>
        <v>53</v>
      </c>
      <c r="G42" s="1100" t="str">
        <f>IF('[2]BASE'!G42=0,"",'[2]BASE'!G42)</f>
        <v>C</v>
      </c>
      <c r="H42" s="1098">
        <f>IF('[2]BASE'!FD42=0,"",'[2]BASE'!FD42)</f>
      </c>
      <c r="I42" s="1098">
        <f>IF('[2]BASE'!FE42=0,"",'[2]BASE'!FE42)</f>
      </c>
      <c r="J42" s="1098">
        <f>IF('[2]BASE'!FF42=0,"",'[2]BASE'!FF42)</f>
      </c>
      <c r="K42" s="1098">
        <f>IF('[2]BASE'!FG42=0,"",'[2]BASE'!FG42)</f>
      </c>
      <c r="L42" s="1098">
        <f>IF('[2]BASE'!FH42=0,"",'[2]BASE'!FH42)</f>
      </c>
      <c r="M42" s="1098">
        <f>IF('[2]BASE'!FI42=0,"",'[2]BASE'!FI42)</f>
      </c>
      <c r="N42" s="1098">
        <f>IF('[2]BASE'!FJ42=0,"",'[2]BASE'!FJ42)</f>
      </c>
      <c r="O42" s="1098">
        <f>IF('[2]BASE'!FK42=0,"",'[2]BASE'!FK42)</f>
      </c>
      <c r="P42" s="1094"/>
      <c r="Q42" s="1098">
        <f>IF('[2]BASE'!FM42=0,"",'[2]BASE'!FM42)</f>
      </c>
      <c r="R42" s="1098">
        <f>IF('[2]BASE'!FN42=0,"",'[2]BASE'!FN42)</f>
      </c>
      <c r="S42" s="1098">
        <f>IF('[2]BASE'!FO42=0,"",'[2]BASE'!FO42)</f>
      </c>
      <c r="T42" s="1098">
        <f>IF('[2]BASE'!FP42=0,"",'[2]BASE'!FP42)</f>
      </c>
      <c r="U42" s="1095"/>
    </row>
    <row r="43" spans="2:21" s="1090" customFormat="1" ht="19.5" customHeight="1">
      <c r="B43" s="1091"/>
      <c r="C43" s="1101">
        <f>IF('[2]BASE'!C43=0,"",'[2]BASE'!C43)</f>
        <v>27</v>
      </c>
      <c r="D43" s="1101" t="str">
        <f>IF('[2]BASE'!D43=0,"",'[2]BASE'!D43)</f>
        <v>EZEIZA- HENDERSON 1</v>
      </c>
      <c r="E43" s="1101">
        <f>IF('[2]BASE'!E43=0,"",'[2]BASE'!E43)</f>
        <v>500</v>
      </c>
      <c r="F43" s="1101">
        <f>IF('[2]BASE'!F43=0,"",'[2]BASE'!F43)</f>
        <v>313</v>
      </c>
      <c r="G43" s="1102" t="str">
        <f>IF('[2]BASE'!G43=0,"",'[2]BASE'!G43)</f>
        <v>A</v>
      </c>
      <c r="H43" s="1098">
        <f>IF('[2]BASE'!FD43=0,"",'[2]BASE'!FD43)</f>
      </c>
      <c r="I43" s="1098">
        <f>IF('[2]BASE'!FE43=0,"",'[2]BASE'!FE43)</f>
      </c>
      <c r="J43" s="1098">
        <f>IF('[2]BASE'!FF43=0,"",'[2]BASE'!FF43)</f>
      </c>
      <c r="K43" s="1098">
        <f>IF('[2]BASE'!FG43=0,"",'[2]BASE'!FG43)</f>
      </c>
      <c r="L43" s="1098">
        <f>IF('[2]BASE'!FH43=0,"",'[2]BASE'!FH43)</f>
      </c>
      <c r="M43" s="1098">
        <f>IF('[2]BASE'!FI43=0,"",'[2]BASE'!FI43)</f>
      </c>
      <c r="N43" s="1098">
        <f>IF('[2]BASE'!FJ43=0,"",'[2]BASE'!FJ43)</f>
      </c>
      <c r="O43" s="1098">
        <f>IF('[2]BASE'!FK43=0,"",'[2]BASE'!FK43)</f>
      </c>
      <c r="P43" s="1098">
        <f>IF('[2]BASE'!FL43=0,"",'[2]BASE'!FL43)</f>
      </c>
      <c r="Q43" s="1098">
        <f>IF('[2]BASE'!FM43=0,"",'[2]BASE'!FM43)</f>
        <v>1</v>
      </c>
      <c r="R43" s="1098">
        <f>IF('[2]BASE'!FN43=0,"",'[2]BASE'!FN43)</f>
      </c>
      <c r="S43" s="1098">
        <f>IF('[2]BASE'!FO43=0,"",'[2]BASE'!FO43)</f>
      </c>
      <c r="T43" s="1098">
        <f>IF('[2]BASE'!FP43=0,"",'[2]BASE'!FP43)</f>
      </c>
      <c r="U43" s="1095"/>
    </row>
    <row r="44" spans="2:21" s="1090" customFormat="1" ht="19.5" customHeight="1">
      <c r="B44" s="1091"/>
      <c r="C44" s="1099">
        <f>IF('[2]BASE'!C44=0,"",'[2]BASE'!C44)</f>
        <v>28</v>
      </c>
      <c r="D44" s="1099" t="str">
        <f>IF('[2]BASE'!D44=0,"",'[2]BASE'!D44)</f>
        <v>EZEIZA - HENDERSON 2</v>
      </c>
      <c r="E44" s="1099">
        <f>IF('[2]BASE'!E44=0,"",'[2]BASE'!E44)</f>
        <v>500</v>
      </c>
      <c r="F44" s="1099">
        <f>IF('[2]BASE'!F44=0,"",'[2]BASE'!F44)</f>
        <v>313</v>
      </c>
      <c r="G44" s="1100" t="str">
        <f>IF('[2]BASE'!G44=0,"",'[2]BASE'!G44)</f>
        <v>A</v>
      </c>
      <c r="H44" s="1098">
        <f>IF('[2]BASE'!FD44=0,"",'[2]BASE'!FD44)</f>
      </c>
      <c r="I44" s="1098">
        <f>IF('[2]BASE'!FE44=0,"",'[2]BASE'!FE44)</f>
      </c>
      <c r="J44" s="1098">
        <f>IF('[2]BASE'!FF44=0,"",'[2]BASE'!FF44)</f>
      </c>
      <c r="K44" s="1098">
        <f>IF('[2]BASE'!FG44=0,"",'[2]BASE'!FG44)</f>
      </c>
      <c r="L44" s="1098">
        <f>IF('[2]BASE'!FH44=0,"",'[2]BASE'!FH44)</f>
      </c>
      <c r="M44" s="1098">
        <f>IF('[2]BASE'!FI44=0,"",'[2]BASE'!FI44)</f>
      </c>
      <c r="N44" s="1098">
        <f>IF('[2]BASE'!FJ44=0,"",'[2]BASE'!FJ44)</f>
      </c>
      <c r="O44" s="1098">
        <f>IF('[2]BASE'!FK44=0,"",'[2]BASE'!FK44)</f>
      </c>
      <c r="P44" s="1094"/>
      <c r="Q44" s="1098">
        <f>IF('[2]BASE'!FM44=0,"",'[2]BASE'!FM44)</f>
        <v>1</v>
      </c>
      <c r="R44" s="1098">
        <f>IF('[2]BASE'!FN44=0,"",'[2]BASE'!FN44)</f>
      </c>
      <c r="S44" s="1098">
        <f>IF('[2]BASE'!FO44=0,"",'[2]BASE'!FO44)</f>
        <v>1</v>
      </c>
      <c r="T44" s="1098">
        <f>IF('[2]BASE'!FP44=0,"",'[2]BASE'!FP44)</f>
      </c>
      <c r="U44" s="1095"/>
    </row>
    <row r="45" spans="2:21" s="1090" customFormat="1" ht="19.5" customHeight="1">
      <c r="B45" s="1091"/>
      <c r="C45" s="1101">
        <f>IF('[2]BASE'!C45=0,"",'[2]BASE'!C45)</f>
        <v>29</v>
      </c>
      <c r="D45" s="1101" t="str">
        <f>IF('[2]BASE'!D45=0,"",'[2]BASE'!D45)</f>
        <v>GRAL. RODRIGUEZ - CAMPANA </v>
      </c>
      <c r="E45" s="1101">
        <f>IF('[2]BASE'!E45=0,"",'[2]BASE'!E45)</f>
        <v>500</v>
      </c>
      <c r="F45" s="1101">
        <f>IF('[2]BASE'!F45=0,"",'[2]BASE'!F45)</f>
        <v>42</v>
      </c>
      <c r="G45" s="1102" t="str">
        <f>IF('[2]BASE'!G45=0,"",'[2]BASE'!G45)</f>
        <v>B</v>
      </c>
      <c r="H45" s="1098">
        <f>IF('[2]BASE'!FD45=0,"",'[2]BASE'!FD45)</f>
      </c>
      <c r="I45" s="1098">
        <f>IF('[2]BASE'!FE45=0,"",'[2]BASE'!FE45)</f>
      </c>
      <c r="J45" s="1098">
        <f>IF('[2]BASE'!FF45=0,"",'[2]BASE'!FF45)</f>
      </c>
      <c r="K45" s="1098">
        <f>IF('[2]BASE'!FG45=0,"",'[2]BASE'!FG45)</f>
      </c>
      <c r="L45" s="1098">
        <f>IF('[2]BASE'!FH45=0,"",'[2]BASE'!FH45)</f>
      </c>
      <c r="M45" s="1098">
        <f>IF('[2]BASE'!FI45=0,"",'[2]BASE'!FI45)</f>
      </c>
      <c r="N45" s="1098">
        <f>IF('[2]BASE'!FJ45=0,"",'[2]BASE'!FJ45)</f>
      </c>
      <c r="O45" s="1098">
        <f>IF('[2]BASE'!FK45=0,"",'[2]BASE'!FK45)</f>
      </c>
      <c r="P45" s="1098">
        <f>IF('[2]BASE'!FL45=0,"",'[2]BASE'!FL45)</f>
      </c>
      <c r="Q45" s="1098">
        <f>IF('[2]BASE'!FM45=0,"",'[2]BASE'!FM45)</f>
      </c>
      <c r="R45" s="1098">
        <f>IF('[2]BASE'!FN45=0,"",'[2]BASE'!FN45)</f>
      </c>
      <c r="S45" s="1098">
        <f>IF('[2]BASE'!FO45=0,"",'[2]BASE'!FO45)</f>
      </c>
      <c r="T45" s="1098">
        <f>IF('[2]BASE'!FP45=0,"",'[2]BASE'!FP45)</f>
        <v>1</v>
      </c>
      <c r="U45" s="1095"/>
    </row>
    <row r="46" spans="2:21" s="1090" customFormat="1" ht="19.5" customHeight="1">
      <c r="B46" s="1091"/>
      <c r="C46" s="1099">
        <f>IF('[2]BASE'!C46=0,"",'[2]BASE'!C46)</f>
        <v>30</v>
      </c>
      <c r="D46" s="1099" t="str">
        <f>IF('[2]BASE'!D46=0,"",'[2]BASE'!D46)</f>
        <v>GRAL. RODRIGUEZ- ROSARIO OESTE </v>
      </c>
      <c r="E46" s="1099">
        <f>IF('[2]BASE'!E46=0,"",'[2]BASE'!E46)</f>
        <v>500</v>
      </c>
      <c r="F46" s="1099">
        <f>IF('[2]BASE'!F46=0,"",'[2]BASE'!F46)</f>
        <v>258</v>
      </c>
      <c r="G46" s="1100" t="str">
        <f>IF('[2]BASE'!G46=0,"",'[2]BASE'!G46)</f>
        <v>C</v>
      </c>
      <c r="H46" s="1098" t="str">
        <f>IF('[2]BASE'!FD46=0,"",'[2]BASE'!FD46)</f>
        <v>XXXX</v>
      </c>
      <c r="I46" s="1098" t="str">
        <f>IF('[2]BASE'!FE46=0,"",'[2]BASE'!FE46)</f>
        <v>XXXX</v>
      </c>
      <c r="J46" s="1098" t="str">
        <f>IF('[2]BASE'!FF46=0,"",'[2]BASE'!FF46)</f>
        <v>XXXX</v>
      </c>
      <c r="K46" s="1098" t="str">
        <f>IF('[2]BASE'!FG46=0,"",'[2]BASE'!FG46)</f>
        <v>XXXX</v>
      </c>
      <c r="L46" s="1098" t="str">
        <f>IF('[2]BASE'!FH46=0,"",'[2]BASE'!FH46)</f>
        <v>XXXX</v>
      </c>
      <c r="M46" s="1098" t="str">
        <f>IF('[2]BASE'!FI46=0,"",'[2]BASE'!FI46)</f>
        <v>XXXX</v>
      </c>
      <c r="N46" s="1098" t="str">
        <f>IF('[2]BASE'!FJ46=0,"",'[2]BASE'!FJ46)</f>
        <v>XXXX</v>
      </c>
      <c r="O46" s="1098" t="str">
        <f>IF('[2]BASE'!FK46=0,"",'[2]BASE'!FK46)</f>
        <v>XXXX</v>
      </c>
      <c r="P46" s="1094"/>
      <c r="Q46" s="1098" t="str">
        <f>IF('[2]BASE'!FM46=0,"",'[2]BASE'!FM46)</f>
        <v>XXXX</v>
      </c>
      <c r="R46" s="1098" t="str">
        <f>IF('[2]BASE'!FN46=0,"",'[2]BASE'!FN46)</f>
        <v>XXXX</v>
      </c>
      <c r="S46" s="1098" t="str">
        <f>IF('[2]BASE'!FO46=0,"",'[2]BASE'!FO46)</f>
        <v>XXXX</v>
      </c>
      <c r="T46" s="1098" t="str">
        <f>IF('[2]BASE'!FP46=0,"",'[2]BASE'!FP46)</f>
        <v>XXXX</v>
      </c>
      <c r="U46" s="1095"/>
    </row>
    <row r="47" spans="2:21" s="1090" customFormat="1" ht="19.5" customHeight="1">
      <c r="B47" s="1091"/>
      <c r="C47" s="1101">
        <f>IF('[2]BASE'!C47=0,"",'[2]BASE'!C47)</f>
        <v>31</v>
      </c>
      <c r="D47" s="1101" t="str">
        <f>IF('[2]BASE'!D47=0,"",'[2]BASE'!D47)</f>
        <v>MALVINAS ARG. - ALMAFUERTE </v>
      </c>
      <c r="E47" s="1101">
        <f>IF('[2]BASE'!E47=0,"",'[2]BASE'!E47)</f>
        <v>500</v>
      </c>
      <c r="F47" s="1101">
        <f>IF('[2]BASE'!F47=0,"",'[2]BASE'!F47)</f>
        <v>105</v>
      </c>
      <c r="G47" s="1102" t="str">
        <f>IF('[2]BASE'!G47=0,"",'[2]BASE'!G47)</f>
        <v>B</v>
      </c>
      <c r="H47" s="1098">
        <f>IF('[2]BASE'!FD47=0,"",'[2]BASE'!FD47)</f>
      </c>
      <c r="I47" s="1098">
        <f>IF('[2]BASE'!FE47=0,"",'[2]BASE'!FE47)</f>
      </c>
      <c r="J47" s="1098">
        <f>IF('[2]BASE'!FF47=0,"",'[2]BASE'!FF47)</f>
      </c>
      <c r="K47" s="1098">
        <f>IF('[2]BASE'!FG47=0,"",'[2]BASE'!FG47)</f>
        <v>1</v>
      </c>
      <c r="L47" s="1098">
        <f>IF('[2]BASE'!FH47=0,"",'[2]BASE'!FH47)</f>
      </c>
      <c r="M47" s="1098">
        <f>IF('[2]BASE'!FI47=0,"",'[2]BASE'!FI47)</f>
      </c>
      <c r="N47" s="1098">
        <f>IF('[2]BASE'!FJ47=0,"",'[2]BASE'!FJ47)</f>
      </c>
      <c r="O47" s="1098">
        <f>IF('[2]BASE'!FK47=0,"",'[2]BASE'!FK47)</f>
      </c>
      <c r="P47" s="1098">
        <f>IF('[2]BASE'!FL47=0,"",'[2]BASE'!FL47)</f>
      </c>
      <c r="Q47" s="1098">
        <f>IF('[2]BASE'!FM47=0,"",'[2]BASE'!FM47)</f>
      </c>
      <c r="R47" s="1098">
        <f>IF('[2]BASE'!FN47=0,"",'[2]BASE'!FN47)</f>
      </c>
      <c r="S47" s="1098">
        <f>IF('[2]BASE'!FO47=0,"",'[2]BASE'!FO47)</f>
      </c>
      <c r="T47" s="1098">
        <f>IF('[2]BASE'!FP47=0,"",'[2]BASE'!FP47)</f>
      </c>
      <c r="U47" s="1095"/>
    </row>
    <row r="48" spans="2:21" s="1090" customFormat="1" ht="19.5" customHeight="1">
      <c r="B48" s="1091"/>
      <c r="C48" s="1099">
        <f>IF('[2]BASE'!C48=0,"",'[2]BASE'!C48)</f>
        <v>32</v>
      </c>
      <c r="D48" s="1099" t="str">
        <f>IF('[2]BASE'!D48=0,"",'[2]BASE'!D48)</f>
        <v>OLAVARRIA - BAHIA BLANCA 1</v>
      </c>
      <c r="E48" s="1099">
        <f>IF('[2]BASE'!E48=0,"",'[2]BASE'!E48)</f>
        <v>500</v>
      </c>
      <c r="F48" s="1099">
        <f>IF('[2]BASE'!F48=0,"",'[2]BASE'!F48)</f>
        <v>255</v>
      </c>
      <c r="G48" s="1100" t="str">
        <f>IF('[2]BASE'!G48=0,"",'[2]BASE'!G48)</f>
        <v>B</v>
      </c>
      <c r="H48" s="1098">
        <f>IF('[2]BASE'!FD48=0,"",'[2]BASE'!FD48)</f>
      </c>
      <c r="I48" s="1098">
        <f>IF('[2]BASE'!FE48=0,"",'[2]BASE'!FE48)</f>
      </c>
      <c r="J48" s="1098">
        <f>IF('[2]BASE'!FF48=0,"",'[2]BASE'!FF48)</f>
      </c>
      <c r="K48" s="1098">
        <f>IF('[2]BASE'!FG48=0,"",'[2]BASE'!FG48)</f>
        <v>1</v>
      </c>
      <c r="L48" s="1098">
        <f>IF('[2]BASE'!FH48=0,"",'[2]BASE'!FH48)</f>
      </c>
      <c r="M48" s="1098">
        <f>IF('[2]BASE'!FI48=0,"",'[2]BASE'!FI48)</f>
      </c>
      <c r="N48" s="1098">
        <f>IF('[2]BASE'!FJ48=0,"",'[2]BASE'!FJ48)</f>
      </c>
      <c r="O48" s="1098">
        <f>IF('[2]BASE'!FK48=0,"",'[2]BASE'!FK48)</f>
      </c>
      <c r="P48" s="1094"/>
      <c r="Q48" s="1098">
        <f>IF('[2]BASE'!FM48=0,"",'[2]BASE'!FM48)</f>
      </c>
      <c r="R48" s="1098">
        <f>IF('[2]BASE'!FN48=0,"",'[2]BASE'!FN48)</f>
      </c>
      <c r="S48" s="1098">
        <f>IF('[2]BASE'!FO48=0,"",'[2]BASE'!FO48)</f>
      </c>
      <c r="T48" s="1098">
        <f>IF('[2]BASE'!FP48=0,"",'[2]BASE'!FP48)</f>
      </c>
      <c r="U48" s="1095"/>
    </row>
    <row r="49" spans="2:21" s="1090" customFormat="1" ht="19.5" customHeight="1">
      <c r="B49" s="1091"/>
      <c r="C49" s="1101">
        <f>IF('[2]BASE'!C49=0,"",'[2]BASE'!C49)</f>
        <v>33</v>
      </c>
      <c r="D49" s="1101" t="str">
        <f>IF('[2]BASE'!D49=0,"",'[2]BASE'!D49)</f>
        <v>OLAVARRIA - BAHIA BLANCA 2</v>
      </c>
      <c r="E49" s="1101">
        <f>IF('[2]BASE'!E49=0,"",'[2]BASE'!E49)</f>
        <v>500</v>
      </c>
      <c r="F49" s="1101">
        <f>IF('[2]BASE'!F49=0,"",'[2]BASE'!F49)</f>
        <v>254.8</v>
      </c>
      <c r="G49" s="1102">
        <f>IF('[2]BASE'!G49=0,"",'[2]BASE'!G49)</f>
      </c>
      <c r="H49" s="1098">
        <f>IF('[2]BASE'!FD49=0,"",'[2]BASE'!FD49)</f>
      </c>
      <c r="I49" s="1098">
        <f>IF('[2]BASE'!FE49=0,"",'[2]BASE'!FE49)</f>
      </c>
      <c r="J49" s="1098">
        <f>IF('[2]BASE'!FF49=0,"",'[2]BASE'!FF49)</f>
      </c>
      <c r="K49" s="1098">
        <f>IF('[2]BASE'!FG49=0,"",'[2]BASE'!FG49)</f>
      </c>
      <c r="L49" s="1098">
        <f>IF('[2]BASE'!FH49=0,"",'[2]BASE'!FH49)</f>
      </c>
      <c r="M49" s="1098">
        <f>IF('[2]BASE'!FI49=0,"",'[2]BASE'!FI49)</f>
      </c>
      <c r="N49" s="1098">
        <f>IF('[2]BASE'!FJ49=0,"",'[2]BASE'!FJ49)</f>
      </c>
      <c r="O49" s="1098">
        <f>IF('[2]BASE'!FK49=0,"",'[2]BASE'!FK49)</f>
      </c>
      <c r="P49" s="1098">
        <f>IF('[2]BASE'!FL49=0,"",'[2]BASE'!FL49)</f>
      </c>
      <c r="Q49" s="1098">
        <f>IF('[2]BASE'!FM49=0,"",'[2]BASE'!FM49)</f>
      </c>
      <c r="R49" s="1098">
        <f>IF('[2]BASE'!FN49=0,"",'[2]BASE'!FN49)</f>
      </c>
      <c r="S49" s="1098">
        <f>IF('[2]BASE'!FO49=0,"",'[2]BASE'!FO49)</f>
      </c>
      <c r="T49" s="1098">
        <f>IF('[2]BASE'!FP49=0,"",'[2]BASE'!FP49)</f>
      </c>
      <c r="U49" s="1095"/>
    </row>
    <row r="50" spans="2:21" s="1090" customFormat="1" ht="19.5" customHeight="1">
      <c r="B50" s="1091"/>
      <c r="C50" s="1099">
        <f>IF('[2]BASE'!C50=0,"",'[2]BASE'!C50)</f>
        <v>34</v>
      </c>
      <c r="D50" s="1099" t="str">
        <f>IF('[2]BASE'!D50=0,"",'[2]BASE'!D50)</f>
        <v>P.del AGUILA  - CHOELE CHOEL</v>
      </c>
      <c r="E50" s="1099">
        <f>IF('[2]BASE'!E50=0,"",'[2]BASE'!E50)</f>
        <v>500</v>
      </c>
      <c r="F50" s="1099">
        <f>IF('[2]BASE'!F50=0,"",'[2]BASE'!F50)</f>
        <v>386.7</v>
      </c>
      <c r="G50" s="1100">
        <f>IF('[2]BASE'!G50=0,"",'[2]BASE'!G50)</f>
      </c>
      <c r="H50" s="1098">
        <f>IF('[2]BASE'!FD50=0,"",'[2]BASE'!FD50)</f>
      </c>
      <c r="I50" s="1098">
        <f>IF('[2]BASE'!FE50=0,"",'[2]BASE'!FE50)</f>
      </c>
      <c r="J50" s="1098">
        <f>IF('[2]BASE'!FF50=0,"",'[2]BASE'!FF50)</f>
      </c>
      <c r="K50" s="1098">
        <f>IF('[2]BASE'!FG50=0,"",'[2]BASE'!FG50)</f>
      </c>
      <c r="L50" s="1098">
        <f>IF('[2]BASE'!FH50=0,"",'[2]BASE'!FH50)</f>
      </c>
      <c r="M50" s="1098">
        <f>IF('[2]BASE'!FI50=0,"",'[2]BASE'!FI50)</f>
      </c>
      <c r="N50" s="1098">
        <f>IF('[2]BASE'!FJ50=0,"",'[2]BASE'!FJ50)</f>
      </c>
      <c r="O50" s="1098">
        <f>IF('[2]BASE'!FK50=0,"",'[2]BASE'!FK50)</f>
      </c>
      <c r="P50" s="1094"/>
      <c r="Q50" s="1098">
        <f>IF('[2]BASE'!FM50=0,"",'[2]BASE'!FM50)</f>
      </c>
      <c r="R50" s="1098">
        <f>IF('[2]BASE'!FN50=0,"",'[2]BASE'!FN50)</f>
      </c>
      <c r="S50" s="1098">
        <f>IF('[2]BASE'!FO50=0,"",'[2]BASE'!FO50)</f>
      </c>
      <c r="T50" s="1098">
        <f>IF('[2]BASE'!FP50=0,"",'[2]BASE'!FP50)</f>
      </c>
      <c r="U50" s="1095"/>
    </row>
    <row r="51" spans="2:21" s="1090" customFormat="1" ht="19.5" customHeight="1">
      <c r="B51" s="1091"/>
      <c r="C51" s="1101">
        <f>IF('[2]BASE'!C51=0,"",'[2]BASE'!C51)</f>
        <v>35</v>
      </c>
      <c r="D51" s="1101" t="str">
        <f>IF('[2]BASE'!D51=0,"",'[2]BASE'!D51)</f>
        <v>P.del AGUILA  - CHO. W. 1 (5GW1)</v>
      </c>
      <c r="E51" s="1101">
        <f>IF('[2]BASE'!E51=0,"",'[2]BASE'!E51)</f>
        <v>500</v>
      </c>
      <c r="F51" s="1101">
        <f>IF('[2]BASE'!F51=0,"",'[2]BASE'!F51)</f>
        <v>165</v>
      </c>
      <c r="G51" s="1102" t="str">
        <f>IF('[2]BASE'!G51=0,"",'[2]BASE'!G51)</f>
        <v>A</v>
      </c>
      <c r="H51" s="1098">
        <f>IF('[2]BASE'!FD51=0,"",'[2]BASE'!FD51)</f>
      </c>
      <c r="I51" s="1098">
        <f>IF('[2]BASE'!FE51=0,"",'[2]BASE'!FE51)</f>
      </c>
      <c r="J51" s="1098">
        <f>IF('[2]BASE'!FF51=0,"",'[2]BASE'!FF51)</f>
      </c>
      <c r="K51" s="1098">
        <f>IF('[2]BASE'!FG51=0,"",'[2]BASE'!FG51)</f>
      </c>
      <c r="L51" s="1098">
        <f>IF('[2]BASE'!FH51=0,"",'[2]BASE'!FH51)</f>
      </c>
      <c r="M51" s="1098">
        <f>IF('[2]BASE'!FI51=0,"",'[2]BASE'!FI51)</f>
      </c>
      <c r="N51" s="1098">
        <f>IF('[2]BASE'!FJ51=0,"",'[2]BASE'!FJ51)</f>
      </c>
      <c r="O51" s="1098">
        <f>IF('[2]BASE'!FK51=0,"",'[2]BASE'!FK51)</f>
      </c>
      <c r="P51" s="1098">
        <f>IF('[2]BASE'!FL51=0,"",'[2]BASE'!FL51)</f>
      </c>
      <c r="Q51" s="1098">
        <f>IF('[2]BASE'!FM51=0,"",'[2]BASE'!FM51)</f>
      </c>
      <c r="R51" s="1098">
        <f>IF('[2]BASE'!FN51=0,"",'[2]BASE'!FN51)</f>
      </c>
      <c r="S51" s="1098">
        <f>IF('[2]BASE'!FO51=0,"",'[2]BASE'!FO51)</f>
      </c>
      <c r="T51" s="1098">
        <f>IF('[2]BASE'!FP51=0,"",'[2]BASE'!FP51)</f>
      </c>
      <c r="U51" s="1095"/>
    </row>
    <row r="52" spans="2:21" s="1090" customFormat="1" ht="19.5" customHeight="1">
      <c r="B52" s="1091"/>
      <c r="C52" s="1099">
        <f>IF('[2]BASE'!C52=0,"",'[2]BASE'!C52)</f>
        <v>36</v>
      </c>
      <c r="D52" s="1099" t="str">
        <f>IF('[2]BASE'!D52=0,"",'[2]BASE'!D52)</f>
        <v>P.del AGUILA  - CHO. W. 2 (5GW2)</v>
      </c>
      <c r="E52" s="1099">
        <f>IF('[2]BASE'!E52=0,"",'[2]BASE'!E52)</f>
        <v>500</v>
      </c>
      <c r="F52" s="1099">
        <f>IF('[2]BASE'!F52=0,"",'[2]BASE'!F52)</f>
        <v>170</v>
      </c>
      <c r="G52" s="1100" t="str">
        <f>IF('[2]BASE'!G52=0,"",'[2]BASE'!G52)</f>
        <v>A</v>
      </c>
      <c r="H52" s="1098">
        <f>IF('[2]BASE'!FD52=0,"",'[2]BASE'!FD52)</f>
      </c>
      <c r="I52" s="1098">
        <f>IF('[2]BASE'!FE52=0,"",'[2]BASE'!FE52)</f>
      </c>
      <c r="J52" s="1098">
        <f>IF('[2]BASE'!FF52=0,"",'[2]BASE'!FF52)</f>
      </c>
      <c r="K52" s="1098">
        <f>IF('[2]BASE'!FG52=0,"",'[2]BASE'!FG52)</f>
      </c>
      <c r="L52" s="1098">
        <f>IF('[2]BASE'!FH52=0,"",'[2]BASE'!FH52)</f>
      </c>
      <c r="M52" s="1098">
        <f>IF('[2]BASE'!FI52=0,"",'[2]BASE'!FI52)</f>
      </c>
      <c r="N52" s="1098">
        <f>IF('[2]BASE'!FJ52=0,"",'[2]BASE'!FJ52)</f>
      </c>
      <c r="O52" s="1098">
        <f>IF('[2]BASE'!FK52=0,"",'[2]BASE'!FK52)</f>
      </c>
      <c r="P52" s="1094"/>
      <c r="Q52" s="1098">
        <f>IF('[2]BASE'!FM52=0,"",'[2]BASE'!FM52)</f>
      </c>
      <c r="R52" s="1098">
        <f>IF('[2]BASE'!FN52=0,"",'[2]BASE'!FN52)</f>
      </c>
      <c r="S52" s="1098">
        <f>IF('[2]BASE'!FO52=0,"",'[2]BASE'!FO52)</f>
        <v>1</v>
      </c>
      <c r="T52" s="1098">
        <f>IF('[2]BASE'!FP52=0,"",'[2]BASE'!FP52)</f>
      </c>
      <c r="U52" s="1095"/>
    </row>
    <row r="53" spans="2:21" s="1090" customFormat="1" ht="19.5" customHeight="1">
      <c r="B53" s="1091"/>
      <c r="C53" s="1101">
        <f>IF('[2]BASE'!C53=0,"",'[2]BASE'!C53)</f>
        <v>37</v>
      </c>
      <c r="D53" s="1101" t="str">
        <f>IF('[2]BASE'!D53=0,"",'[2]BASE'!D53)</f>
        <v>PUELCHES - HENDERSON 1 (B1)</v>
      </c>
      <c r="E53" s="1101">
        <f>IF('[2]BASE'!E53=0,"",'[2]BASE'!E53)</f>
        <v>500</v>
      </c>
      <c r="F53" s="1101">
        <f>IF('[2]BASE'!F53=0,"",'[2]BASE'!F53)</f>
        <v>421</v>
      </c>
      <c r="G53" s="1102" t="str">
        <f>IF('[2]BASE'!G53=0,"",'[2]BASE'!G53)</f>
        <v>A</v>
      </c>
      <c r="H53" s="1098">
        <f>IF('[2]BASE'!FD53=0,"",'[2]BASE'!FD53)</f>
      </c>
      <c r="I53" s="1098">
        <f>IF('[2]BASE'!FE53=0,"",'[2]BASE'!FE53)</f>
      </c>
      <c r="J53" s="1098">
        <f>IF('[2]BASE'!FF53=0,"",'[2]BASE'!FF53)</f>
      </c>
      <c r="K53" s="1098">
        <f>IF('[2]BASE'!FG53=0,"",'[2]BASE'!FG53)</f>
      </c>
      <c r="L53" s="1098">
        <f>IF('[2]BASE'!FH53=0,"",'[2]BASE'!FH53)</f>
      </c>
      <c r="M53" s="1098">
        <f>IF('[2]BASE'!FI53=0,"",'[2]BASE'!FI53)</f>
      </c>
      <c r="N53" s="1098">
        <f>IF('[2]BASE'!FJ53=0,"",'[2]BASE'!FJ53)</f>
      </c>
      <c r="O53" s="1098">
        <f>IF('[2]BASE'!FK53=0,"",'[2]BASE'!FK53)</f>
      </c>
      <c r="P53" s="1098">
        <f>IF('[2]BASE'!FL53=0,"",'[2]BASE'!FL53)</f>
      </c>
      <c r="Q53" s="1098">
        <f>IF('[2]BASE'!FM53=0,"",'[2]BASE'!FM53)</f>
      </c>
      <c r="R53" s="1098">
        <f>IF('[2]BASE'!FN53=0,"",'[2]BASE'!FN53)</f>
      </c>
      <c r="S53" s="1098">
        <f>IF('[2]BASE'!FO53=0,"",'[2]BASE'!FO53)</f>
      </c>
      <c r="T53" s="1098">
        <f>IF('[2]BASE'!FP53=0,"",'[2]BASE'!FP53)</f>
      </c>
      <c r="U53" s="1095"/>
    </row>
    <row r="54" spans="2:21" s="1090" customFormat="1" ht="19.5" customHeight="1">
      <c r="B54" s="1091"/>
      <c r="C54" s="1099">
        <f>IF('[2]BASE'!C54=0,"",'[2]BASE'!C54)</f>
        <v>38</v>
      </c>
      <c r="D54" s="1099" t="str">
        <f>IF('[2]BASE'!D54=0,"",'[2]BASE'!D54)</f>
        <v>PUELCHES - HENDERSON 2 (B2)</v>
      </c>
      <c r="E54" s="1099">
        <f>IF('[2]BASE'!E54=0,"",'[2]BASE'!E54)</f>
        <v>500</v>
      </c>
      <c r="F54" s="1099">
        <f>IF('[2]BASE'!F54=0,"",'[2]BASE'!F54)</f>
        <v>421</v>
      </c>
      <c r="G54" s="1100" t="str">
        <f>IF('[2]BASE'!G54=0,"",'[2]BASE'!G54)</f>
        <v>A</v>
      </c>
      <c r="H54" s="1098" t="str">
        <f>IF('[2]BASE'!FD54=0,"",'[2]BASE'!FD54)</f>
        <v>XXXX</v>
      </c>
      <c r="I54" s="1098" t="str">
        <f>IF('[2]BASE'!FE54=0,"",'[2]BASE'!FE54)</f>
        <v>XXXX</v>
      </c>
      <c r="J54" s="1098" t="str">
        <f>IF('[2]BASE'!FF54=0,"",'[2]BASE'!FF54)</f>
        <v>XXXX</v>
      </c>
      <c r="K54" s="1098" t="str">
        <f>IF('[2]BASE'!FG54=0,"",'[2]BASE'!FG54)</f>
        <v>XXXX</v>
      </c>
      <c r="L54" s="1098" t="str">
        <f>IF('[2]BASE'!FH54=0,"",'[2]BASE'!FH54)</f>
        <v>XXXX</v>
      </c>
      <c r="M54" s="1098" t="str">
        <f>IF('[2]BASE'!FI54=0,"",'[2]BASE'!FI54)</f>
        <v>XXXX</v>
      </c>
      <c r="N54" s="1098" t="str">
        <f>IF('[2]BASE'!FJ54=0,"",'[2]BASE'!FJ54)</f>
        <v>XXXX</v>
      </c>
      <c r="O54" s="1098" t="str">
        <f>IF('[2]BASE'!FK54=0,"",'[2]BASE'!FK54)</f>
        <v>XXXX</v>
      </c>
      <c r="P54" s="1094"/>
      <c r="Q54" s="1098" t="str">
        <f>IF('[2]BASE'!FM54=0,"",'[2]BASE'!FM54)</f>
        <v>XXXX</v>
      </c>
      <c r="R54" s="1098" t="str">
        <f>IF('[2]BASE'!FN54=0,"",'[2]BASE'!FN54)</f>
        <v>XXXX</v>
      </c>
      <c r="S54" s="1098" t="str">
        <f>IF('[2]BASE'!FO54=0,"",'[2]BASE'!FO54)</f>
        <v>XXXX</v>
      </c>
      <c r="T54" s="1098" t="str">
        <f>IF('[2]BASE'!FP54=0,"",'[2]BASE'!FP54)</f>
        <v>XXXX</v>
      </c>
      <c r="U54" s="1095"/>
    </row>
    <row r="55" spans="2:21" s="1090" customFormat="1" ht="19.5" customHeight="1">
      <c r="B55" s="1091"/>
      <c r="C55" s="1101">
        <f>IF('[2]BASE'!C55=0,"",'[2]BASE'!C55)</f>
        <v>39</v>
      </c>
      <c r="D55" s="1101" t="str">
        <f>IF('[2]BASE'!D55=0,"",'[2]BASE'!D55)</f>
        <v>RECREO - MALVINAS ARG. </v>
      </c>
      <c r="E55" s="1101">
        <f>IF('[2]BASE'!E55=0,"",'[2]BASE'!E55)</f>
        <v>500</v>
      </c>
      <c r="F55" s="1101">
        <f>IF('[2]BASE'!F55=0,"",'[2]BASE'!F55)</f>
        <v>259</v>
      </c>
      <c r="G55" s="1102" t="str">
        <f>IF('[2]BASE'!G55=0,"",'[2]BASE'!G55)</f>
        <v>C</v>
      </c>
      <c r="H55" s="1098">
        <f>IF('[2]BASE'!FD55=0,"",'[2]BASE'!FD55)</f>
      </c>
      <c r="I55" s="1098">
        <f>IF('[2]BASE'!FE55=0,"",'[2]BASE'!FE55)</f>
      </c>
      <c r="J55" s="1098">
        <f>IF('[2]BASE'!FF55=0,"",'[2]BASE'!FF55)</f>
      </c>
      <c r="K55" s="1098">
        <f>IF('[2]BASE'!FG55=0,"",'[2]BASE'!FG55)</f>
      </c>
      <c r="L55" s="1098">
        <f>IF('[2]BASE'!FH55=0,"",'[2]BASE'!FH55)</f>
      </c>
      <c r="M55" s="1098">
        <f>IF('[2]BASE'!FI55=0,"",'[2]BASE'!FI55)</f>
      </c>
      <c r="N55" s="1098">
        <f>IF('[2]BASE'!FJ55=0,"",'[2]BASE'!FJ55)</f>
      </c>
      <c r="O55" s="1098">
        <f>IF('[2]BASE'!FK55=0,"",'[2]BASE'!FK55)</f>
      </c>
      <c r="P55" s="1098">
        <f>IF('[2]BASE'!FL55=0,"",'[2]BASE'!FL55)</f>
      </c>
      <c r="Q55" s="1098">
        <f>IF('[2]BASE'!FM55=0,"",'[2]BASE'!FM55)</f>
      </c>
      <c r="R55" s="1098">
        <f>IF('[2]BASE'!FN55=0,"",'[2]BASE'!FN55)</f>
      </c>
      <c r="S55" s="1098">
        <f>IF('[2]BASE'!FO55=0,"",'[2]BASE'!FO55)</f>
      </c>
      <c r="T55" s="1098">
        <f>IF('[2]BASE'!FP55=0,"",'[2]BASE'!FP55)</f>
        <v>2</v>
      </c>
      <c r="U55" s="1095"/>
    </row>
    <row r="56" spans="2:21" s="1090" customFormat="1" ht="19.5" customHeight="1">
      <c r="B56" s="1091"/>
      <c r="C56" s="1099">
        <f>IF('[2]BASE'!C56=0,"",'[2]BASE'!C56)</f>
        <v>40</v>
      </c>
      <c r="D56" s="1099" t="str">
        <f>IF('[2]BASE'!D56=0,"",'[2]BASE'!D56)</f>
        <v>RIO GRANDE - EMBALSE</v>
      </c>
      <c r="E56" s="1099">
        <f>IF('[2]BASE'!E56=0,"",'[2]BASE'!E56)</f>
        <v>500</v>
      </c>
      <c r="F56" s="1099">
        <f>IF('[2]BASE'!F56=0,"",'[2]BASE'!F56)</f>
        <v>30</v>
      </c>
      <c r="G56" s="1100" t="str">
        <f>IF('[2]BASE'!G56=0,"",'[2]BASE'!G56)</f>
        <v>B</v>
      </c>
      <c r="H56" s="1098">
        <f>IF('[2]BASE'!FD56=0,"",'[2]BASE'!FD56)</f>
      </c>
      <c r="I56" s="1098">
        <f>IF('[2]BASE'!FE56=0,"",'[2]BASE'!FE56)</f>
      </c>
      <c r="J56" s="1098">
        <f>IF('[2]BASE'!FF56=0,"",'[2]BASE'!FF56)</f>
      </c>
      <c r="K56" s="1098">
        <f>IF('[2]BASE'!FG56=0,"",'[2]BASE'!FG56)</f>
      </c>
      <c r="L56" s="1098">
        <f>IF('[2]BASE'!FH56=0,"",'[2]BASE'!FH56)</f>
      </c>
      <c r="M56" s="1098">
        <f>IF('[2]BASE'!FI56=0,"",'[2]BASE'!FI56)</f>
      </c>
      <c r="N56" s="1098">
        <f>IF('[2]BASE'!FJ56=0,"",'[2]BASE'!FJ56)</f>
      </c>
      <c r="O56" s="1098">
        <f>IF('[2]BASE'!FK56=0,"",'[2]BASE'!FK56)</f>
      </c>
      <c r="P56" s="1094"/>
      <c r="Q56" s="1098">
        <f>IF('[2]BASE'!FM56=0,"",'[2]BASE'!FM56)</f>
      </c>
      <c r="R56" s="1098">
        <f>IF('[2]BASE'!FN56=0,"",'[2]BASE'!FN56)</f>
      </c>
      <c r="S56" s="1098">
        <f>IF('[2]BASE'!FO56=0,"",'[2]BASE'!FO56)</f>
      </c>
      <c r="T56" s="1098">
        <f>IF('[2]BASE'!FP56=0,"",'[2]BASE'!FP56)</f>
      </c>
      <c r="U56" s="1095"/>
    </row>
    <row r="57" spans="2:21" s="1090" customFormat="1" ht="19.5" customHeight="1">
      <c r="B57" s="1091"/>
      <c r="C57" s="1101">
        <f>IF('[2]BASE'!C57=0,"",'[2]BASE'!C57)</f>
        <v>41</v>
      </c>
      <c r="D57" s="1101" t="str">
        <f>IF('[2]BASE'!D57=0,"",'[2]BASE'!D57)</f>
        <v>RIO GRANDE - GRAN MENDOZA</v>
      </c>
      <c r="E57" s="1101">
        <f>IF('[2]BASE'!E57=0,"",'[2]BASE'!E57)</f>
        <v>500</v>
      </c>
      <c r="F57" s="1101">
        <f>IF('[2]BASE'!F57=0,"",'[2]BASE'!F57)</f>
        <v>407</v>
      </c>
      <c r="G57" s="1102" t="str">
        <f>IF('[2]BASE'!G57=0,"",'[2]BASE'!G57)</f>
        <v>B</v>
      </c>
      <c r="H57" s="1098" t="str">
        <f>IF('[2]BASE'!FD57=0,"",'[2]BASE'!FD57)</f>
        <v>XXXX</v>
      </c>
      <c r="I57" s="1098" t="str">
        <f>IF('[2]BASE'!FE57=0,"",'[2]BASE'!FE57)</f>
        <v>XXXX</v>
      </c>
      <c r="J57" s="1098" t="str">
        <f>IF('[2]BASE'!FF57=0,"",'[2]BASE'!FF57)</f>
        <v>XXXX</v>
      </c>
      <c r="K57" s="1098" t="str">
        <f>IF('[2]BASE'!FG57=0,"",'[2]BASE'!FG57)</f>
        <v>XXXX</v>
      </c>
      <c r="L57" s="1098" t="str">
        <f>IF('[2]BASE'!FH57=0,"",'[2]BASE'!FH57)</f>
        <v>XXXX</v>
      </c>
      <c r="M57" s="1098" t="str">
        <f>IF('[2]BASE'!FI57=0,"",'[2]BASE'!FI57)</f>
        <v>XXXX</v>
      </c>
      <c r="N57" s="1098" t="str">
        <f>IF('[2]BASE'!FJ57=0,"",'[2]BASE'!FJ57)</f>
        <v>XXXX</v>
      </c>
      <c r="O57" s="1098" t="str">
        <f>IF('[2]BASE'!FK57=0,"",'[2]BASE'!FK57)</f>
        <v>XXXX</v>
      </c>
      <c r="P57" s="1098" t="str">
        <f>IF('[2]BASE'!FL57=0,"",'[2]BASE'!FL57)</f>
        <v>XXXX</v>
      </c>
      <c r="Q57" s="1098" t="str">
        <f>IF('[2]BASE'!FM57=0,"",'[2]BASE'!FM57)</f>
        <v>XXXX</v>
      </c>
      <c r="R57" s="1098" t="str">
        <f>IF('[2]BASE'!FN57=0,"",'[2]BASE'!FN57)</f>
        <v>XXXX</v>
      </c>
      <c r="S57" s="1098" t="str">
        <f>IF('[2]BASE'!FO57=0,"",'[2]BASE'!FO57)</f>
        <v>XXXX</v>
      </c>
      <c r="T57" s="1098" t="str">
        <f>IF('[2]BASE'!FP57=0,"",'[2]BASE'!FP57)</f>
        <v>XXXX</v>
      </c>
      <c r="U57" s="1095"/>
    </row>
    <row r="58" spans="2:21" s="1090" customFormat="1" ht="19.5" customHeight="1">
      <c r="B58" s="1091"/>
      <c r="C58" s="1099">
        <f>IF('[2]BASE'!C58=0,"",'[2]BASE'!C58)</f>
        <v>42</v>
      </c>
      <c r="D58" s="1099" t="str">
        <f>IF('[2]BASE'!D58=0,"",'[2]BASE'!D58)</f>
        <v>RIO GRANDE - LUJAN</v>
      </c>
      <c r="E58" s="1099">
        <f>IF('[2]BASE'!E58=0,"",'[2]BASE'!E58)</f>
        <v>500</v>
      </c>
      <c r="F58" s="1099">
        <f>IF('[2]BASE'!F58=0,"",'[2]BASE'!F58)</f>
        <v>150</v>
      </c>
      <c r="G58" s="1100" t="str">
        <f>IF('[2]BASE'!G58=0,"",'[2]BASE'!G58)</f>
        <v>A</v>
      </c>
      <c r="H58" s="1098">
        <f>IF('[2]BASE'!FD58=0,"",'[2]BASE'!FD58)</f>
      </c>
      <c r="I58" s="1098">
        <f>IF('[2]BASE'!FE58=0,"",'[2]BASE'!FE58)</f>
      </c>
      <c r="J58" s="1098">
        <f>IF('[2]BASE'!FF58=0,"",'[2]BASE'!FF58)</f>
      </c>
      <c r="K58" s="1098">
        <f>IF('[2]BASE'!FG58=0,"",'[2]BASE'!FG58)</f>
      </c>
      <c r="L58" s="1098">
        <f>IF('[2]BASE'!FH58=0,"",'[2]BASE'!FH58)</f>
      </c>
      <c r="M58" s="1098">
        <f>IF('[2]BASE'!FI58=0,"",'[2]BASE'!FI58)</f>
      </c>
      <c r="N58" s="1098">
        <f>IF('[2]BASE'!FJ58=0,"",'[2]BASE'!FJ58)</f>
      </c>
      <c r="O58" s="1098">
        <f>IF('[2]BASE'!FK58=0,"",'[2]BASE'!FK58)</f>
      </c>
      <c r="P58" s="1094"/>
      <c r="Q58" s="1098">
        <f>IF('[2]BASE'!FM58=0,"",'[2]BASE'!FM58)</f>
      </c>
      <c r="R58" s="1098">
        <f>IF('[2]BASE'!FN58=0,"",'[2]BASE'!FN58)</f>
      </c>
      <c r="S58" s="1098">
        <f>IF('[2]BASE'!FO58=0,"",'[2]BASE'!FO58)</f>
      </c>
      <c r="T58" s="1098">
        <f>IF('[2]BASE'!FP58=0,"",'[2]BASE'!FP58)</f>
      </c>
      <c r="U58" s="1095"/>
    </row>
    <row r="59" spans="2:21" s="1090" customFormat="1" ht="19.5" customHeight="1">
      <c r="B59" s="1091"/>
      <c r="C59" s="1101">
        <f>IF('[2]BASE'!C59=0,"",'[2]BASE'!C59)</f>
        <v>43</v>
      </c>
      <c r="D59" s="1101" t="str">
        <f>IF('[2]BASE'!D59=0,"",'[2]BASE'!D59)</f>
        <v>LUJAN - GRAN MENDOZA</v>
      </c>
      <c r="E59" s="1101">
        <f>IF('[2]BASE'!E59=0,"",'[2]BASE'!E59)</f>
        <v>500</v>
      </c>
      <c r="F59" s="1101">
        <f>IF('[2]BASE'!F59=0,"",'[2]BASE'!F59)</f>
        <v>257</v>
      </c>
      <c r="G59" s="1102" t="str">
        <f>IF('[2]BASE'!G59=0,"",'[2]BASE'!G59)</f>
        <v>B</v>
      </c>
      <c r="H59" s="1098">
        <f>IF('[2]BASE'!FD59=0,"",'[2]BASE'!FD59)</f>
      </c>
      <c r="I59" s="1098">
        <f>IF('[2]BASE'!FE59=0,"",'[2]BASE'!FE59)</f>
      </c>
      <c r="J59" s="1098">
        <f>IF('[2]BASE'!FF59=0,"",'[2]BASE'!FF59)</f>
      </c>
      <c r="K59" s="1098">
        <f>IF('[2]BASE'!FG59=0,"",'[2]BASE'!FG59)</f>
      </c>
      <c r="L59" s="1098">
        <f>IF('[2]BASE'!FH59=0,"",'[2]BASE'!FH59)</f>
      </c>
      <c r="M59" s="1098">
        <f>IF('[2]BASE'!FI59=0,"",'[2]BASE'!FI59)</f>
      </c>
      <c r="N59" s="1098">
        <f>IF('[2]BASE'!FJ59=0,"",'[2]BASE'!FJ59)</f>
      </c>
      <c r="O59" s="1098">
        <f>IF('[2]BASE'!FK59=0,"",'[2]BASE'!FK59)</f>
      </c>
      <c r="P59" s="1098">
        <f>IF('[2]BASE'!FL59=0,"",'[2]BASE'!FL59)</f>
      </c>
      <c r="Q59" s="1098">
        <f>IF('[2]BASE'!FM59=0,"",'[2]BASE'!FM59)</f>
      </c>
      <c r="R59" s="1098">
        <f>IF('[2]BASE'!FN59=0,"",'[2]BASE'!FN59)</f>
      </c>
      <c r="S59" s="1098">
        <f>IF('[2]BASE'!FO59=0,"",'[2]BASE'!FO59)</f>
      </c>
      <c r="T59" s="1098">
        <f>IF('[2]BASE'!FP59=0,"",'[2]BASE'!FP59)</f>
      </c>
      <c r="U59" s="1095"/>
    </row>
    <row r="60" spans="2:21" s="1090" customFormat="1" ht="19.5" customHeight="1">
      <c r="B60" s="1091"/>
      <c r="C60" s="1099">
        <f>IF('[2]BASE'!C60=0,"",'[2]BASE'!C60)</f>
        <v>44</v>
      </c>
      <c r="D60" s="1099" t="str">
        <f>IF('[2]BASE'!D60=0,"",'[2]BASE'!D60)</f>
        <v>ROMANG - RESISTENCIA</v>
      </c>
      <c r="E60" s="1099">
        <f>IF('[2]BASE'!E60=0,"",'[2]BASE'!E60)</f>
        <v>500</v>
      </c>
      <c r="F60" s="1099">
        <f>IF('[2]BASE'!F60=0,"",'[2]BASE'!F60)</f>
        <v>256</v>
      </c>
      <c r="G60" s="1100" t="str">
        <f>IF('[2]BASE'!G60=0,"",'[2]BASE'!G60)</f>
        <v>A</v>
      </c>
      <c r="H60" s="1098">
        <f>IF('[2]BASE'!FD60=0,"",'[2]BASE'!FD60)</f>
      </c>
      <c r="I60" s="1098">
        <f>IF('[2]BASE'!FE60=0,"",'[2]BASE'!FE60)</f>
      </c>
      <c r="J60" s="1098">
        <f>IF('[2]BASE'!FF60=0,"",'[2]BASE'!FF60)</f>
      </c>
      <c r="K60" s="1098">
        <f>IF('[2]BASE'!FG60=0,"",'[2]BASE'!FG60)</f>
        <v>1</v>
      </c>
      <c r="L60" s="1098">
        <f>IF('[2]BASE'!FH60=0,"",'[2]BASE'!FH60)</f>
      </c>
      <c r="M60" s="1098">
        <f>IF('[2]BASE'!FI60=0,"",'[2]BASE'!FI60)</f>
      </c>
      <c r="N60" s="1098">
        <f>IF('[2]BASE'!FJ60=0,"",'[2]BASE'!FJ60)</f>
      </c>
      <c r="O60" s="1098">
        <f>IF('[2]BASE'!FK60=0,"",'[2]BASE'!FK60)</f>
      </c>
      <c r="P60" s="1094"/>
      <c r="Q60" s="1098">
        <f>IF('[2]BASE'!FM60=0,"",'[2]BASE'!FM60)</f>
      </c>
      <c r="R60" s="1098">
        <f>IF('[2]BASE'!FN60=0,"",'[2]BASE'!FN60)</f>
      </c>
      <c r="S60" s="1098">
        <f>IF('[2]BASE'!FO60=0,"",'[2]BASE'!FO60)</f>
      </c>
      <c r="T60" s="1098">
        <f>IF('[2]BASE'!FP60=0,"",'[2]BASE'!FP60)</f>
      </c>
      <c r="U60" s="1095"/>
    </row>
    <row r="61" spans="2:21" s="1090" customFormat="1" ht="19.5" customHeight="1">
      <c r="B61" s="1091"/>
      <c r="C61" s="1101">
        <f>IF('[2]BASE'!C61=0,"",'[2]BASE'!C61)</f>
        <v>45</v>
      </c>
      <c r="D61" s="1101" t="str">
        <f>IF('[2]BASE'!D61=0,"",'[2]BASE'!D61)</f>
        <v>ROSARIO OESTE -SANTO TOME</v>
      </c>
      <c r="E61" s="1101">
        <f>IF('[2]BASE'!E61=0,"",'[2]BASE'!E61)</f>
        <v>500</v>
      </c>
      <c r="F61" s="1101">
        <f>IF('[2]BASE'!F61=0,"",'[2]BASE'!F61)</f>
        <v>159</v>
      </c>
      <c r="G61" s="1102" t="str">
        <f>IF('[2]BASE'!G61=0,"",'[2]BASE'!G61)</f>
        <v>C</v>
      </c>
      <c r="H61" s="1098">
        <f>IF('[2]BASE'!FD61=0,"",'[2]BASE'!FD61)</f>
      </c>
      <c r="I61" s="1098">
        <f>IF('[2]BASE'!FE61=0,"",'[2]BASE'!FE61)</f>
      </c>
      <c r="J61" s="1098">
        <f>IF('[2]BASE'!FF61=0,"",'[2]BASE'!FF61)</f>
      </c>
      <c r="K61" s="1098">
        <f>IF('[2]BASE'!FG61=0,"",'[2]BASE'!FG61)</f>
      </c>
      <c r="L61" s="1098">
        <f>IF('[2]BASE'!FH61=0,"",'[2]BASE'!FH61)</f>
      </c>
      <c r="M61" s="1098">
        <f>IF('[2]BASE'!FI61=0,"",'[2]BASE'!FI61)</f>
      </c>
      <c r="N61" s="1098">
        <f>IF('[2]BASE'!FJ61=0,"",'[2]BASE'!FJ61)</f>
      </c>
      <c r="O61" s="1098">
        <f>IF('[2]BASE'!FK61=0,"",'[2]BASE'!FK61)</f>
      </c>
      <c r="P61" s="1098">
        <f>IF('[2]BASE'!FL61=0,"",'[2]BASE'!FL61)</f>
      </c>
      <c r="Q61" s="1098">
        <f>IF('[2]BASE'!FM61=0,"",'[2]BASE'!FM61)</f>
      </c>
      <c r="R61" s="1098">
        <f>IF('[2]BASE'!FN61=0,"",'[2]BASE'!FN61)</f>
      </c>
      <c r="S61" s="1098">
        <f>IF('[2]BASE'!FO61=0,"",'[2]BASE'!FO61)</f>
      </c>
      <c r="T61" s="1098">
        <f>IF('[2]BASE'!FP61=0,"",'[2]BASE'!FP61)</f>
      </c>
      <c r="U61" s="1095"/>
    </row>
    <row r="62" spans="2:21" s="1090" customFormat="1" ht="19.5" customHeight="1">
      <c r="B62" s="1091"/>
      <c r="C62" s="1099">
        <f>IF('[2]BASE'!C62=0,"",'[2]BASE'!C62)</f>
        <v>46</v>
      </c>
      <c r="D62" s="1099" t="str">
        <f>IF('[2]BASE'!D62=0,"",'[2]BASE'!D62)</f>
        <v>SALTO GRANDE - SANTO TOME </v>
      </c>
      <c r="E62" s="1099">
        <f>IF('[2]BASE'!E62=0,"",'[2]BASE'!E62)</f>
        <v>500</v>
      </c>
      <c r="F62" s="1099">
        <f>IF('[2]BASE'!F62=0,"",'[2]BASE'!F62)</f>
        <v>289</v>
      </c>
      <c r="G62" s="1100" t="str">
        <f>IF('[2]BASE'!G62=0,"",'[2]BASE'!G62)</f>
        <v>C</v>
      </c>
      <c r="H62" s="1098">
        <f>IF('[2]BASE'!FD62=0,"",'[2]BASE'!FD62)</f>
      </c>
      <c r="I62" s="1098">
        <f>IF('[2]BASE'!FE62=0,"",'[2]BASE'!FE62)</f>
      </c>
      <c r="J62" s="1098">
        <f>IF('[2]BASE'!FF62=0,"",'[2]BASE'!FF62)</f>
        <v>1</v>
      </c>
      <c r="K62" s="1098">
        <f>IF('[2]BASE'!FG62=0,"",'[2]BASE'!FG62)</f>
        <v>2</v>
      </c>
      <c r="L62" s="1098">
        <f>IF('[2]BASE'!FH62=0,"",'[2]BASE'!FH62)</f>
      </c>
      <c r="M62" s="1098">
        <f>IF('[2]BASE'!FI62=0,"",'[2]BASE'!FI62)</f>
        <v>1</v>
      </c>
      <c r="N62" s="1098">
        <f>IF('[2]BASE'!FJ62=0,"",'[2]BASE'!FJ62)</f>
      </c>
      <c r="O62" s="1098">
        <f>IF('[2]BASE'!FK62=0,"",'[2]BASE'!FK62)</f>
      </c>
      <c r="P62" s="1094"/>
      <c r="Q62" s="1098">
        <f>IF('[2]BASE'!FM62=0,"",'[2]BASE'!FM62)</f>
        <v>1</v>
      </c>
      <c r="R62" s="1098">
        <f>IF('[2]BASE'!FN62=0,"",'[2]BASE'!FN62)</f>
      </c>
      <c r="S62" s="1098">
        <f>IF('[2]BASE'!FO62=0,"",'[2]BASE'!FO62)</f>
      </c>
      <c r="T62" s="1098">
        <f>IF('[2]BASE'!FP62=0,"",'[2]BASE'!FP62)</f>
      </c>
      <c r="U62" s="1095"/>
    </row>
    <row r="63" spans="2:21" s="1090" customFormat="1" ht="19.5" customHeight="1">
      <c r="B63" s="1091"/>
      <c r="C63" s="1101">
        <f>IF('[2]BASE'!C63=0,"",'[2]BASE'!C63)</f>
        <v>47</v>
      </c>
      <c r="D63" s="1101" t="str">
        <f>IF('[2]BASE'!D63=0,"",'[2]BASE'!D63)</f>
        <v>SANTO TOME - ROMANG </v>
      </c>
      <c r="E63" s="1101">
        <f>IF('[2]BASE'!E63=0,"",'[2]BASE'!E63)</f>
        <v>500</v>
      </c>
      <c r="F63" s="1101">
        <f>IF('[2]BASE'!F63=0,"",'[2]BASE'!F63)</f>
        <v>270</v>
      </c>
      <c r="G63" s="1102" t="str">
        <f>IF('[2]BASE'!G63=0,"",'[2]BASE'!G63)</f>
        <v>A</v>
      </c>
      <c r="H63" s="1098">
        <f>IF('[2]BASE'!FD63=0,"",'[2]BASE'!FD63)</f>
      </c>
      <c r="I63" s="1098">
        <f>IF('[2]BASE'!FE63=0,"",'[2]BASE'!FE63)</f>
      </c>
      <c r="J63" s="1098">
        <f>IF('[2]BASE'!FF63=0,"",'[2]BASE'!FF63)</f>
      </c>
      <c r="K63" s="1098">
        <f>IF('[2]BASE'!FG63=0,"",'[2]BASE'!FG63)</f>
      </c>
      <c r="L63" s="1098">
        <f>IF('[2]BASE'!FH63=0,"",'[2]BASE'!FH63)</f>
      </c>
      <c r="M63" s="1098">
        <f>IF('[2]BASE'!FI63=0,"",'[2]BASE'!FI63)</f>
      </c>
      <c r="N63" s="1098">
        <f>IF('[2]BASE'!FJ63=0,"",'[2]BASE'!FJ63)</f>
      </c>
      <c r="O63" s="1098">
        <f>IF('[2]BASE'!FK63=0,"",'[2]BASE'!FK63)</f>
      </c>
      <c r="P63" s="1098">
        <f>IF('[2]BASE'!FL63=0,"",'[2]BASE'!FL63)</f>
      </c>
      <c r="Q63" s="1098">
        <f>IF('[2]BASE'!FM63=0,"",'[2]BASE'!FM63)</f>
      </c>
      <c r="R63" s="1098">
        <f>IF('[2]BASE'!FN63=0,"",'[2]BASE'!FN63)</f>
      </c>
      <c r="S63" s="1098">
        <f>IF('[2]BASE'!FO63=0,"",'[2]BASE'!FO63)</f>
        <v>1</v>
      </c>
      <c r="T63" s="1098">
        <f>IF('[2]BASE'!FP63=0,"",'[2]BASE'!FP63)</f>
      </c>
      <c r="U63" s="1095"/>
    </row>
    <row r="64" spans="2:21" s="1090" customFormat="1" ht="19.5" customHeight="1">
      <c r="B64" s="1091"/>
      <c r="C64" s="1099">
        <f>IF('[2]BASE'!C64=0,"",'[2]BASE'!C64)</f>
      </c>
      <c r="D64" s="1099">
        <f>IF('[2]BASE'!D64=0,"",'[2]BASE'!D64)</f>
      </c>
      <c r="E64" s="1099">
        <f>IF('[2]BASE'!E64=0,"",'[2]BASE'!E64)</f>
      </c>
      <c r="F64" s="1099">
        <f>IF('[2]BASE'!F64=0,"",'[2]BASE'!F64)</f>
      </c>
      <c r="G64" s="1100">
        <f>IF('[2]BASE'!G64=0,"",'[2]BASE'!G64)</f>
      </c>
      <c r="H64" s="1098">
        <f>IF('[2]BASE'!FD64=0,"",'[2]BASE'!FD64)</f>
      </c>
      <c r="I64" s="1098">
        <f>IF('[2]BASE'!FE64=0,"",'[2]BASE'!FE64)</f>
      </c>
      <c r="J64" s="1098">
        <f>IF('[2]BASE'!FF64=0,"",'[2]BASE'!FF64)</f>
      </c>
      <c r="K64" s="1098">
        <f>IF('[2]BASE'!FG64=0,"",'[2]BASE'!FG64)</f>
      </c>
      <c r="L64" s="1098">
        <f>IF('[2]BASE'!FH64=0,"",'[2]BASE'!FH64)</f>
      </c>
      <c r="M64" s="1098">
        <f>IF('[2]BASE'!FI64=0,"",'[2]BASE'!FI64)</f>
      </c>
      <c r="N64" s="1098">
        <f>IF('[2]BASE'!FJ64=0,"",'[2]BASE'!FJ64)</f>
      </c>
      <c r="O64" s="1098">
        <f>IF('[2]BASE'!FK64=0,"",'[2]BASE'!FK64)</f>
      </c>
      <c r="P64" s="1094"/>
      <c r="Q64" s="1098">
        <f>IF('[2]BASE'!FM64=0,"",'[2]BASE'!FM64)</f>
      </c>
      <c r="R64" s="1098">
        <f>IF('[2]BASE'!FN64=0,"",'[2]BASE'!FN64)</f>
      </c>
      <c r="S64" s="1098">
        <f>IF('[2]BASE'!FO64=0,"",'[2]BASE'!FO64)</f>
      </c>
      <c r="T64" s="1098">
        <f>IF('[2]BASE'!FP64=0,"",'[2]BASE'!FP64)</f>
      </c>
      <c r="U64" s="1095"/>
    </row>
    <row r="65" spans="2:21" s="1090" customFormat="1" ht="19.5" customHeight="1">
      <c r="B65" s="1091"/>
      <c r="C65" s="1101">
        <f>IF('[2]BASE'!C65=0,"",'[2]BASE'!C65)</f>
        <v>48</v>
      </c>
      <c r="D65" s="1101" t="str">
        <f>IF('[2]BASE'!D65=0,"",'[2]BASE'!D65)</f>
        <v>GRAL. RODRIGUEZ - VILLA  LIA 1</v>
      </c>
      <c r="E65" s="1101">
        <f>IF('[2]BASE'!E65=0,"",'[2]BASE'!E65)</f>
        <v>220</v>
      </c>
      <c r="F65" s="1101">
        <f>IF('[2]BASE'!F65=0,"",'[2]BASE'!F65)</f>
        <v>61</v>
      </c>
      <c r="G65" s="1102" t="str">
        <f>IF('[2]BASE'!G65=0,"",'[2]BASE'!G65)</f>
        <v>C</v>
      </c>
      <c r="H65" s="1098">
        <f>IF('[2]BASE'!FD65=0,"",'[2]BASE'!FD65)</f>
        <v>2</v>
      </c>
      <c r="I65" s="1098">
        <f>IF('[2]BASE'!FE65=0,"",'[2]BASE'!FE65)</f>
      </c>
      <c r="J65" s="1098">
        <f>IF('[2]BASE'!FF65=0,"",'[2]BASE'!FF65)</f>
      </c>
      <c r="K65" s="1098">
        <f>IF('[2]BASE'!FG65=0,"",'[2]BASE'!FG65)</f>
      </c>
      <c r="L65" s="1098">
        <f>IF('[2]BASE'!FH65=0,"",'[2]BASE'!FH65)</f>
      </c>
      <c r="M65" s="1098">
        <f>IF('[2]BASE'!FI65=0,"",'[2]BASE'!FI65)</f>
      </c>
      <c r="N65" s="1098">
        <f>IF('[2]BASE'!FJ65=0,"",'[2]BASE'!FJ65)</f>
      </c>
      <c r="O65" s="1098">
        <f>IF('[2]BASE'!FK65=0,"",'[2]BASE'!FK65)</f>
        <v>1</v>
      </c>
      <c r="P65" s="1098">
        <f>IF('[2]BASE'!FL65=0,"",'[2]BASE'!FL65)</f>
      </c>
      <c r="Q65" s="1098">
        <f>IF('[2]BASE'!FM65=0,"",'[2]BASE'!FM65)</f>
      </c>
      <c r="R65" s="1098">
        <f>IF('[2]BASE'!FN65=0,"",'[2]BASE'!FN65)</f>
      </c>
      <c r="S65" s="1098">
        <f>IF('[2]BASE'!FO65=0,"",'[2]BASE'!FO65)</f>
      </c>
      <c r="T65" s="1098">
        <f>IF('[2]BASE'!FP65=0,"",'[2]BASE'!FP65)</f>
      </c>
      <c r="U65" s="1095"/>
    </row>
    <row r="66" spans="2:21" s="1090" customFormat="1" ht="19.5" customHeight="1">
      <c r="B66" s="1091"/>
      <c r="C66" s="1099">
        <f>IF('[2]BASE'!C66=0,"",'[2]BASE'!C66)</f>
        <v>49</v>
      </c>
      <c r="D66" s="1099" t="str">
        <f>IF('[2]BASE'!D66=0,"",'[2]BASE'!D66)</f>
        <v>GRAL. RODRIGUEZ - VILLA  LIA 2</v>
      </c>
      <c r="E66" s="1099">
        <f>IF('[2]BASE'!E66=0,"",'[2]BASE'!E66)</f>
        <v>220</v>
      </c>
      <c r="F66" s="1099">
        <f>IF('[2]BASE'!F66=0,"",'[2]BASE'!F66)</f>
        <v>61</v>
      </c>
      <c r="G66" s="1100" t="str">
        <f>IF('[2]BASE'!G66=0,"",'[2]BASE'!G66)</f>
        <v>C</v>
      </c>
      <c r="H66" s="1098">
        <f>IF('[2]BASE'!FD66=0,"",'[2]BASE'!FD66)</f>
        <v>1</v>
      </c>
      <c r="I66" s="1098">
        <f>IF('[2]BASE'!FE66=0,"",'[2]BASE'!FE66)</f>
      </c>
      <c r="J66" s="1098">
        <f>IF('[2]BASE'!FF66=0,"",'[2]BASE'!FF66)</f>
      </c>
      <c r="K66" s="1098">
        <f>IF('[2]BASE'!FG66=0,"",'[2]BASE'!FG66)</f>
      </c>
      <c r="L66" s="1098">
        <f>IF('[2]BASE'!FH66=0,"",'[2]BASE'!FH66)</f>
      </c>
      <c r="M66" s="1098">
        <f>IF('[2]BASE'!FI66=0,"",'[2]BASE'!FI66)</f>
      </c>
      <c r="N66" s="1098">
        <f>IF('[2]BASE'!FJ66=0,"",'[2]BASE'!FJ66)</f>
      </c>
      <c r="O66" s="1098">
        <f>IF('[2]BASE'!FK66=0,"",'[2]BASE'!FK66)</f>
      </c>
      <c r="P66" s="1094"/>
      <c r="Q66" s="1098">
        <f>IF('[2]BASE'!FM66=0,"",'[2]BASE'!FM66)</f>
      </c>
      <c r="R66" s="1098">
        <f>IF('[2]BASE'!FN66=0,"",'[2]BASE'!FN66)</f>
      </c>
      <c r="S66" s="1098">
        <f>IF('[2]BASE'!FO66=0,"",'[2]BASE'!FO66)</f>
      </c>
      <c r="T66" s="1098">
        <f>IF('[2]BASE'!FP66=0,"",'[2]BASE'!FP66)</f>
      </c>
      <c r="U66" s="1095"/>
    </row>
    <row r="67" spans="2:21" s="1090" customFormat="1" ht="19.5" customHeight="1">
      <c r="B67" s="1091"/>
      <c r="C67" s="1101">
        <f>IF('[2]BASE'!C67=0,"",'[2]BASE'!C67)</f>
        <v>50</v>
      </c>
      <c r="D67" s="1101" t="str">
        <f>IF('[2]BASE'!D67=0,"",'[2]BASE'!D67)</f>
        <v>RAMALLO - SAN NICOLAS (2)</v>
      </c>
      <c r="E67" s="1101">
        <f>IF('[2]BASE'!E67=0,"",'[2]BASE'!E67)</f>
        <v>220</v>
      </c>
      <c r="F67" s="1101">
        <f>IF('[2]BASE'!F67=0,"",'[2]BASE'!F67)</f>
        <v>6</v>
      </c>
      <c r="G67" s="1102" t="str">
        <f>IF('[2]BASE'!G67=0,"",'[2]BASE'!G67)</f>
        <v>C</v>
      </c>
      <c r="H67" s="1098">
        <f>IF('[2]BASE'!FD67=0,"",'[2]BASE'!FD67)</f>
      </c>
      <c r="I67" s="1098">
        <f>IF('[2]BASE'!FE67=0,"",'[2]BASE'!FE67)</f>
      </c>
      <c r="J67" s="1098">
        <f>IF('[2]BASE'!FF67=0,"",'[2]BASE'!FF67)</f>
      </c>
      <c r="K67" s="1098">
        <f>IF('[2]BASE'!FG67=0,"",'[2]BASE'!FG67)</f>
      </c>
      <c r="L67" s="1098">
        <f>IF('[2]BASE'!FH67=0,"",'[2]BASE'!FH67)</f>
      </c>
      <c r="M67" s="1098">
        <f>IF('[2]BASE'!FI67=0,"",'[2]BASE'!FI67)</f>
      </c>
      <c r="N67" s="1098">
        <f>IF('[2]BASE'!FJ67=0,"",'[2]BASE'!FJ67)</f>
      </c>
      <c r="O67" s="1098">
        <f>IF('[2]BASE'!FK67=0,"",'[2]BASE'!FK67)</f>
      </c>
      <c r="P67" s="1098">
        <f>IF('[2]BASE'!FL67=0,"",'[2]BASE'!FL67)</f>
      </c>
      <c r="Q67" s="1098">
        <f>IF('[2]BASE'!FM67=0,"",'[2]BASE'!FM67)</f>
      </c>
      <c r="R67" s="1098">
        <f>IF('[2]BASE'!FN67=0,"",'[2]BASE'!FN67)</f>
      </c>
      <c r="S67" s="1098">
        <f>IF('[2]BASE'!FO67=0,"",'[2]BASE'!FO67)</f>
      </c>
      <c r="T67" s="1098">
        <f>IF('[2]BASE'!FP67=0,"",'[2]BASE'!FP67)</f>
      </c>
      <c r="U67" s="1095"/>
    </row>
    <row r="68" spans="2:21" s="1090" customFormat="1" ht="19.5" customHeight="1">
      <c r="B68" s="1091"/>
      <c r="C68" s="1099">
        <f>IF('[2]BASE'!C68=0,"",'[2]BASE'!C68)</f>
        <v>51</v>
      </c>
      <c r="D68" s="1099" t="str">
        <f>IF('[2]BASE'!D68=0,"",'[2]BASE'!D68)</f>
        <v>RAMALLO - SAN NICOLAS (1)</v>
      </c>
      <c r="E68" s="1099">
        <f>IF('[2]BASE'!E68=0,"",'[2]BASE'!E68)</f>
        <v>220</v>
      </c>
      <c r="F68" s="1099">
        <f>IF('[2]BASE'!F68=0,"",'[2]BASE'!F68)</f>
        <v>6</v>
      </c>
      <c r="G68" s="1100" t="str">
        <f>IF('[2]BASE'!G68=0,"",'[2]BASE'!G68)</f>
        <v>C</v>
      </c>
      <c r="H68" s="1098">
        <f>IF('[2]BASE'!FD68=0,"",'[2]BASE'!FD68)</f>
      </c>
      <c r="I68" s="1098">
        <f>IF('[2]BASE'!FE68=0,"",'[2]BASE'!FE68)</f>
      </c>
      <c r="J68" s="1098">
        <f>IF('[2]BASE'!FF68=0,"",'[2]BASE'!FF68)</f>
      </c>
      <c r="K68" s="1098">
        <f>IF('[2]BASE'!FG68=0,"",'[2]BASE'!FG68)</f>
      </c>
      <c r="L68" s="1098">
        <f>IF('[2]BASE'!FH68=0,"",'[2]BASE'!FH68)</f>
      </c>
      <c r="M68" s="1098">
        <f>IF('[2]BASE'!FI68=0,"",'[2]BASE'!FI68)</f>
      </c>
      <c r="N68" s="1098">
        <f>IF('[2]BASE'!FJ68=0,"",'[2]BASE'!FJ68)</f>
      </c>
      <c r="O68" s="1098">
        <f>IF('[2]BASE'!FK68=0,"",'[2]BASE'!FK68)</f>
      </c>
      <c r="P68" s="1094"/>
      <c r="Q68" s="1098">
        <f>IF('[2]BASE'!FM68=0,"",'[2]BASE'!FM68)</f>
        <v>1</v>
      </c>
      <c r="R68" s="1098">
        <f>IF('[2]BASE'!FN68=0,"",'[2]BASE'!FN68)</f>
      </c>
      <c r="S68" s="1098">
        <f>IF('[2]BASE'!FO68=0,"",'[2]BASE'!FO68)</f>
      </c>
      <c r="T68" s="1098">
        <f>IF('[2]BASE'!FP68=0,"",'[2]BASE'!FP68)</f>
      </c>
      <c r="U68" s="1095"/>
    </row>
    <row r="69" spans="2:21" s="1090" customFormat="1" ht="19.5" customHeight="1">
      <c r="B69" s="1091"/>
      <c r="C69" s="1101">
        <f>IF('[2]BASE'!C69=0,"",'[2]BASE'!C69)</f>
        <v>52</v>
      </c>
      <c r="D69" s="1101" t="str">
        <f>IF('[2]BASE'!D69=0,"",'[2]BASE'!D69)</f>
        <v>RAMALLO - VILLA LIA  1</v>
      </c>
      <c r="E69" s="1101">
        <f>IF('[2]BASE'!E69=0,"",'[2]BASE'!E69)</f>
        <v>220</v>
      </c>
      <c r="F69" s="1102">
        <f>IF('[2]BASE'!F69=0,"",'[2]BASE'!F69)</f>
        <v>114</v>
      </c>
      <c r="G69" s="1102" t="str">
        <f>IF('[2]BASE'!G69=0,"",'[2]BASE'!G69)</f>
        <v>C</v>
      </c>
      <c r="H69" s="1098">
        <f>IF('[2]BASE'!FD69=0,"",'[2]BASE'!FD69)</f>
      </c>
      <c r="I69" s="1098">
        <f>IF('[2]BASE'!FE69=0,"",'[2]BASE'!FE69)</f>
      </c>
      <c r="J69" s="1098">
        <f>IF('[2]BASE'!FF69=0,"",'[2]BASE'!FF69)</f>
      </c>
      <c r="K69" s="1098">
        <f>IF('[2]BASE'!FG69=0,"",'[2]BASE'!FG69)</f>
      </c>
      <c r="L69" s="1098">
        <f>IF('[2]BASE'!FH69=0,"",'[2]BASE'!FH69)</f>
        <v>1</v>
      </c>
      <c r="M69" s="1098">
        <f>IF('[2]BASE'!FI69=0,"",'[2]BASE'!FI69)</f>
        <v>1</v>
      </c>
      <c r="N69" s="1098">
        <f>IF('[2]BASE'!FJ69=0,"",'[2]BASE'!FJ69)</f>
      </c>
      <c r="O69" s="1098">
        <f>IF('[2]BASE'!FK69=0,"",'[2]BASE'!FK69)</f>
      </c>
      <c r="P69" s="1098">
        <f>IF('[2]BASE'!FL69=0,"",'[2]BASE'!FL69)</f>
      </c>
      <c r="Q69" s="1098">
        <f>IF('[2]BASE'!FM69=0,"",'[2]BASE'!FM69)</f>
      </c>
      <c r="R69" s="1098">
        <f>IF('[2]BASE'!FN69=0,"",'[2]BASE'!FN69)</f>
      </c>
      <c r="S69" s="1098">
        <f>IF('[2]BASE'!FO69=0,"",'[2]BASE'!FO69)</f>
        <v>2</v>
      </c>
      <c r="T69" s="1098">
        <f>IF('[2]BASE'!FP69=0,"",'[2]BASE'!FP69)</f>
      </c>
      <c r="U69" s="1095"/>
    </row>
    <row r="70" spans="2:21" s="1090" customFormat="1" ht="19.5" customHeight="1">
      <c r="B70" s="1091"/>
      <c r="C70" s="1099">
        <f>IF('[2]BASE'!C70=0,"",'[2]BASE'!C70)</f>
        <v>53</v>
      </c>
      <c r="D70" s="1099" t="str">
        <f>IF('[2]BASE'!D70=0,"",'[2]BASE'!D70)</f>
        <v>RAMALLO - VILLA LIA  2</v>
      </c>
      <c r="E70" s="1099">
        <f>IF('[2]BASE'!E70=0,"",'[2]BASE'!E70)</f>
        <v>220</v>
      </c>
      <c r="F70" s="1100">
        <f>IF('[2]BASE'!F70=0,"",'[2]BASE'!F70)</f>
        <v>114</v>
      </c>
      <c r="G70" s="1100" t="str">
        <f>IF('[2]BASE'!G70=0,"",'[2]BASE'!G70)</f>
        <v>C</v>
      </c>
      <c r="H70" s="1098">
        <f>IF('[2]BASE'!FD70=0,"",'[2]BASE'!FD70)</f>
      </c>
      <c r="I70" s="1098">
        <f>IF('[2]BASE'!FE70=0,"",'[2]BASE'!FE70)</f>
      </c>
      <c r="J70" s="1098">
        <f>IF('[2]BASE'!FF70=0,"",'[2]BASE'!FF70)</f>
      </c>
      <c r="K70" s="1098">
        <f>IF('[2]BASE'!FG70=0,"",'[2]BASE'!FG70)</f>
      </c>
      <c r="L70" s="1098">
        <f>IF('[2]BASE'!FH70=0,"",'[2]BASE'!FH70)</f>
      </c>
      <c r="M70" s="1098">
        <f>IF('[2]BASE'!FI70=0,"",'[2]BASE'!FI70)</f>
      </c>
      <c r="N70" s="1098">
        <f>IF('[2]BASE'!FJ70=0,"",'[2]BASE'!FJ70)</f>
      </c>
      <c r="O70" s="1098">
        <f>IF('[2]BASE'!FK70=0,"",'[2]BASE'!FK70)</f>
      </c>
      <c r="P70" s="1094"/>
      <c r="Q70" s="1098">
        <f>IF('[2]BASE'!FM70=0,"",'[2]BASE'!FM70)</f>
      </c>
      <c r="R70" s="1098">
        <f>IF('[2]BASE'!FN70=0,"",'[2]BASE'!FN70)</f>
        <v>1</v>
      </c>
      <c r="S70" s="1098">
        <f>IF('[2]BASE'!FO70=0,"",'[2]BASE'!FO70)</f>
      </c>
      <c r="T70" s="1098">
        <f>IF('[2]BASE'!FP70=0,"",'[2]BASE'!FP70)</f>
      </c>
      <c r="U70" s="1095"/>
    </row>
    <row r="71" spans="2:21" s="1090" customFormat="1" ht="19.5" customHeight="1">
      <c r="B71" s="1091"/>
      <c r="C71" s="1101">
        <f>IF('[2]BASE'!C71=0,"",'[2]BASE'!C71)</f>
        <v>54</v>
      </c>
      <c r="D71" s="1101" t="str">
        <f>IF('[2]BASE'!D71=0,"",'[2]BASE'!D71)</f>
        <v>ROSARIO OESTE - RAMALLO  1</v>
      </c>
      <c r="E71" s="1101">
        <f>IF('[2]BASE'!E71=0,"",'[2]BASE'!E71)</f>
        <v>220</v>
      </c>
      <c r="F71" s="1102">
        <f>IF('[2]BASE'!F71=0,"",'[2]BASE'!F71)</f>
        <v>77</v>
      </c>
      <c r="G71" s="1102" t="str">
        <f>IF('[2]BASE'!G71=0,"",'[2]BASE'!G71)</f>
        <v>C</v>
      </c>
      <c r="H71" s="1098">
        <f>IF('[2]BASE'!FD71=0,"",'[2]BASE'!FD71)</f>
      </c>
      <c r="I71" s="1098">
        <f>IF('[2]BASE'!FE71=0,"",'[2]BASE'!FE71)</f>
      </c>
      <c r="J71" s="1098">
        <f>IF('[2]BASE'!FF71=0,"",'[2]BASE'!FF71)</f>
      </c>
      <c r="K71" s="1098">
        <f>IF('[2]BASE'!FG71=0,"",'[2]BASE'!FG71)</f>
      </c>
      <c r="L71" s="1098">
        <f>IF('[2]BASE'!FH71=0,"",'[2]BASE'!FH71)</f>
        <v>1</v>
      </c>
      <c r="M71" s="1098">
        <f>IF('[2]BASE'!FI71=0,"",'[2]BASE'!FI71)</f>
      </c>
      <c r="N71" s="1098">
        <f>IF('[2]BASE'!FJ71=0,"",'[2]BASE'!FJ71)</f>
      </c>
      <c r="O71" s="1098">
        <f>IF('[2]BASE'!FK71=0,"",'[2]BASE'!FK71)</f>
      </c>
      <c r="P71" s="1098">
        <f>IF('[2]BASE'!FL71=0,"",'[2]BASE'!FL71)</f>
      </c>
      <c r="Q71" s="1098">
        <f>IF('[2]BASE'!FM71=0,"",'[2]BASE'!FM71)</f>
      </c>
      <c r="R71" s="1098">
        <f>IF('[2]BASE'!FN71=0,"",'[2]BASE'!FN71)</f>
      </c>
      <c r="S71" s="1098">
        <f>IF('[2]BASE'!FO71=0,"",'[2]BASE'!FO71)</f>
      </c>
      <c r="T71" s="1098">
        <f>IF('[2]BASE'!FP71=0,"",'[2]BASE'!FP71)</f>
      </c>
      <c r="U71" s="1095"/>
    </row>
    <row r="72" spans="2:21" s="1090" customFormat="1" ht="19.5" customHeight="1">
      <c r="B72" s="1091"/>
      <c r="C72" s="1099">
        <f>IF('[2]BASE'!C72=0,"",'[2]BASE'!C72)</f>
        <v>55</v>
      </c>
      <c r="D72" s="1099" t="str">
        <f>IF('[2]BASE'!D72=0,"",'[2]BASE'!D72)</f>
        <v>ROSARIO OESTE - RAMALLO  2</v>
      </c>
      <c r="E72" s="1099">
        <f>IF('[2]BASE'!E72=0,"",'[2]BASE'!E72)</f>
        <v>220</v>
      </c>
      <c r="F72" s="1100">
        <f>IF('[2]BASE'!F72=0,"",'[2]BASE'!F72)</f>
        <v>77</v>
      </c>
      <c r="G72" s="1100" t="str">
        <f>IF('[2]BASE'!G72=0,"",'[2]BASE'!G72)</f>
        <v>C</v>
      </c>
      <c r="H72" s="1098">
        <f>IF('[2]BASE'!FD72=0,"",'[2]BASE'!FD72)</f>
      </c>
      <c r="I72" s="1098">
        <f>IF('[2]BASE'!FE72=0,"",'[2]BASE'!FE72)</f>
      </c>
      <c r="J72" s="1098">
        <f>IF('[2]BASE'!FF72=0,"",'[2]BASE'!FF72)</f>
      </c>
      <c r="K72" s="1098">
        <f>IF('[2]BASE'!FG72=0,"",'[2]BASE'!FG72)</f>
      </c>
      <c r="L72" s="1098">
        <f>IF('[2]BASE'!FH72=0,"",'[2]BASE'!FH72)</f>
        <v>1</v>
      </c>
      <c r="M72" s="1098">
        <f>IF('[2]BASE'!FI72=0,"",'[2]BASE'!FI72)</f>
      </c>
      <c r="N72" s="1098">
        <f>IF('[2]BASE'!FJ72=0,"",'[2]BASE'!FJ72)</f>
      </c>
      <c r="O72" s="1098">
        <f>IF('[2]BASE'!FK72=0,"",'[2]BASE'!FK72)</f>
      </c>
      <c r="P72" s="1094"/>
      <c r="Q72" s="1098">
        <f>IF('[2]BASE'!FM72=0,"",'[2]BASE'!FM72)</f>
      </c>
      <c r="R72" s="1098">
        <f>IF('[2]BASE'!FN72=0,"",'[2]BASE'!FN72)</f>
      </c>
      <c r="S72" s="1098">
        <f>IF('[2]BASE'!FO72=0,"",'[2]BASE'!FO72)</f>
      </c>
      <c r="T72" s="1098">
        <f>IF('[2]BASE'!FP72=0,"",'[2]BASE'!FP72)</f>
      </c>
      <c r="U72" s="1095"/>
    </row>
    <row r="73" spans="2:21" s="1090" customFormat="1" ht="19.5" customHeight="1">
      <c r="B73" s="1091"/>
      <c r="C73" s="1101">
        <f>IF('[2]BASE'!C73=0,"",'[2]BASE'!C73)</f>
        <v>56</v>
      </c>
      <c r="D73" s="1101" t="str">
        <f>IF('[2]BASE'!D73=0,"",'[2]BASE'!D73)</f>
        <v>VILLA LIA - ATUCHA 1</v>
      </c>
      <c r="E73" s="1101">
        <f>IF('[2]BASE'!E73=0,"",'[2]BASE'!E73)</f>
        <v>220</v>
      </c>
      <c r="F73" s="1101">
        <f>IF('[2]BASE'!F73=0,"",'[2]BASE'!F73)</f>
        <v>26</v>
      </c>
      <c r="G73" s="1102" t="str">
        <f>IF('[2]BASE'!G73=0,"",'[2]BASE'!G73)</f>
        <v>C</v>
      </c>
      <c r="H73" s="1098">
        <f>IF('[2]BASE'!FD73=0,"",'[2]BASE'!FD73)</f>
      </c>
      <c r="I73" s="1098">
        <f>IF('[2]BASE'!FE73=0,"",'[2]BASE'!FE73)</f>
      </c>
      <c r="J73" s="1098">
        <f>IF('[2]BASE'!FF73=0,"",'[2]BASE'!FF73)</f>
      </c>
      <c r="K73" s="1098">
        <f>IF('[2]BASE'!FG73=0,"",'[2]BASE'!FG73)</f>
      </c>
      <c r="L73" s="1098">
        <f>IF('[2]BASE'!FH73=0,"",'[2]BASE'!FH73)</f>
      </c>
      <c r="M73" s="1098">
        <f>IF('[2]BASE'!FI73=0,"",'[2]BASE'!FI73)</f>
      </c>
      <c r="N73" s="1098">
        <f>IF('[2]BASE'!FJ73=0,"",'[2]BASE'!FJ73)</f>
      </c>
      <c r="O73" s="1098">
        <f>IF('[2]BASE'!FK73=0,"",'[2]BASE'!FK73)</f>
      </c>
      <c r="P73" s="1098">
        <f>IF('[2]BASE'!FL73=0,"",'[2]BASE'!FL73)</f>
      </c>
      <c r="Q73" s="1098">
        <f>IF('[2]BASE'!FM73=0,"",'[2]BASE'!FM73)</f>
      </c>
      <c r="R73" s="1098">
        <f>IF('[2]BASE'!FN73=0,"",'[2]BASE'!FN73)</f>
      </c>
      <c r="S73" s="1098">
        <f>IF('[2]BASE'!FO73=0,"",'[2]BASE'!FO73)</f>
      </c>
      <c r="T73" s="1098">
        <f>IF('[2]BASE'!FP73=0,"",'[2]BASE'!FP73)</f>
      </c>
      <c r="U73" s="1095"/>
    </row>
    <row r="74" spans="2:21" s="1090" customFormat="1" ht="19.5" customHeight="1">
      <c r="B74" s="1091"/>
      <c r="C74" s="1099">
        <f>IF('[2]BASE'!C74=0,"",'[2]BASE'!C74)</f>
        <v>57</v>
      </c>
      <c r="D74" s="1099" t="str">
        <f>IF('[2]BASE'!D74=0,"",'[2]BASE'!D74)</f>
        <v>VILLA LIA - ATUCHA 2</v>
      </c>
      <c r="E74" s="1099">
        <f>IF('[2]BASE'!E74=0,"",'[2]BASE'!E74)</f>
        <v>220</v>
      </c>
      <c r="F74" s="1099">
        <f>IF('[2]BASE'!F74=0,"",'[2]BASE'!F74)</f>
        <v>26</v>
      </c>
      <c r="G74" s="1100" t="str">
        <f>IF('[2]BASE'!G74=0,"",'[2]BASE'!G74)</f>
        <v>C</v>
      </c>
      <c r="H74" s="1098">
        <f>IF('[2]BASE'!FD74=0,"",'[2]BASE'!FD74)</f>
      </c>
      <c r="I74" s="1098">
        <f>IF('[2]BASE'!FE74=0,"",'[2]BASE'!FE74)</f>
      </c>
      <c r="J74" s="1098">
        <f>IF('[2]BASE'!FF74=0,"",'[2]BASE'!FF74)</f>
      </c>
      <c r="K74" s="1098">
        <f>IF('[2]BASE'!FG74=0,"",'[2]BASE'!FG74)</f>
      </c>
      <c r="L74" s="1098">
        <f>IF('[2]BASE'!FH74=0,"",'[2]BASE'!FH74)</f>
      </c>
      <c r="M74" s="1098">
        <f>IF('[2]BASE'!FI74=0,"",'[2]BASE'!FI74)</f>
      </c>
      <c r="N74" s="1098">
        <f>IF('[2]BASE'!FJ74=0,"",'[2]BASE'!FJ74)</f>
      </c>
      <c r="O74" s="1098">
        <f>IF('[2]BASE'!FK74=0,"",'[2]BASE'!FK74)</f>
      </c>
      <c r="P74" s="1094"/>
      <c r="Q74" s="1098">
        <f>IF('[2]BASE'!FM74=0,"",'[2]BASE'!FM74)</f>
      </c>
      <c r="R74" s="1098">
        <f>IF('[2]BASE'!FN74=0,"",'[2]BASE'!FN74)</f>
      </c>
      <c r="S74" s="1098">
        <f>IF('[2]BASE'!FO74=0,"",'[2]BASE'!FO74)</f>
      </c>
      <c r="T74" s="1098">
        <f>IF('[2]BASE'!FP74=0,"",'[2]BASE'!FP74)</f>
      </c>
      <c r="U74" s="1095"/>
    </row>
    <row r="75" spans="2:21" s="1090" customFormat="1" ht="19.5" customHeight="1">
      <c r="B75" s="1091"/>
      <c r="C75" s="1101">
        <f>IF('[2]BASE'!C75=0,"",'[2]BASE'!C75)</f>
      </c>
      <c r="D75" s="1101">
        <f>IF('[2]BASE'!D75=0,"",'[2]BASE'!D75)</f>
      </c>
      <c r="E75" s="1101">
        <f>IF('[2]BASE'!E75=0,"",'[2]BASE'!E75)</f>
      </c>
      <c r="F75" s="1101">
        <f>IF('[2]BASE'!F75=0,"",'[2]BASE'!F75)</f>
      </c>
      <c r="G75" s="1102">
        <f>IF('[2]BASE'!G75=0,"",'[2]BASE'!G75)</f>
      </c>
      <c r="H75" s="1098">
        <f>IF('[2]BASE'!FD75=0,"",'[2]BASE'!FD75)</f>
      </c>
      <c r="I75" s="1098">
        <f>IF('[2]BASE'!FE75=0,"",'[2]BASE'!FE75)</f>
      </c>
      <c r="J75" s="1098">
        <f>IF('[2]BASE'!FF75=0,"",'[2]BASE'!FF75)</f>
      </c>
      <c r="K75" s="1098">
        <f>IF('[2]BASE'!FG75=0,"",'[2]BASE'!FG75)</f>
      </c>
      <c r="L75" s="1098">
        <f>IF('[2]BASE'!FH75=0,"",'[2]BASE'!FH75)</f>
      </c>
      <c r="M75" s="1098">
        <f>IF('[2]BASE'!FI75=0,"",'[2]BASE'!FI75)</f>
      </c>
      <c r="N75" s="1098">
        <f>IF('[2]BASE'!FJ75=0,"",'[2]BASE'!FJ75)</f>
      </c>
      <c r="O75" s="1098">
        <f>IF('[2]BASE'!FK75=0,"",'[2]BASE'!FK75)</f>
      </c>
      <c r="P75" s="1098">
        <f>IF('[2]BASE'!FL75=0,"",'[2]BASE'!FL75)</f>
      </c>
      <c r="Q75" s="1098">
        <f>IF('[2]BASE'!FM75=0,"",'[2]BASE'!FM75)</f>
      </c>
      <c r="R75" s="1098">
        <f>IF('[2]BASE'!FN75=0,"",'[2]BASE'!FN75)</f>
      </c>
      <c r="S75" s="1098">
        <f>IF('[2]BASE'!FO75=0,"",'[2]BASE'!FO75)</f>
      </c>
      <c r="T75" s="1098">
        <f>IF('[2]BASE'!FP75=0,"",'[2]BASE'!FP75)</f>
      </c>
      <c r="U75" s="1095"/>
    </row>
    <row r="76" spans="2:21" s="1090" customFormat="1" ht="19.5" customHeight="1">
      <c r="B76" s="1091"/>
      <c r="C76" s="1099">
        <f>IF('[2]BASE'!C76=0,"",'[2]BASE'!C76)</f>
        <v>58</v>
      </c>
      <c r="D76" s="1099" t="str">
        <f>IF('[2]BASE'!D76=0,"",'[2]BASE'!D76)</f>
        <v>GRAL RODRIGUEZ - RAMALLO</v>
      </c>
      <c r="E76" s="1099">
        <f>IF('[2]BASE'!E76=0,"",'[2]BASE'!E76)</f>
        <v>500</v>
      </c>
      <c r="F76" s="1100">
        <f>IF('[2]BASE'!F76=0,"",'[2]BASE'!F76)</f>
        <v>183.9</v>
      </c>
      <c r="G76" s="1100" t="str">
        <f>IF('[2]BASE'!G76=0,"",'[2]BASE'!G76)</f>
        <v>C</v>
      </c>
      <c r="H76" s="1098">
        <f>IF('[2]BASE'!FD76=0,"",'[2]BASE'!FD76)</f>
      </c>
      <c r="I76" s="1098">
        <f>IF('[2]BASE'!FE76=0,"",'[2]BASE'!FE76)</f>
      </c>
      <c r="J76" s="1098">
        <f>IF('[2]BASE'!FF76=0,"",'[2]BASE'!FF76)</f>
      </c>
      <c r="K76" s="1098">
        <f>IF('[2]BASE'!FG76=0,"",'[2]BASE'!FG76)</f>
      </c>
      <c r="L76" s="1098">
        <f>IF('[2]BASE'!FH76=0,"",'[2]BASE'!FH76)</f>
        <v>1</v>
      </c>
      <c r="M76" s="1098">
        <f>IF('[2]BASE'!FI76=0,"",'[2]BASE'!FI76)</f>
      </c>
      <c r="N76" s="1098">
        <f>IF('[2]BASE'!FJ76=0,"",'[2]BASE'!FJ76)</f>
      </c>
      <c r="O76" s="1098">
        <f>IF('[2]BASE'!FK76=0,"",'[2]BASE'!FK76)</f>
      </c>
      <c r="P76" s="1094"/>
      <c r="Q76" s="1098">
        <f>IF('[2]BASE'!FM76=0,"",'[2]BASE'!FM76)</f>
      </c>
      <c r="R76" s="1098">
        <f>IF('[2]BASE'!FN76=0,"",'[2]BASE'!FN76)</f>
      </c>
      <c r="S76" s="1098">
        <f>IF('[2]BASE'!FO76=0,"",'[2]BASE'!FO76)</f>
      </c>
      <c r="T76" s="1098">
        <f>IF('[2]BASE'!FP76=0,"",'[2]BASE'!FP76)</f>
      </c>
      <c r="U76" s="1095"/>
    </row>
    <row r="77" spans="2:21" s="1090" customFormat="1" ht="19.5" customHeight="1">
      <c r="B77" s="1091"/>
      <c r="C77" s="1101">
        <f>IF('[2]BASE'!C77=0,"",'[2]BASE'!C77)</f>
        <v>59</v>
      </c>
      <c r="D77" s="1101" t="str">
        <f>IF('[2]BASE'!D77=0,"",'[2]BASE'!D77)</f>
        <v>RAMALLO - ROSARIO OESTE</v>
      </c>
      <c r="E77" s="1101">
        <f>IF('[2]BASE'!E77=0,"",'[2]BASE'!E77)</f>
        <v>500</v>
      </c>
      <c r="F77" s="1102">
        <f>IF('[2]BASE'!F77=0,"",'[2]BASE'!F77)</f>
        <v>77</v>
      </c>
      <c r="G77" s="1102" t="str">
        <f>IF('[2]BASE'!G77=0,"",'[2]BASE'!G77)</f>
        <v>C</v>
      </c>
      <c r="H77" s="1098">
        <f>IF('[2]BASE'!FD77=0,"",'[2]BASE'!FD77)</f>
      </c>
      <c r="I77" s="1098">
        <f>IF('[2]BASE'!FE77=0,"",'[2]BASE'!FE77)</f>
      </c>
      <c r="J77" s="1098">
        <f>IF('[2]BASE'!FF77=0,"",'[2]BASE'!FF77)</f>
      </c>
      <c r="K77" s="1098">
        <f>IF('[2]BASE'!FG77=0,"",'[2]BASE'!FG77)</f>
      </c>
      <c r="L77" s="1098">
        <f>IF('[2]BASE'!FH77=0,"",'[2]BASE'!FH77)</f>
        <v>1</v>
      </c>
      <c r="M77" s="1098">
        <f>IF('[2]BASE'!FI77=0,"",'[2]BASE'!FI77)</f>
      </c>
      <c r="N77" s="1098">
        <f>IF('[2]BASE'!FJ77=0,"",'[2]BASE'!FJ77)</f>
      </c>
      <c r="O77" s="1098">
        <f>IF('[2]BASE'!FK77=0,"",'[2]BASE'!FK77)</f>
      </c>
      <c r="P77" s="1098">
        <f>IF('[2]BASE'!FL77=0,"",'[2]BASE'!FL77)</f>
      </c>
      <c r="Q77" s="1098">
        <f>IF('[2]BASE'!FM77=0,"",'[2]BASE'!FM77)</f>
      </c>
      <c r="R77" s="1098">
        <f>IF('[2]BASE'!FN77=0,"",'[2]BASE'!FN77)</f>
      </c>
      <c r="S77" s="1098">
        <f>IF('[2]BASE'!FO77=0,"",'[2]BASE'!FO77)</f>
      </c>
      <c r="T77" s="1098">
        <f>IF('[2]BASE'!FP77=0,"",'[2]BASE'!FP77)</f>
      </c>
      <c r="U77" s="1095"/>
    </row>
    <row r="78" spans="2:21" s="1090" customFormat="1" ht="19.5" customHeight="1">
      <c r="B78" s="1091"/>
      <c r="C78" s="1099">
        <f>IF('[2]BASE'!C78=0,"",'[2]BASE'!C78)</f>
        <v>60</v>
      </c>
      <c r="D78" s="1099" t="str">
        <f>IF('[2]BASE'!D78=0,"",'[2]BASE'!D78)</f>
        <v>MACACHIN - HENDERSON</v>
      </c>
      <c r="E78" s="1099">
        <f>IF('[2]BASE'!E78=0,"",'[2]BASE'!E78)</f>
        <v>500</v>
      </c>
      <c r="F78" s="1100">
        <f>IF('[2]BASE'!F78=0,"",'[2]BASE'!F78)</f>
        <v>194</v>
      </c>
      <c r="G78" s="1100" t="str">
        <f>IF('[2]BASE'!G78=0,"",'[2]BASE'!G78)</f>
        <v>A</v>
      </c>
      <c r="H78" s="1098">
        <f>IF('[2]BASE'!FD78=0,"",'[2]BASE'!FD78)</f>
      </c>
      <c r="I78" s="1098">
        <f>IF('[2]BASE'!FE78=0,"",'[2]BASE'!FE78)</f>
      </c>
      <c r="J78" s="1098">
        <f>IF('[2]BASE'!FF78=0,"",'[2]BASE'!FF78)</f>
      </c>
      <c r="K78" s="1098">
        <f>IF('[2]BASE'!FG78=0,"",'[2]BASE'!FG78)</f>
      </c>
      <c r="L78" s="1098">
        <f>IF('[2]BASE'!FH78=0,"",'[2]BASE'!FH78)</f>
      </c>
      <c r="M78" s="1098">
        <f>IF('[2]BASE'!FI78=0,"",'[2]BASE'!FI78)</f>
      </c>
      <c r="N78" s="1098">
        <f>IF('[2]BASE'!FJ78=0,"",'[2]BASE'!FJ78)</f>
      </c>
      <c r="O78" s="1098">
        <f>IF('[2]BASE'!FK78=0,"",'[2]BASE'!FK78)</f>
      </c>
      <c r="P78" s="1094"/>
      <c r="Q78" s="1098">
        <f>IF('[2]BASE'!FM78=0,"",'[2]BASE'!FM78)</f>
      </c>
      <c r="R78" s="1098">
        <f>IF('[2]BASE'!FN78=0,"",'[2]BASE'!FN78)</f>
      </c>
      <c r="S78" s="1098">
        <f>IF('[2]BASE'!FO78=0,"",'[2]BASE'!FO78)</f>
      </c>
      <c r="T78" s="1098">
        <f>IF('[2]BASE'!FP78=0,"",'[2]BASE'!FP78)</f>
      </c>
      <c r="U78" s="1095"/>
    </row>
    <row r="79" spans="2:21" s="1090" customFormat="1" ht="19.5" customHeight="1">
      <c r="B79" s="1091"/>
      <c r="C79" s="1101">
        <f>IF('[2]BASE'!C79=0,"",'[2]BASE'!C79)</f>
        <v>61</v>
      </c>
      <c r="D79" s="1101" t="str">
        <f>IF('[2]BASE'!D79=0,"",'[2]BASE'!D79)</f>
        <v>PUELCHES - MACACHIN</v>
      </c>
      <c r="E79" s="1101">
        <f>IF('[2]BASE'!E79=0,"",'[2]BASE'!E79)</f>
        <v>500</v>
      </c>
      <c r="F79" s="1101">
        <f>IF('[2]BASE'!F79=0,"",'[2]BASE'!F79)</f>
        <v>227</v>
      </c>
      <c r="G79" s="1102" t="str">
        <f>IF('[2]BASE'!G79=0,"",'[2]BASE'!G79)</f>
        <v>A</v>
      </c>
      <c r="H79" s="1098">
        <f>IF('[2]BASE'!FD79=0,"",'[2]BASE'!FD79)</f>
      </c>
      <c r="I79" s="1098">
        <f>IF('[2]BASE'!FE79=0,"",'[2]BASE'!FE79)</f>
      </c>
      <c r="J79" s="1098">
        <f>IF('[2]BASE'!FF79=0,"",'[2]BASE'!FF79)</f>
      </c>
      <c r="K79" s="1098">
        <f>IF('[2]BASE'!FG79=0,"",'[2]BASE'!FG79)</f>
      </c>
      <c r="L79" s="1098">
        <f>IF('[2]BASE'!FH79=0,"",'[2]BASE'!FH79)</f>
      </c>
      <c r="M79" s="1098">
        <f>IF('[2]BASE'!FI79=0,"",'[2]BASE'!FI79)</f>
      </c>
      <c r="N79" s="1098">
        <f>IF('[2]BASE'!FJ79=0,"",'[2]BASE'!FJ79)</f>
      </c>
      <c r="O79" s="1098">
        <f>IF('[2]BASE'!FK79=0,"",'[2]BASE'!FK79)</f>
        <v>1</v>
      </c>
      <c r="P79" s="1098">
        <f>IF('[2]BASE'!FL79=0,"",'[2]BASE'!FL79)</f>
      </c>
      <c r="Q79" s="1098">
        <f>IF('[2]BASE'!FM79=0,"",'[2]BASE'!FM79)</f>
      </c>
      <c r="R79" s="1098">
        <f>IF('[2]BASE'!FN79=0,"",'[2]BASE'!FN79)</f>
      </c>
      <c r="S79" s="1098">
        <f>IF('[2]BASE'!FO79=0,"",'[2]BASE'!FO79)</f>
      </c>
      <c r="T79" s="1098">
        <f>IF('[2]BASE'!FP79=0,"",'[2]BASE'!FP79)</f>
      </c>
      <c r="U79" s="1095"/>
    </row>
    <row r="80" spans="2:21" s="1090" customFormat="1" ht="19.5" customHeight="1">
      <c r="B80" s="1091"/>
      <c r="C80" s="1099">
        <f>IF('[2]BASE'!C80=0,"",'[2]BASE'!C80)</f>
      </c>
      <c r="D80" s="1099">
        <f>IF('[2]BASE'!D80=0,"",'[2]BASE'!D80)</f>
      </c>
      <c r="E80" s="1099">
        <f>IF('[2]BASE'!E80=0,"",'[2]BASE'!E80)</f>
      </c>
      <c r="F80" s="1100">
        <f>IF('[2]BASE'!F80=0,"",'[2]BASE'!F80)</f>
      </c>
      <c r="G80" s="1100">
        <f>IF('[2]BASE'!G80=0,"",'[2]BASE'!G80)</f>
      </c>
      <c r="H80" s="1098">
        <f>IF('[2]BASE'!FD80=0,"",'[2]BASE'!FD80)</f>
      </c>
      <c r="I80" s="1098">
        <f>IF('[2]BASE'!FE80=0,"",'[2]BASE'!FE80)</f>
      </c>
      <c r="J80" s="1098">
        <f>IF('[2]BASE'!FF80=0,"",'[2]BASE'!FF80)</f>
      </c>
      <c r="K80" s="1098">
        <f>IF('[2]BASE'!FG80=0,"",'[2]BASE'!FG80)</f>
      </c>
      <c r="L80" s="1098">
        <f>IF('[2]BASE'!FH80=0,"",'[2]BASE'!FH80)</f>
      </c>
      <c r="M80" s="1098">
        <f>IF('[2]BASE'!FI80=0,"",'[2]BASE'!FI80)</f>
      </c>
      <c r="N80" s="1098">
        <f>IF('[2]BASE'!FJ80=0,"",'[2]BASE'!FJ80)</f>
      </c>
      <c r="O80" s="1098">
        <f>IF('[2]BASE'!FK80=0,"",'[2]BASE'!FK80)</f>
      </c>
      <c r="P80" s="1094"/>
      <c r="Q80" s="1098">
        <f>IF('[2]BASE'!FM80=0,"",'[2]BASE'!FM80)</f>
      </c>
      <c r="R80" s="1098">
        <f>IF('[2]BASE'!FN80=0,"",'[2]BASE'!FN80)</f>
      </c>
      <c r="S80" s="1098">
        <f>IF('[2]BASE'!FO80=0,"",'[2]BASE'!FO80)</f>
      </c>
      <c r="T80" s="1098">
        <f>IF('[2]BASE'!FP80=0,"",'[2]BASE'!FP80)</f>
      </c>
      <c r="U80" s="1095"/>
    </row>
    <row r="81" spans="2:21" s="1090" customFormat="1" ht="19.5" customHeight="1">
      <c r="B81" s="1091"/>
      <c r="C81" s="1101">
        <f>IF('[2]BASE'!C81=0,"",'[2]BASE'!C81)</f>
      </c>
      <c r="D81" s="1101">
        <f>IF('[2]BASE'!D81=0,"",'[2]BASE'!D81)</f>
      </c>
      <c r="E81" s="1101">
        <f>IF('[2]BASE'!E81=0,"",'[2]BASE'!E81)</f>
      </c>
      <c r="F81" s="1102">
        <f>IF('[2]BASE'!F81=0,"",'[2]BASE'!F81)</f>
      </c>
      <c r="G81" s="1102">
        <f>IF('[2]BASE'!G81=0,"",'[2]BASE'!G81)</f>
      </c>
      <c r="H81" s="1098">
        <f>IF('[2]BASE'!FD81=0,"",'[2]BASE'!FD81)</f>
      </c>
      <c r="I81" s="1098">
        <f>IF('[2]BASE'!FE81=0,"",'[2]BASE'!FE81)</f>
      </c>
      <c r="J81" s="1098">
        <f>IF('[2]BASE'!FF81=0,"",'[2]BASE'!FF81)</f>
      </c>
      <c r="K81" s="1098">
        <f>IF('[2]BASE'!FG81=0,"",'[2]BASE'!FG81)</f>
      </c>
      <c r="L81" s="1098">
        <f>IF('[2]BASE'!FH81=0,"",'[2]BASE'!FH81)</f>
      </c>
      <c r="M81" s="1098">
        <f>IF('[2]BASE'!FI81=0,"",'[2]BASE'!FI81)</f>
      </c>
      <c r="N81" s="1098">
        <f>IF('[2]BASE'!FJ81=0,"",'[2]BASE'!FJ81)</f>
      </c>
      <c r="O81" s="1098">
        <f>IF('[2]BASE'!FK81=0,"",'[2]BASE'!FK81)</f>
      </c>
      <c r="P81" s="1098">
        <f>IF('[2]BASE'!FL81=0,"",'[2]BASE'!FL81)</f>
      </c>
      <c r="Q81" s="1098">
        <f>IF('[2]BASE'!FM81=0,"",'[2]BASE'!FM81)</f>
      </c>
      <c r="R81" s="1098">
        <f>IF('[2]BASE'!FN81=0,"",'[2]BASE'!FN81)</f>
      </c>
      <c r="S81" s="1098">
        <f>IF('[2]BASE'!FO81=0,"",'[2]BASE'!FO81)</f>
      </c>
      <c r="T81" s="1098">
        <f>IF('[2]BASE'!FP81=0,"",'[2]BASE'!FP81)</f>
      </c>
      <c r="U81" s="1095"/>
    </row>
    <row r="82" spans="2:21" s="1090" customFormat="1" ht="19.5" customHeight="1">
      <c r="B82" s="1091"/>
      <c r="C82" s="1099">
        <f>IF('[2]BASE'!C82=0,"",'[2]BASE'!C82)</f>
        <v>62</v>
      </c>
      <c r="D82" s="1099" t="str">
        <f>IF('[2]BASE'!D82=0,"",'[2]BASE'!D82)</f>
        <v>YACYRETÁ - RINCON I</v>
      </c>
      <c r="E82" s="1099">
        <f>IF('[2]BASE'!E82=0,"",'[2]BASE'!E82)</f>
        <v>500</v>
      </c>
      <c r="F82" s="1100">
        <f>IF('[2]BASE'!F82=0,"",'[2]BASE'!F82)</f>
        <v>3.6</v>
      </c>
      <c r="G82" s="1100" t="str">
        <f>IF('[2]BASE'!G82=0,"",'[2]BASE'!G82)</f>
        <v>B</v>
      </c>
      <c r="H82" s="1098">
        <f>IF('[2]BASE'!FD82=0,"",'[2]BASE'!FD82)</f>
      </c>
      <c r="I82" s="1098">
        <f>IF('[2]BASE'!FE82=0,"",'[2]BASE'!FE82)</f>
      </c>
      <c r="J82" s="1098">
        <f>IF('[2]BASE'!FF82=0,"",'[2]BASE'!FF82)</f>
      </c>
      <c r="K82" s="1098">
        <f>IF('[2]BASE'!FG82=0,"",'[2]BASE'!FG82)</f>
      </c>
      <c r="L82" s="1098">
        <f>IF('[2]BASE'!FH82=0,"",'[2]BASE'!FH82)</f>
      </c>
      <c r="M82" s="1098">
        <f>IF('[2]BASE'!FI82=0,"",'[2]BASE'!FI82)</f>
      </c>
      <c r="N82" s="1098">
        <f>IF('[2]BASE'!FJ82=0,"",'[2]BASE'!FJ82)</f>
      </c>
      <c r="O82" s="1098">
        <f>IF('[2]BASE'!FK82=0,"",'[2]BASE'!FK82)</f>
      </c>
      <c r="P82" s="1094"/>
      <c r="Q82" s="1098">
        <f>IF('[2]BASE'!FM82=0,"",'[2]BASE'!FM82)</f>
      </c>
      <c r="R82" s="1098">
        <f>IF('[2]BASE'!FN82=0,"",'[2]BASE'!FN82)</f>
      </c>
      <c r="S82" s="1098">
        <f>IF('[2]BASE'!FO82=0,"",'[2]BASE'!FO82)</f>
      </c>
      <c r="T82" s="1098">
        <f>IF('[2]BASE'!FP82=0,"",'[2]BASE'!FP82)</f>
      </c>
      <c r="U82" s="1095"/>
    </row>
    <row r="83" spans="2:21" s="1090" customFormat="1" ht="19.5" customHeight="1">
      <c r="B83" s="1091"/>
      <c r="C83" s="1101">
        <f>IF('[2]BASE'!C83=0,"",'[2]BASE'!C83)</f>
        <v>63</v>
      </c>
      <c r="D83" s="1101" t="str">
        <f>IF('[2]BASE'!D83=0,"",'[2]BASE'!D83)</f>
        <v>YACYRETÁ - RINCON II</v>
      </c>
      <c r="E83" s="1101">
        <f>IF('[2]BASE'!E83=0,"",'[2]BASE'!E83)</f>
        <v>500</v>
      </c>
      <c r="F83" s="1101">
        <f>IF('[2]BASE'!F83=0,"",'[2]BASE'!F83)</f>
        <v>3.6</v>
      </c>
      <c r="G83" s="1102" t="str">
        <f>IF('[2]BASE'!G83=0,"",'[2]BASE'!G83)</f>
        <v>B</v>
      </c>
      <c r="H83" s="1098">
        <f>IF('[2]BASE'!FD83=0,"",'[2]BASE'!FD83)</f>
      </c>
      <c r="I83" s="1098">
        <f>IF('[2]BASE'!FE83=0,"",'[2]BASE'!FE83)</f>
      </c>
      <c r="J83" s="1098">
        <f>IF('[2]BASE'!FF83=0,"",'[2]BASE'!FF83)</f>
      </c>
      <c r="K83" s="1098">
        <f>IF('[2]BASE'!FG83=0,"",'[2]BASE'!FG83)</f>
      </c>
      <c r="L83" s="1098">
        <f>IF('[2]BASE'!FH83=0,"",'[2]BASE'!FH83)</f>
      </c>
      <c r="M83" s="1098">
        <f>IF('[2]BASE'!FI83=0,"",'[2]BASE'!FI83)</f>
      </c>
      <c r="N83" s="1098">
        <f>IF('[2]BASE'!FJ83=0,"",'[2]BASE'!FJ83)</f>
      </c>
      <c r="O83" s="1098">
        <f>IF('[2]BASE'!FK83=0,"",'[2]BASE'!FK83)</f>
      </c>
      <c r="P83" s="1098">
        <f>IF('[2]BASE'!FL83=0,"",'[2]BASE'!FL83)</f>
      </c>
      <c r="Q83" s="1098">
        <f>IF('[2]BASE'!FM83=0,"",'[2]BASE'!FM83)</f>
      </c>
      <c r="R83" s="1098">
        <f>IF('[2]BASE'!FN83=0,"",'[2]BASE'!FN83)</f>
      </c>
      <c r="S83" s="1098">
        <f>IF('[2]BASE'!FO83=0,"",'[2]BASE'!FO83)</f>
      </c>
      <c r="T83" s="1098">
        <f>IF('[2]BASE'!FP83=0,"",'[2]BASE'!FP83)</f>
      </c>
      <c r="U83" s="1095"/>
    </row>
    <row r="84" spans="2:21" s="1090" customFormat="1" ht="19.5" customHeight="1">
      <c r="B84" s="1091"/>
      <c r="C84" s="1099">
        <f>IF('[2]BASE'!C84=0,"",'[2]BASE'!C84)</f>
        <v>64</v>
      </c>
      <c r="D84" s="1099" t="str">
        <f>IF('[2]BASE'!D84=0,"",'[2]BASE'!D84)</f>
        <v>YACYRETÁ - RINCON III</v>
      </c>
      <c r="E84" s="1099">
        <f>IF('[2]BASE'!E84=0,"",'[2]BASE'!E84)</f>
        <v>500</v>
      </c>
      <c r="F84" s="1100">
        <f>IF('[2]BASE'!F84=0,"",'[2]BASE'!F84)</f>
        <v>3.6</v>
      </c>
      <c r="G84" s="1100" t="str">
        <f>IF('[2]BASE'!G84=0,"",'[2]BASE'!G84)</f>
        <v>B</v>
      </c>
      <c r="H84" s="1098">
        <f>IF('[2]BASE'!FD84=0,"",'[2]BASE'!FD84)</f>
      </c>
      <c r="I84" s="1098">
        <f>IF('[2]BASE'!FE84=0,"",'[2]BASE'!FE84)</f>
      </c>
      <c r="J84" s="1098">
        <f>IF('[2]BASE'!FF84=0,"",'[2]BASE'!FF84)</f>
      </c>
      <c r="K84" s="1098">
        <f>IF('[2]BASE'!FG84=0,"",'[2]BASE'!FG84)</f>
      </c>
      <c r="L84" s="1098">
        <f>IF('[2]BASE'!FH84=0,"",'[2]BASE'!FH84)</f>
      </c>
      <c r="M84" s="1098">
        <f>IF('[2]BASE'!FI84=0,"",'[2]BASE'!FI84)</f>
      </c>
      <c r="N84" s="1098">
        <f>IF('[2]BASE'!FJ84=0,"",'[2]BASE'!FJ84)</f>
      </c>
      <c r="O84" s="1098">
        <f>IF('[2]BASE'!FK84=0,"",'[2]BASE'!FK84)</f>
      </c>
      <c r="P84" s="1094"/>
      <c r="Q84" s="1098">
        <f>IF('[2]BASE'!FM84=0,"",'[2]BASE'!FM84)</f>
      </c>
      <c r="R84" s="1098">
        <f>IF('[2]BASE'!FN84=0,"",'[2]BASE'!FN84)</f>
      </c>
      <c r="S84" s="1098">
        <f>IF('[2]BASE'!FO84=0,"",'[2]BASE'!FO84)</f>
      </c>
      <c r="T84" s="1098">
        <f>IF('[2]BASE'!FP84=0,"",'[2]BASE'!FP84)</f>
      </c>
      <c r="U84" s="1095"/>
    </row>
    <row r="85" spans="2:21" s="1090" customFormat="1" ht="19.5" customHeight="1">
      <c r="B85" s="1091"/>
      <c r="C85" s="1101">
        <f>IF('[2]BASE'!C85=0,"",'[2]BASE'!C85)</f>
        <v>65</v>
      </c>
      <c r="D85" s="1101" t="str">
        <f>IF('[2]BASE'!D85=0,"",'[2]BASE'!D85)</f>
        <v>RINCON - PASO DE LA PATRIA</v>
      </c>
      <c r="E85" s="1101">
        <f>IF('[2]BASE'!E85=0,"",'[2]BASE'!E85)</f>
        <v>500</v>
      </c>
      <c r="F85" s="1102">
        <f>IF('[2]BASE'!F85=0,"",'[2]BASE'!F85)</f>
        <v>227</v>
      </c>
      <c r="G85" s="1102" t="str">
        <f>IF('[2]BASE'!G85=0,"",'[2]BASE'!G85)</f>
        <v>A</v>
      </c>
      <c r="H85" s="1098">
        <f>IF('[2]BASE'!FD85=0,"",'[2]BASE'!FD85)</f>
      </c>
      <c r="I85" s="1098">
        <f>IF('[2]BASE'!FE85=0,"",'[2]BASE'!FE85)</f>
      </c>
      <c r="J85" s="1098">
        <f>IF('[2]BASE'!FF85=0,"",'[2]BASE'!FF85)</f>
      </c>
      <c r="K85" s="1098">
        <f>IF('[2]BASE'!FG85=0,"",'[2]BASE'!FG85)</f>
      </c>
      <c r="L85" s="1098">
        <f>IF('[2]BASE'!FH85=0,"",'[2]BASE'!FH85)</f>
      </c>
      <c r="M85" s="1098">
        <f>IF('[2]BASE'!FI85=0,"",'[2]BASE'!FI85)</f>
      </c>
      <c r="N85" s="1098">
        <f>IF('[2]BASE'!FJ85=0,"",'[2]BASE'!FJ85)</f>
      </c>
      <c r="O85" s="1098">
        <f>IF('[2]BASE'!FK85=0,"",'[2]BASE'!FK85)</f>
      </c>
      <c r="P85" s="1098">
        <f>IF('[2]BASE'!FL85=0,"",'[2]BASE'!FL85)</f>
      </c>
      <c r="Q85" s="1098">
        <f>IF('[2]BASE'!FM85=0,"",'[2]BASE'!FM85)</f>
      </c>
      <c r="R85" s="1098">
        <f>IF('[2]BASE'!FN85=0,"",'[2]BASE'!FN85)</f>
      </c>
      <c r="S85" s="1098">
        <f>IF('[2]BASE'!FO85=0,"",'[2]BASE'!FO85)</f>
      </c>
      <c r="T85" s="1098">
        <f>IF('[2]BASE'!FP85=0,"",'[2]BASE'!FP85)</f>
      </c>
      <c r="U85" s="1095"/>
    </row>
    <row r="86" spans="2:21" s="1090" customFormat="1" ht="19.5" customHeight="1">
      <c r="B86" s="1091"/>
      <c r="C86" s="1099">
        <f>IF('[2]BASE'!C86=0,"",'[2]BASE'!C86)</f>
        <v>66</v>
      </c>
      <c r="D86" s="1099" t="str">
        <f>IF('[2]BASE'!D86=0,"",'[2]BASE'!D86)</f>
        <v>PASO DE LA PATRIA - RESISTENCIA</v>
      </c>
      <c r="E86" s="1099">
        <f>IF('[2]BASE'!E86=0,"",'[2]BASE'!E86)</f>
        <v>500</v>
      </c>
      <c r="F86" s="1100">
        <f>IF('[2]BASE'!F86=0,"",'[2]BASE'!F86)</f>
        <v>40</v>
      </c>
      <c r="G86" s="1100" t="str">
        <f>IF('[2]BASE'!G86=0,"",'[2]BASE'!G86)</f>
        <v>C</v>
      </c>
      <c r="H86" s="1098">
        <f>IF('[2]BASE'!FD86=0,"",'[2]BASE'!FD86)</f>
      </c>
      <c r="I86" s="1098">
        <f>IF('[2]BASE'!FE86=0,"",'[2]BASE'!FE86)</f>
      </c>
      <c r="J86" s="1098">
        <f>IF('[2]BASE'!FF86=0,"",'[2]BASE'!FF86)</f>
      </c>
      <c r="K86" s="1098">
        <f>IF('[2]BASE'!FG86=0,"",'[2]BASE'!FG86)</f>
      </c>
      <c r="L86" s="1098">
        <f>IF('[2]BASE'!FH86=0,"",'[2]BASE'!FH86)</f>
      </c>
      <c r="M86" s="1098">
        <f>IF('[2]BASE'!FI86=0,"",'[2]BASE'!FI86)</f>
      </c>
      <c r="N86" s="1098">
        <f>IF('[2]BASE'!FJ86=0,"",'[2]BASE'!FJ86)</f>
      </c>
      <c r="O86" s="1098">
        <f>IF('[2]BASE'!FK86=0,"",'[2]BASE'!FK86)</f>
      </c>
      <c r="P86" s="1094"/>
      <c r="Q86" s="1098">
        <f>IF('[2]BASE'!FM86=0,"",'[2]BASE'!FM86)</f>
      </c>
      <c r="R86" s="1098">
        <f>IF('[2]BASE'!FN86=0,"",'[2]BASE'!FN86)</f>
      </c>
      <c r="S86" s="1098">
        <f>IF('[2]BASE'!FO86=0,"",'[2]BASE'!FO86)</f>
      </c>
      <c r="T86" s="1098">
        <f>IF('[2]BASE'!FP86=0,"",'[2]BASE'!FP86)</f>
      </c>
      <c r="U86" s="1095"/>
    </row>
    <row r="87" spans="2:21" s="1090" customFormat="1" ht="19.5" customHeight="1">
      <c r="B87" s="1091"/>
      <c r="C87" s="1101">
        <f>IF('[2]BASE'!C87=0,"",'[2]BASE'!C87)</f>
        <v>67</v>
      </c>
      <c r="D87" s="1101" t="str">
        <f>IF('[2]BASE'!D87=0,"",'[2]BASE'!D87)</f>
        <v>RINCON - RESISTENCIA</v>
      </c>
      <c r="E87" s="1101">
        <f>IF('[2]BASE'!E87=0,"",'[2]BASE'!E87)</f>
        <v>500</v>
      </c>
      <c r="F87" s="1101">
        <f>IF('[2]BASE'!F87=0,"",'[2]BASE'!F87)</f>
        <v>267</v>
      </c>
      <c r="G87" s="1102" t="str">
        <f>IF('[2]BASE'!G87=0,"",'[2]BASE'!G87)</f>
        <v>B</v>
      </c>
      <c r="H87" s="1098" t="str">
        <f>IF('[2]BASE'!FD87=0,"",'[2]BASE'!FD87)</f>
        <v>XXXX</v>
      </c>
      <c r="I87" s="1098" t="str">
        <f>IF('[2]BASE'!FE87=0,"",'[2]BASE'!FE87)</f>
        <v>XXXX</v>
      </c>
      <c r="J87" s="1098" t="str">
        <f>IF('[2]BASE'!FF87=0,"",'[2]BASE'!FF87)</f>
        <v>XXXX</v>
      </c>
      <c r="K87" s="1098" t="str">
        <f>IF('[2]BASE'!FG87=0,"",'[2]BASE'!FG87)</f>
        <v>XXXX</v>
      </c>
      <c r="L87" s="1098" t="str">
        <f>IF('[2]BASE'!FH87=0,"",'[2]BASE'!FH87)</f>
        <v>XXXX</v>
      </c>
      <c r="M87" s="1098" t="str">
        <f>IF('[2]BASE'!FI87=0,"",'[2]BASE'!FI87)</f>
        <v>XXXX</v>
      </c>
      <c r="N87" s="1098" t="str">
        <f>IF('[2]BASE'!FJ87=0,"",'[2]BASE'!FJ87)</f>
        <v>XXXX</v>
      </c>
      <c r="O87" s="1098" t="str">
        <f>IF('[2]BASE'!FK87=0,"",'[2]BASE'!FK87)</f>
        <v>XXXX</v>
      </c>
      <c r="P87" s="1098" t="str">
        <f>IF('[2]BASE'!FL87=0,"",'[2]BASE'!FL87)</f>
        <v>XXXX</v>
      </c>
      <c r="Q87" s="1098" t="str">
        <f>IF('[2]BASE'!FM87=0,"",'[2]BASE'!FM87)</f>
        <v>XXXX</v>
      </c>
      <c r="R87" s="1098" t="str">
        <f>IF('[2]BASE'!FN87=0,"",'[2]BASE'!FN87)</f>
        <v>XXXX</v>
      </c>
      <c r="S87" s="1098" t="str">
        <f>IF('[2]BASE'!FO87=0,"",'[2]BASE'!FO87)</f>
        <v>XXXX</v>
      </c>
      <c r="T87" s="1098" t="str">
        <f>IF('[2]BASE'!FP87=0,"",'[2]BASE'!FP87)</f>
        <v>XXXX</v>
      </c>
      <c r="U87" s="1095"/>
    </row>
    <row r="88" spans="2:21" s="1090" customFormat="1" ht="19.5" customHeight="1">
      <c r="B88" s="1091"/>
      <c r="C88" s="1099">
        <f>IF('[2]BASE'!C88=0,"",'[2]BASE'!C88)</f>
      </c>
      <c r="D88" s="1099">
        <f>IF('[2]BASE'!D88=0,"",'[2]BASE'!D88)</f>
      </c>
      <c r="E88" s="1099">
        <f>IF('[2]BASE'!E88=0,"",'[2]BASE'!E88)</f>
      </c>
      <c r="F88" s="1100">
        <f>IF('[2]BASE'!F88=0,"",'[2]BASE'!F88)</f>
      </c>
      <c r="G88" s="1100">
        <f>IF('[2]BASE'!G88=0,"",'[2]BASE'!G88)</f>
      </c>
      <c r="H88" s="1098">
        <f>IF('[2]BASE'!FD88=0,"",'[2]BASE'!FD88)</f>
      </c>
      <c r="I88" s="1098">
        <f>IF('[2]BASE'!FE88=0,"",'[2]BASE'!FE88)</f>
      </c>
      <c r="J88" s="1098">
        <f>IF('[2]BASE'!FF88=0,"",'[2]BASE'!FF88)</f>
      </c>
      <c r="K88" s="1098">
        <f>IF('[2]BASE'!FG88=0,"",'[2]BASE'!FG88)</f>
      </c>
      <c r="L88" s="1098">
        <f>IF('[2]BASE'!FH88=0,"",'[2]BASE'!FH88)</f>
      </c>
      <c r="M88" s="1098">
        <f>IF('[2]BASE'!FI88=0,"",'[2]BASE'!FI88)</f>
      </c>
      <c r="N88" s="1098">
        <f>IF('[2]BASE'!FJ88=0,"",'[2]BASE'!FJ88)</f>
      </c>
      <c r="O88" s="1098">
        <f>IF('[2]BASE'!FK88=0,"",'[2]BASE'!FK88)</f>
      </c>
      <c r="P88" s="1094"/>
      <c r="Q88" s="1098">
        <f>IF('[2]BASE'!FM88=0,"",'[2]BASE'!FM88)</f>
      </c>
      <c r="R88" s="1098">
        <f>IF('[2]BASE'!FN88=0,"",'[2]BASE'!FN88)</f>
      </c>
      <c r="S88" s="1098">
        <f>IF('[2]BASE'!FO88=0,"",'[2]BASE'!FO88)</f>
      </c>
      <c r="T88" s="1098">
        <f>IF('[2]BASE'!FP88=0,"",'[2]BASE'!FP88)</f>
      </c>
      <c r="U88" s="1095"/>
    </row>
    <row r="89" spans="2:21" s="1090" customFormat="1" ht="19.5" customHeight="1">
      <c r="B89" s="1091"/>
      <c r="C89" s="1101">
        <f>IF('[2]BASE'!C89=0,"",'[2]BASE'!C89)</f>
        <v>68</v>
      </c>
      <c r="D89" s="1101" t="str">
        <f>IF('[2]BASE'!D89=0,"",'[2]BASE'!D89)</f>
        <v>RINCON - SALTO GRANDE</v>
      </c>
      <c r="E89" s="1101">
        <f>IF('[2]BASE'!E89=0,"",'[2]BASE'!E89)</f>
        <v>500</v>
      </c>
      <c r="F89" s="1102">
        <f>IF('[2]BASE'!F89=0,"",'[2]BASE'!F89)</f>
        <v>506</v>
      </c>
      <c r="G89" s="1102" t="str">
        <f>IF('[2]BASE'!G89=0,"",'[2]BASE'!G89)</f>
        <v>A</v>
      </c>
      <c r="H89" s="1098">
        <f>IF('[2]BASE'!FD89=0,"",'[2]BASE'!FD89)</f>
      </c>
      <c r="I89" s="1098">
        <f>IF('[2]BASE'!FE89=0,"",'[2]BASE'!FE89)</f>
      </c>
      <c r="J89" s="1098">
        <f>IF('[2]BASE'!FF89=0,"",'[2]BASE'!FF89)</f>
      </c>
      <c r="K89" s="1098">
        <f>IF('[2]BASE'!FG89=0,"",'[2]BASE'!FG89)</f>
      </c>
      <c r="L89" s="1098">
        <f>IF('[2]BASE'!FH89=0,"",'[2]BASE'!FH89)</f>
      </c>
      <c r="M89" s="1098">
        <f>IF('[2]BASE'!FI89=0,"",'[2]BASE'!FI89)</f>
      </c>
      <c r="N89" s="1098">
        <f>IF('[2]BASE'!FJ89=0,"",'[2]BASE'!FJ89)</f>
      </c>
      <c r="O89" s="1098">
        <f>IF('[2]BASE'!FK89=0,"",'[2]BASE'!FK89)</f>
      </c>
      <c r="P89" s="1098">
        <f>IF('[2]BASE'!FL89=0,"",'[2]BASE'!FL89)</f>
      </c>
      <c r="Q89" s="1098">
        <f>IF('[2]BASE'!FM89=0,"",'[2]BASE'!FM89)</f>
      </c>
      <c r="R89" s="1098">
        <f>IF('[2]BASE'!FN89=0,"",'[2]BASE'!FN89)</f>
      </c>
      <c r="S89" s="1098">
        <f>IF('[2]BASE'!FO89=0,"",'[2]BASE'!FO89)</f>
      </c>
      <c r="T89" s="1098">
        <f>IF('[2]BASE'!FP89=0,"",'[2]BASE'!FP89)</f>
      </c>
      <c r="U89" s="1095"/>
    </row>
    <row r="90" spans="2:21" s="1090" customFormat="1" ht="19.5" customHeight="1">
      <c r="B90" s="1091"/>
      <c r="C90" s="1099">
        <f>IF('[2]BASE'!C90=0,"",'[2]BASE'!C90)</f>
        <v>69</v>
      </c>
      <c r="D90" s="1099" t="str">
        <f>IF('[2]BASE'!D90=0,"",'[2]BASE'!D90)</f>
        <v>RINCON - SAN ISIDRO</v>
      </c>
      <c r="E90" s="1099">
        <f>IF('[2]BASE'!E90=0,"",'[2]BASE'!E90)</f>
        <v>500</v>
      </c>
      <c r="F90" s="1100">
        <f>IF('[2]BASE'!F90=0,"",'[2]BASE'!F90)</f>
        <v>85</v>
      </c>
      <c r="G90" s="1100" t="str">
        <f>IF('[2]BASE'!G90=0,"",'[2]BASE'!G90)</f>
        <v>C</v>
      </c>
      <c r="H90" s="1098">
        <f>IF('[2]BASE'!FD90=0,"",'[2]BASE'!FD90)</f>
      </c>
      <c r="I90" s="1098">
        <f>IF('[2]BASE'!FE90=0,"",'[2]BASE'!FE90)</f>
      </c>
      <c r="J90" s="1098">
        <f>IF('[2]BASE'!FF90=0,"",'[2]BASE'!FF90)</f>
      </c>
      <c r="K90" s="1098">
        <f>IF('[2]BASE'!FG90=0,"",'[2]BASE'!FG90)</f>
      </c>
      <c r="L90" s="1098">
        <f>IF('[2]BASE'!FH90=0,"",'[2]BASE'!FH90)</f>
      </c>
      <c r="M90" s="1098">
        <f>IF('[2]BASE'!FI90=0,"",'[2]BASE'!FI90)</f>
      </c>
      <c r="N90" s="1098">
        <f>IF('[2]BASE'!FJ90=0,"",'[2]BASE'!FJ90)</f>
      </c>
      <c r="O90" s="1098">
        <f>IF('[2]BASE'!FK90=0,"",'[2]BASE'!FK90)</f>
      </c>
      <c r="P90" s="1094"/>
      <c r="Q90" s="1098">
        <f>IF('[2]BASE'!FM90=0,"",'[2]BASE'!FM90)</f>
      </c>
      <c r="R90" s="1098">
        <f>IF('[2]BASE'!FN90=0,"",'[2]BASE'!FN90)</f>
      </c>
      <c r="S90" s="1098">
        <f>IF('[2]BASE'!FO90=0,"",'[2]BASE'!FO90)</f>
      </c>
      <c r="T90" s="1098">
        <f>IF('[2]BASE'!FP90=0,"",'[2]BASE'!FP90)</f>
      </c>
      <c r="U90" s="1095"/>
    </row>
    <row r="91" spans="2:21" s="1090" customFormat="1" ht="19.5" customHeight="1">
      <c r="B91" s="1091"/>
      <c r="C91" s="1101">
        <f>IF('[2]BASE'!C91=0,"",'[2]BASE'!C91)</f>
      </c>
      <c r="D91" s="1101">
        <f>IF('[2]BASE'!D91=0,"",'[2]BASE'!D91)</f>
      </c>
      <c r="E91" s="1101">
        <f>IF('[2]BASE'!E91=0,"",'[2]BASE'!E91)</f>
      </c>
      <c r="F91" s="1101">
        <f>IF('[2]BASE'!F91=0,"",'[2]BASE'!F91)</f>
      </c>
      <c r="G91" s="1102">
        <f>IF('[2]BASE'!G91=0,"",'[2]BASE'!G91)</f>
      </c>
      <c r="H91" s="1098">
        <f>IF('[2]BASE'!FD91=0,"",'[2]BASE'!FD91)</f>
      </c>
      <c r="I91" s="1098">
        <f>IF('[2]BASE'!FE91=0,"",'[2]BASE'!FE91)</f>
      </c>
      <c r="J91" s="1098">
        <f>IF('[2]BASE'!FF91=0,"",'[2]BASE'!FF91)</f>
      </c>
      <c r="K91" s="1098">
        <f>IF('[2]BASE'!FG91=0,"",'[2]BASE'!FG91)</f>
      </c>
      <c r="L91" s="1098">
        <f>IF('[2]BASE'!FH91=0,"",'[2]BASE'!FH91)</f>
      </c>
      <c r="M91" s="1098">
        <f>IF('[2]BASE'!FI91=0,"",'[2]BASE'!FI91)</f>
      </c>
      <c r="N91" s="1098">
        <f>IF('[2]BASE'!FJ91=0,"",'[2]BASE'!FJ91)</f>
      </c>
      <c r="O91" s="1098">
        <f>IF('[2]BASE'!FK91=0,"",'[2]BASE'!FK91)</f>
      </c>
      <c r="P91" s="1098">
        <f>IF('[2]BASE'!FL91=0,"",'[2]BASE'!FL91)</f>
      </c>
      <c r="Q91" s="1098">
        <f>IF('[2]BASE'!FM91=0,"",'[2]BASE'!FM91)</f>
      </c>
      <c r="R91" s="1098">
        <f>IF('[2]BASE'!FN91=0,"",'[2]BASE'!FN91)</f>
      </c>
      <c r="S91" s="1098">
        <f>IF('[2]BASE'!FO91=0,"",'[2]BASE'!FO91)</f>
      </c>
      <c r="T91" s="1098">
        <f>IF('[2]BASE'!FP91=0,"",'[2]BASE'!FP91)</f>
      </c>
      <c r="U91" s="1095"/>
    </row>
    <row r="92" spans="2:21" s="1090" customFormat="1" ht="19.5" customHeight="1" thickBot="1">
      <c r="B92" s="1091"/>
      <c r="C92" s="1103"/>
      <c r="D92" s="1103"/>
      <c r="E92" s="1103"/>
      <c r="F92" s="1103"/>
      <c r="G92" s="1104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095"/>
    </row>
    <row r="93" spans="2:21" s="1090" customFormat="1" ht="19.5" customHeight="1" thickBot="1" thickTop="1">
      <c r="B93" s="1091"/>
      <c r="C93" s="1106"/>
      <c r="D93" s="1107"/>
      <c r="E93" s="1108" t="s">
        <v>282</v>
      </c>
      <c r="F93" s="1109">
        <f>SUM(F16:F92)-F46-F57-F78-F79-F87</f>
        <v>9666.7</v>
      </c>
      <c r="G93" s="1110"/>
      <c r="H93" s="1111"/>
      <c r="I93" s="1111"/>
      <c r="J93" s="1111"/>
      <c r="K93" s="1111"/>
      <c r="L93" s="1111"/>
      <c r="M93" s="1111"/>
      <c r="N93" s="1111"/>
      <c r="O93" s="1111"/>
      <c r="P93" s="1111"/>
      <c r="Q93" s="1111"/>
      <c r="R93" s="1111"/>
      <c r="S93" s="1111"/>
      <c r="T93" s="1111"/>
      <c r="U93" s="1095"/>
    </row>
    <row r="94" spans="2:21" s="1090" customFormat="1" ht="19.5" customHeight="1" thickBot="1" thickTop="1">
      <c r="B94" s="1091"/>
      <c r="C94" s="1112"/>
      <c r="D94" s="1113"/>
      <c r="E94" s="1114"/>
      <c r="F94" s="1115" t="s">
        <v>283</v>
      </c>
      <c r="H94" s="1116">
        <f aca="true" t="shared" si="0" ref="H94:Q94">SUM(H17:H92)</f>
        <v>3</v>
      </c>
      <c r="I94" s="1116">
        <f t="shared" si="0"/>
        <v>3</v>
      </c>
      <c r="J94" s="1116">
        <f t="shared" si="0"/>
        <v>1</v>
      </c>
      <c r="K94" s="1116">
        <f t="shared" si="0"/>
        <v>5</v>
      </c>
      <c r="L94" s="1116">
        <f t="shared" si="0"/>
        <v>5</v>
      </c>
      <c r="M94" s="1116">
        <f t="shared" si="0"/>
        <v>2</v>
      </c>
      <c r="N94" s="1116">
        <f t="shared" si="0"/>
        <v>0</v>
      </c>
      <c r="O94" s="1116">
        <f t="shared" si="0"/>
        <v>4</v>
      </c>
      <c r="P94" s="1116">
        <f t="shared" si="0"/>
        <v>1</v>
      </c>
      <c r="Q94" s="1116">
        <f t="shared" si="0"/>
        <v>4</v>
      </c>
      <c r="R94" s="1116">
        <f>SUM(R17:R92)</f>
        <v>1</v>
      </c>
      <c r="S94" s="1116">
        <f>SUM(S17:S92)</f>
        <v>5</v>
      </c>
      <c r="T94" s="1116">
        <f>SUM(T17:T92)</f>
        <v>4</v>
      </c>
      <c r="U94" s="1095"/>
    </row>
    <row r="95" spans="2:21" s="1090" customFormat="1" ht="19.5" customHeight="1" thickBot="1" thickTop="1">
      <c r="B95" s="1091"/>
      <c r="E95" s="1114"/>
      <c r="F95" s="1115" t="s">
        <v>284</v>
      </c>
      <c r="H95" s="1117">
        <f>'[2]BASE'!FD100</f>
        <v>0.43</v>
      </c>
      <c r="I95" s="1117">
        <f>'[2]BASE'!FE100</f>
        <v>0.43</v>
      </c>
      <c r="J95" s="1117">
        <f>'[2]BASE'!FF100</f>
        <v>0.46</v>
      </c>
      <c r="K95" s="1117">
        <f>'[2]BASE'!FG100</f>
        <v>0.41</v>
      </c>
      <c r="L95" s="1117">
        <f>'[2]BASE'!FH100</f>
        <v>0.44</v>
      </c>
      <c r="M95" s="1117">
        <f>'[2]BASE'!FI100</f>
        <v>0.46</v>
      </c>
      <c r="N95" s="1117">
        <f>'[2]BASE'!FJ100</f>
        <v>0.44</v>
      </c>
      <c r="O95" s="1117">
        <f>'[2]BASE'!FK100</f>
        <v>0.38</v>
      </c>
      <c r="P95" s="1117">
        <f>'[2]BASE'!FL100</f>
        <v>0.37</v>
      </c>
      <c r="Q95" s="1117">
        <f>'[2]BASE'!FM100</f>
        <v>0.38</v>
      </c>
      <c r="R95" s="1117">
        <f>'[2]BASE'!FN100</f>
        <v>0.38</v>
      </c>
      <c r="S95" s="1117">
        <f>'[2]BASE'!FO100</f>
        <v>0.35</v>
      </c>
      <c r="T95" s="1117">
        <f>'[2]BASE'!FP100</f>
        <v>0.37</v>
      </c>
      <c r="U95" s="1095"/>
    </row>
    <row r="96" spans="2:21" s="1124" customFormat="1" ht="15.75" customHeight="1" thickBot="1" thickTop="1">
      <c r="B96" s="1118"/>
      <c r="C96"/>
      <c r="D96" s="1119"/>
      <c r="E96" s="1120"/>
      <c r="F96" s="1121"/>
      <c r="G96"/>
      <c r="H96" s="1122"/>
      <c r="I96" s="1122"/>
      <c r="J96" s="1122"/>
      <c r="K96" s="1122"/>
      <c r="L96" s="1122"/>
      <c r="M96" s="1122"/>
      <c r="N96" s="1122"/>
      <c r="O96" s="1122"/>
      <c r="P96" s="1122"/>
      <c r="Q96" s="1122"/>
      <c r="R96" s="1122"/>
      <c r="S96" s="1122"/>
      <c r="T96" s="1122"/>
      <c r="U96" s="1123"/>
    </row>
    <row r="97" spans="2:21" ht="15.75" customHeight="1" thickBot="1">
      <c r="B97" s="51"/>
      <c r="C97" s="1125"/>
      <c r="D97" s="15" t="s">
        <v>285</v>
      </c>
      <c r="E97" s="4"/>
      <c r="F97" s="4"/>
      <c r="G97" s="6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1"/>
      <c r="C98" s="67"/>
      <c r="D98" s="4"/>
      <c r="H98" s="268" t="s">
        <v>286</v>
      </c>
      <c r="I98" s="1126"/>
      <c r="J98" s="1127">
        <f>T95</f>
        <v>0.37</v>
      </c>
      <c r="K98" s="1049" t="s">
        <v>287</v>
      </c>
      <c r="L98" s="269"/>
      <c r="M98" s="1128"/>
      <c r="N98" s="4"/>
      <c r="O98" s="4"/>
      <c r="P98" s="4"/>
      <c r="Q98" s="4"/>
      <c r="R98" s="4"/>
      <c r="S98" s="4"/>
      <c r="T98" s="4"/>
      <c r="U98" s="6"/>
    </row>
    <row r="99" spans="2:21" s="33" customFormat="1" ht="17.25" thickBot="1" thickTop="1">
      <c r="B99" s="58"/>
      <c r="C99" s="1129"/>
      <c r="D99" s="60"/>
      <c r="E99" s="60"/>
      <c r="F99" s="1129"/>
      <c r="G99" s="1129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1"/>
    </row>
    <row r="100" spans="3:7" ht="13.5" thickTop="1">
      <c r="C100" s="1130"/>
      <c r="F100" s="1130"/>
      <c r="G100" s="1130"/>
    </row>
    <row r="101" spans="3:194" ht="12.75">
      <c r="C101" s="1130"/>
      <c r="D101" s="67"/>
      <c r="E101" s="67"/>
      <c r="F101" s="67"/>
      <c r="G101" s="67"/>
      <c r="H101" s="1131"/>
      <c r="I101" s="1131"/>
      <c r="J101" s="1131"/>
      <c r="K101" s="1131"/>
      <c r="L101" s="1131"/>
      <c r="M101" s="1131"/>
      <c r="N101" s="1131"/>
      <c r="O101" s="1131"/>
      <c r="P101" s="1131"/>
      <c r="Q101" s="1131"/>
      <c r="R101" s="1131"/>
      <c r="S101" s="1131"/>
      <c r="T101" s="1131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1130"/>
      <c r="D102" s="67"/>
      <c r="E102" s="67"/>
      <c r="F102" s="67"/>
      <c r="G102" s="67"/>
      <c r="H102" s="1131"/>
      <c r="I102" s="1131"/>
      <c r="J102" s="1131"/>
      <c r="K102" s="1131"/>
      <c r="L102" s="1131"/>
      <c r="M102" s="1131"/>
      <c r="N102" s="1131"/>
      <c r="O102" s="1131"/>
      <c r="P102" s="1131"/>
      <c r="Q102" s="1131"/>
      <c r="R102" s="1131"/>
      <c r="S102" s="1131"/>
      <c r="T102" s="1131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1130"/>
      <c r="D103" s="67"/>
      <c r="E103" s="67"/>
      <c r="F103" s="67"/>
      <c r="G103" s="67"/>
      <c r="H103" s="1132"/>
      <c r="I103" s="1132"/>
      <c r="J103" s="1132"/>
      <c r="K103" s="1132"/>
      <c r="L103" s="1132"/>
      <c r="M103" s="1132"/>
      <c r="N103" s="1132"/>
      <c r="O103" s="1132"/>
      <c r="P103" s="1132"/>
      <c r="Q103" s="1132"/>
      <c r="R103" s="1132"/>
      <c r="S103" s="1132"/>
      <c r="T103" s="1132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1130"/>
      <c r="D104" s="67"/>
      <c r="E104" s="67"/>
      <c r="F104" s="67"/>
      <c r="G104" s="67"/>
      <c r="H104" s="1131"/>
      <c r="I104" s="1131"/>
      <c r="J104" s="1131"/>
      <c r="K104" s="1131"/>
      <c r="L104" s="1131"/>
      <c r="M104" s="1131"/>
      <c r="N104" s="1131"/>
      <c r="O104" s="1131"/>
      <c r="P104" s="1131"/>
      <c r="Q104" s="1131"/>
      <c r="R104" s="1131"/>
      <c r="S104" s="1131"/>
      <c r="T104" s="1131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1130"/>
      <c r="D105" s="67"/>
      <c r="E105" s="67"/>
      <c r="F105" s="67"/>
      <c r="G105" s="67"/>
      <c r="H105" s="1131"/>
      <c r="I105" s="1131"/>
      <c r="J105" s="1131"/>
      <c r="K105" s="1131"/>
      <c r="L105" s="1131"/>
      <c r="M105" s="1131"/>
      <c r="N105" s="1131"/>
      <c r="O105" s="1131"/>
      <c r="P105" s="1131"/>
      <c r="Q105" s="1131"/>
      <c r="R105" s="1131"/>
      <c r="S105" s="1131"/>
      <c r="T105" s="1131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1130"/>
      <c r="D106" s="67"/>
      <c r="E106" s="67"/>
      <c r="F106" s="67"/>
      <c r="G106" s="67"/>
      <c r="H106" s="1131"/>
      <c r="I106" s="1131"/>
      <c r="J106" s="1131"/>
      <c r="K106" s="1131"/>
      <c r="L106" s="1131"/>
      <c r="M106" s="1131"/>
      <c r="N106" s="1131"/>
      <c r="O106" s="1131"/>
      <c r="P106" s="1131"/>
      <c r="Q106" s="1131"/>
      <c r="R106" s="1131"/>
      <c r="S106" s="1131"/>
      <c r="T106" s="1131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1130"/>
      <c r="D107" s="67"/>
      <c r="E107" s="67"/>
      <c r="F107" s="67"/>
      <c r="G107" s="67"/>
      <c r="H107" s="1131"/>
      <c r="I107" s="1131"/>
      <c r="J107" s="1131"/>
      <c r="K107" s="1131"/>
      <c r="L107" s="1131"/>
      <c r="M107" s="1131"/>
      <c r="N107" s="1131"/>
      <c r="O107" s="1131"/>
      <c r="P107" s="1131"/>
      <c r="Q107" s="1131"/>
      <c r="R107" s="1131"/>
      <c r="S107" s="1131"/>
      <c r="T107" s="1131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1130"/>
      <c r="D108" s="67"/>
      <c r="E108" s="67"/>
      <c r="F108" s="67"/>
      <c r="G108" s="67"/>
      <c r="H108" s="1131"/>
      <c r="I108" s="1131"/>
      <c r="J108" s="1131"/>
      <c r="K108" s="1131"/>
      <c r="L108" s="1131"/>
      <c r="M108" s="1131"/>
      <c r="N108" s="1131"/>
      <c r="O108" s="1131"/>
      <c r="P108" s="1131"/>
      <c r="Q108" s="1131"/>
      <c r="R108" s="1131"/>
      <c r="S108" s="1131"/>
      <c r="T108" s="1131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1130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1130"/>
      <c r="D110" s="4"/>
      <c r="E110" s="4"/>
      <c r="F110" s="67"/>
      <c r="G110" s="67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1130"/>
      <c r="F111" s="1130"/>
      <c r="G111" s="1130"/>
    </row>
    <row r="112" spans="3:7" ht="12.75">
      <c r="C112" s="1130"/>
      <c r="F112" s="1130"/>
      <c r="G112" s="1130"/>
    </row>
    <row r="113" spans="3:7" ht="12.75">
      <c r="C113" s="1130"/>
      <c r="F113" s="1130"/>
      <c r="G113" s="1130"/>
    </row>
    <row r="114" spans="6:7" ht="12.75">
      <c r="F114" s="1130"/>
      <c r="G114" s="1130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25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F45"/>
  <sheetViews>
    <sheetView zoomScale="75" zoomScaleNormal="75" workbookViewId="0" topLeftCell="L7">
      <selection activeCell="AD42" sqref="AD4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7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19" customFormat="1" ht="26.25">
      <c r="A1"/>
      <c r="C1"/>
      <c r="E1"/>
      <c r="G1"/>
      <c r="I1"/>
      <c r="K1"/>
      <c r="M1"/>
      <c r="O1"/>
      <c r="Q1"/>
      <c r="S1"/>
      <c r="U1"/>
      <c r="W1"/>
      <c r="Y1"/>
      <c r="AE1" s="158"/>
    </row>
    <row r="2" spans="1:31" s="19" customFormat="1" ht="26.25">
      <c r="A2" s="92"/>
      <c r="B2" s="20" t="str">
        <f>+'TOT-0907'!B2</f>
        <v>ANEXO IV al Memorandum D.T.E.E. N°  1955 /2009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="5" customFormat="1" ht="12.75">
      <c r="A3" s="91"/>
    </row>
    <row r="4" spans="1:2" s="26" customFormat="1" ht="11.25">
      <c r="A4" s="24" t="s">
        <v>2</v>
      </c>
      <c r="B4" s="128"/>
    </row>
    <row r="5" spans="1:2" s="26" customFormat="1" ht="11.25">
      <c r="A5" s="24" t="s">
        <v>3</v>
      </c>
      <c r="B5" s="128"/>
    </row>
    <row r="6" s="5" customFormat="1" ht="13.5" thickBot="1"/>
    <row r="7" spans="2:31" s="5" customFormat="1" ht="13.5" thickTop="1">
      <c r="B7" s="70"/>
      <c r="C7" s="71"/>
      <c r="D7" s="71"/>
      <c r="E7" s="259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95"/>
    </row>
    <row r="8" spans="2:31" s="30" customFormat="1" ht="20.25">
      <c r="B8" s="80"/>
      <c r="C8" s="31"/>
      <c r="D8" s="192" t="s">
        <v>61</v>
      </c>
      <c r="E8" s="31"/>
      <c r="F8" s="31"/>
      <c r="G8" s="31"/>
      <c r="H8" s="31"/>
      <c r="N8" s="31"/>
      <c r="O8" s="31"/>
      <c r="P8" s="11"/>
      <c r="Q8" s="1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110"/>
    </row>
    <row r="9" spans="2:31" s="5" customFormat="1" ht="12.75">
      <c r="B9" s="5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8"/>
    </row>
    <row r="10" spans="2:31" s="30" customFormat="1" ht="20.25">
      <c r="B10" s="80"/>
      <c r="C10" s="31"/>
      <c r="D10" s="11" t="s">
        <v>12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110"/>
    </row>
    <row r="11" spans="2:31" s="5" customFormat="1" ht="12.75">
      <c r="B11" s="5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8"/>
    </row>
    <row r="12" spans="2:31" s="30" customFormat="1" ht="20.25">
      <c r="B12" s="80"/>
      <c r="C12" s="31"/>
      <c r="D12" s="11" t="s">
        <v>170</v>
      </c>
      <c r="E12" s="31"/>
      <c r="F12" s="31"/>
      <c r="G12" s="31"/>
      <c r="I12" s="31"/>
      <c r="J12" s="31"/>
      <c r="K12" s="31"/>
      <c r="L12" s="31"/>
      <c r="M12" s="31"/>
      <c r="N12" s="31"/>
      <c r="O12" s="31"/>
      <c r="P12" s="11"/>
      <c r="Q12" s="1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110"/>
    </row>
    <row r="13" spans="2:31" s="5" customFormat="1" ht="12.75">
      <c r="B13" s="51"/>
      <c r="C13" s="4"/>
      <c r="D13" s="4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8"/>
    </row>
    <row r="14" spans="2:31" s="37" customFormat="1" ht="19.5">
      <c r="B14" s="38" t="str">
        <f>'TOT-0907'!B14</f>
        <v>Desde el 01 al 30 de septiembre de 2007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263"/>
      <c r="O14" s="263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151"/>
    </row>
    <row r="15" spans="2:31" s="5" customFormat="1" ht="16.5" customHeight="1" thickBot="1">
      <c r="B15" s="51"/>
      <c r="C15" s="4"/>
      <c r="D15" s="4"/>
      <c r="E15" s="67"/>
      <c r="F15" s="67"/>
      <c r="G15" s="4"/>
      <c r="H15" s="4"/>
      <c r="I15" s="4"/>
      <c r="J15" s="264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8"/>
    </row>
    <row r="16" spans="2:31" s="5" customFormat="1" ht="16.5" customHeight="1" thickBot="1" thickTop="1">
      <c r="B16" s="51"/>
      <c r="C16" s="4"/>
      <c r="D16" s="83" t="s">
        <v>98</v>
      </c>
      <c r="E16" s="1036">
        <v>89.969</v>
      </c>
      <c r="F16" s="26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8"/>
    </row>
    <row r="17" spans="2:31" s="5" customFormat="1" ht="16.5" customHeight="1" thickBot="1" thickTop="1">
      <c r="B17" s="51"/>
      <c r="C17" s="4"/>
      <c r="D17" s="83" t="s">
        <v>99</v>
      </c>
      <c r="E17" s="1036">
        <v>74.974</v>
      </c>
      <c r="F17" s="267"/>
      <c r="G17" s="4"/>
      <c r="H17" s="4"/>
      <c r="I17" s="4"/>
      <c r="J17" s="273"/>
      <c r="K17" s="274"/>
      <c r="L17" s="4"/>
      <c r="M17" s="4"/>
      <c r="N17" s="4"/>
      <c r="O17" s="4"/>
      <c r="P17" s="4"/>
      <c r="Q17" s="4"/>
      <c r="R17" s="4"/>
      <c r="S17" s="4"/>
      <c r="T17" s="4"/>
      <c r="U17" s="4"/>
      <c r="V17" s="118"/>
      <c r="W17" s="118"/>
      <c r="X17" s="118"/>
      <c r="Y17" s="118"/>
      <c r="Z17" s="118"/>
      <c r="AA17" s="118"/>
      <c r="AB17" s="118"/>
      <c r="AE17" s="18"/>
    </row>
    <row r="18" spans="2:31" s="5" customFormat="1" ht="16.5" customHeight="1" thickBot="1" thickTop="1">
      <c r="B18" s="51"/>
      <c r="C18" s="4"/>
      <c r="D18" s="4"/>
      <c r="E18" s="277"/>
      <c r="F18" s="4"/>
      <c r="G18" s="4"/>
      <c r="H18" s="4"/>
      <c r="I18" s="4"/>
      <c r="J18" s="4"/>
      <c r="K18" s="4"/>
      <c r="L18" s="4"/>
      <c r="M18" s="4"/>
      <c r="N18" s="27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8"/>
    </row>
    <row r="19" spans="2:31" s="5" customFormat="1" ht="33.75" customHeight="1" thickBot="1" thickTop="1">
      <c r="B19" s="51"/>
      <c r="C19" s="85" t="s">
        <v>13</v>
      </c>
      <c r="D19" s="86" t="s">
        <v>0</v>
      </c>
      <c r="E19" s="969" t="s">
        <v>14</v>
      </c>
      <c r="F19" s="87" t="s">
        <v>15</v>
      </c>
      <c r="G19" s="280" t="s">
        <v>72</v>
      </c>
      <c r="H19" s="970" t="s">
        <v>38</v>
      </c>
      <c r="I19" s="971" t="s">
        <v>16</v>
      </c>
      <c r="J19" s="86" t="s">
        <v>17</v>
      </c>
      <c r="K19" s="209" t="s">
        <v>18</v>
      </c>
      <c r="L19" s="89" t="s">
        <v>37</v>
      </c>
      <c r="M19" s="87" t="s">
        <v>32</v>
      </c>
      <c r="N19" s="89" t="s">
        <v>19</v>
      </c>
      <c r="O19" s="87" t="s">
        <v>47</v>
      </c>
      <c r="P19" s="209" t="s">
        <v>48</v>
      </c>
      <c r="Q19" s="86" t="s">
        <v>33</v>
      </c>
      <c r="R19" s="148" t="s">
        <v>20</v>
      </c>
      <c r="S19" s="972" t="s">
        <v>21</v>
      </c>
      <c r="T19" s="284" t="s">
        <v>49</v>
      </c>
      <c r="U19" s="285"/>
      <c r="V19" s="286"/>
      <c r="W19" s="973" t="s">
        <v>171</v>
      </c>
      <c r="X19" s="974"/>
      <c r="Y19" s="975"/>
      <c r="Z19" s="290" t="s">
        <v>22</v>
      </c>
      <c r="AA19" s="291" t="s">
        <v>75</v>
      </c>
      <c r="AB19" s="144" t="s">
        <v>76</v>
      </c>
      <c r="AC19" s="144" t="s">
        <v>24</v>
      </c>
      <c r="AD19" s="144" t="s">
        <v>319</v>
      </c>
      <c r="AE19" s="293"/>
    </row>
    <row r="20" spans="2:31" s="5" customFormat="1" ht="16.5" customHeight="1" thickTop="1">
      <c r="B20" s="51"/>
      <c r="C20" s="217"/>
      <c r="D20" s="1019"/>
      <c r="E20" s="1019"/>
      <c r="F20" s="1037"/>
      <c r="G20" s="1018"/>
      <c r="H20" s="1020"/>
      <c r="I20" s="1021"/>
      <c r="J20" s="1032"/>
      <c r="K20" s="1032"/>
      <c r="L20" s="1018"/>
      <c r="M20" s="1018"/>
      <c r="N20" s="1018"/>
      <c r="O20" s="1018"/>
      <c r="P20" s="1018"/>
      <c r="Q20" s="1018"/>
      <c r="R20" s="1022"/>
      <c r="S20" s="1023"/>
      <c r="T20" s="1024"/>
      <c r="U20" s="1025"/>
      <c r="V20" s="1026"/>
      <c r="W20" s="1027"/>
      <c r="X20" s="1028"/>
      <c r="Y20" s="1029"/>
      <c r="Z20" s="1030"/>
      <c r="AA20" s="1031"/>
      <c r="AB20" s="1018"/>
      <c r="AC20" s="976"/>
      <c r="AD20" s="976"/>
      <c r="AE20" s="18"/>
    </row>
    <row r="21" spans="2:32" s="5" customFormat="1" ht="16.5" customHeight="1">
      <c r="B21" s="51"/>
      <c r="C21" s="408"/>
      <c r="D21" s="225"/>
      <c r="E21" s="7"/>
      <c r="F21" s="1038"/>
      <c r="G21" s="225"/>
      <c r="H21" s="977"/>
      <c r="I21" s="978"/>
      <c r="J21" s="307"/>
      <c r="K21" s="118"/>
      <c r="L21" s="225"/>
      <c r="M21" s="225"/>
      <c r="N21" s="226"/>
      <c r="O21" s="225"/>
      <c r="P21" s="225"/>
      <c r="Q21" s="225"/>
      <c r="R21" s="979"/>
      <c r="S21" s="980"/>
      <c r="T21" s="981"/>
      <c r="U21" s="982"/>
      <c r="V21" s="983"/>
      <c r="W21" s="984"/>
      <c r="X21" s="985"/>
      <c r="Y21" s="986"/>
      <c r="Z21" s="315"/>
      <c r="AA21" s="316"/>
      <c r="AB21" s="225"/>
      <c r="AC21" s="318"/>
      <c r="AD21" s="318"/>
      <c r="AE21" s="18"/>
      <c r="AF21" s="1145">
        <v>0.353464897</v>
      </c>
    </row>
    <row r="22" spans="2:31" s="5" customFormat="1" ht="16.5" customHeight="1">
      <c r="B22" s="51"/>
      <c r="C22" s="171">
        <v>1</v>
      </c>
      <c r="D22" s="171" t="s">
        <v>180</v>
      </c>
      <c r="E22" s="231">
        <v>500</v>
      </c>
      <c r="F22" s="1039">
        <v>227</v>
      </c>
      <c r="G22" s="231" t="s">
        <v>181</v>
      </c>
      <c r="H22" s="987">
        <f aca="true" t="shared" si="0" ref="H22:H40">IF(G22="A",200,IF(G22="B",60,20))</f>
        <v>200</v>
      </c>
      <c r="I22" s="988">
        <f aca="true" t="shared" si="1" ref="I22:I40">IF(E22=500,IF(F22&lt;100,100*$E$16/100,F22*$E$16/100),IF(F22&lt;100,100*$E$17/100,F22*$E$17/100))</f>
        <v>204.22963</v>
      </c>
      <c r="J22" s="989">
        <v>39326.28958333333</v>
      </c>
      <c r="K22" s="990">
        <v>39326.71597222222</v>
      </c>
      <c r="L22" s="234">
        <f aca="true" t="shared" si="2" ref="L22:L40">IF(D22="","",(K22-J22)*24)</f>
        <v>10.233333333337214</v>
      </c>
      <c r="M22" s="235">
        <f aca="true" t="shared" si="3" ref="M22:M40">IF(D22="","",ROUND((K22-J22)*24*60,0))</f>
        <v>614</v>
      </c>
      <c r="N22" s="322" t="s">
        <v>182</v>
      </c>
      <c r="O22" s="236" t="str">
        <f aca="true" t="shared" si="4" ref="O22:O40">IF(D22="","","--")</f>
        <v>--</v>
      </c>
      <c r="P22" s="168" t="str">
        <f aca="true" t="shared" si="5" ref="P22:P40">IF(D22="","","NO")</f>
        <v>NO</v>
      </c>
      <c r="Q22" s="168" t="str">
        <f aca="true" t="shared" si="6" ref="Q22:Q40">IF(D22="","",IF(OR(N22="P",N22="RP"),"--","NO"))</f>
        <v>--</v>
      </c>
      <c r="R22" s="991">
        <f aca="true" t="shared" si="7" ref="R22:R40">IF(N22="P",I22*H22*ROUND(M22/60,2)*0.01,"--")</f>
        <v>4178.5382298</v>
      </c>
      <c r="S22" s="992" t="str">
        <f aca="true" t="shared" si="8" ref="S22:S40">IF(N22="RP",I22*H22*ROUND(M22/60,2)*0.01*O22/100,"--")</f>
        <v>--</v>
      </c>
      <c r="T22" s="327" t="str">
        <f aca="true" t="shared" si="9" ref="T22:T40">IF(AND(N22="F",Q22="NO"),I22*H22*IF(P22="SI",1.2,1),"--")</f>
        <v>--</v>
      </c>
      <c r="U22" s="328" t="str">
        <f aca="true" t="shared" si="10" ref="U22:U40">IF(AND(N22="F",M22&gt;=10),I22*H22*IF(P22="SI",1.2,1)*IF(M22&lt;=300,ROUND(M22/60,2),5),"--")</f>
        <v>--</v>
      </c>
      <c r="V22" s="329" t="str">
        <f aca="true" t="shared" si="11" ref="V22:V40">IF(AND(N22="F",M22&gt;300),(ROUND(M22/60,2)-5)*I22*H22*0.1*IF(P22="SI",1.2,1),"--")</f>
        <v>--</v>
      </c>
      <c r="W22" s="993" t="str">
        <f aca="true" t="shared" si="12" ref="W22:W40">IF(AND(N22="R",Q22="NO"),I22*H22*O22/100*IF(P22="SI",1.2,1),"--")</f>
        <v>--</v>
      </c>
      <c r="X22" s="994" t="str">
        <f aca="true" t="shared" si="13" ref="X22:X40">IF(AND(N22="R",M22&gt;=10),I22*H22*O22/100*IF(P22="SI",1.2,1)*IF(M22&lt;=300,ROUND(M22/60,2),5),"--")</f>
        <v>--</v>
      </c>
      <c r="Y22" s="995" t="str">
        <f aca="true" t="shared" si="14" ref="Y22:Y40">IF(AND(N22="R",M22&gt;300),(ROUND(M22/60,2)-5)*I22*H22*0.1*O22/100*IF(P22="SI",1.2,1),"--")</f>
        <v>--</v>
      </c>
      <c r="Z22" s="333" t="str">
        <f aca="true" t="shared" si="15" ref="Z22:Z40">IF(N22="RF",ROUND(M22/60,2)*I22*H22*0.1*IF(P22="SI",1.2,1),"--")</f>
        <v>--</v>
      </c>
      <c r="AA22" s="334" t="str">
        <f aca="true" t="shared" si="16" ref="AA22:AA40">IF(N22="RR",ROUND(M22/60,2)*I22*H22*0.1*O22/100*IF(P22="SI",1.2,1),"--")</f>
        <v>--</v>
      </c>
      <c r="AB22" s="996" t="s">
        <v>183</v>
      </c>
      <c r="AC22" s="16">
        <f aca="true" t="shared" si="17" ref="AC22:AC40">IF(D22="","",SUM(R22:AA22)*IF(AB22="SI",1,2))</f>
        <v>4178.5382298</v>
      </c>
      <c r="AD22" s="16">
        <f>AC22*(1-$AF$21)</f>
        <v>2701.571644793181</v>
      </c>
      <c r="AE22" s="997"/>
    </row>
    <row r="23" spans="2:31" s="5" customFormat="1" ht="16.5" customHeight="1">
      <c r="B23" s="51"/>
      <c r="C23" s="408">
        <v>2</v>
      </c>
      <c r="D23" s="171" t="s">
        <v>184</v>
      </c>
      <c r="E23" s="231">
        <v>220</v>
      </c>
      <c r="F23" s="1039">
        <v>61</v>
      </c>
      <c r="G23" s="231" t="s">
        <v>185</v>
      </c>
      <c r="H23" s="987">
        <f t="shared" si="0"/>
        <v>20</v>
      </c>
      <c r="I23" s="988">
        <f t="shared" si="1"/>
        <v>74.974</v>
      </c>
      <c r="J23" s="989">
        <v>39327.33541666667</v>
      </c>
      <c r="K23" s="990">
        <v>39327.45486111111</v>
      </c>
      <c r="L23" s="234">
        <f t="shared" si="2"/>
        <v>2.8666666665812954</v>
      </c>
      <c r="M23" s="235">
        <f t="shared" si="3"/>
        <v>172</v>
      </c>
      <c r="N23" s="322" t="s">
        <v>182</v>
      </c>
      <c r="O23" s="236" t="str">
        <f t="shared" si="4"/>
        <v>--</v>
      </c>
      <c r="P23" s="168" t="str">
        <f t="shared" si="5"/>
        <v>NO</v>
      </c>
      <c r="Q23" s="168" t="str">
        <f t="shared" si="6"/>
        <v>--</v>
      </c>
      <c r="R23" s="991">
        <f t="shared" si="7"/>
        <v>43.035076</v>
      </c>
      <c r="S23" s="992" t="str">
        <f t="shared" si="8"/>
        <v>--</v>
      </c>
      <c r="T23" s="327" t="str">
        <f t="shared" si="9"/>
        <v>--</v>
      </c>
      <c r="U23" s="328" t="str">
        <f t="shared" si="10"/>
        <v>--</v>
      </c>
      <c r="V23" s="329" t="str">
        <f t="shared" si="11"/>
        <v>--</v>
      </c>
      <c r="W23" s="993" t="str">
        <f t="shared" si="12"/>
        <v>--</v>
      </c>
      <c r="X23" s="994" t="str">
        <f t="shared" si="13"/>
        <v>--</v>
      </c>
      <c r="Y23" s="995" t="str">
        <f t="shared" si="14"/>
        <v>--</v>
      </c>
      <c r="Z23" s="333" t="str">
        <f t="shared" si="15"/>
        <v>--</v>
      </c>
      <c r="AA23" s="334" t="str">
        <f t="shared" si="16"/>
        <v>--</v>
      </c>
      <c r="AB23" s="996" t="s">
        <v>183</v>
      </c>
      <c r="AC23" s="16">
        <v>0</v>
      </c>
      <c r="AD23" s="16">
        <f aca="true" t="shared" si="18" ref="AD23:AD32">AC23*(1-$AF$21)</f>
        <v>0</v>
      </c>
      <c r="AE23" s="997"/>
    </row>
    <row r="24" spans="2:31" s="5" customFormat="1" ht="16.5" customHeight="1">
      <c r="B24" s="51"/>
      <c r="C24" s="171">
        <v>3</v>
      </c>
      <c r="D24" s="998" t="s">
        <v>186</v>
      </c>
      <c r="E24" s="999">
        <v>500</v>
      </c>
      <c r="F24" s="1040">
        <v>58</v>
      </c>
      <c r="G24" s="999" t="s">
        <v>185</v>
      </c>
      <c r="H24" s="987">
        <f t="shared" si="0"/>
        <v>20</v>
      </c>
      <c r="I24" s="988">
        <f t="shared" si="1"/>
        <v>89.969</v>
      </c>
      <c r="J24" s="1000">
        <v>39329.40833333333</v>
      </c>
      <c r="K24" s="1001">
        <v>39329.73402777778</v>
      </c>
      <c r="L24" s="234">
        <f t="shared" si="2"/>
        <v>7.816666666651145</v>
      </c>
      <c r="M24" s="235">
        <f t="shared" si="3"/>
        <v>469</v>
      </c>
      <c r="N24" s="322" t="s">
        <v>182</v>
      </c>
      <c r="O24" s="236" t="str">
        <f t="shared" si="4"/>
        <v>--</v>
      </c>
      <c r="P24" s="168" t="str">
        <f t="shared" si="5"/>
        <v>NO</v>
      </c>
      <c r="Q24" s="168" t="str">
        <f t="shared" si="6"/>
        <v>--</v>
      </c>
      <c r="R24" s="991">
        <f t="shared" si="7"/>
        <v>140.711516</v>
      </c>
      <c r="S24" s="992" t="str">
        <f t="shared" si="8"/>
        <v>--</v>
      </c>
      <c r="T24" s="327" t="str">
        <f t="shared" si="9"/>
        <v>--</v>
      </c>
      <c r="U24" s="328" t="str">
        <f t="shared" si="10"/>
        <v>--</v>
      </c>
      <c r="V24" s="329" t="str">
        <f t="shared" si="11"/>
        <v>--</v>
      </c>
      <c r="W24" s="993" t="str">
        <f t="shared" si="12"/>
        <v>--</v>
      </c>
      <c r="X24" s="994" t="str">
        <f t="shared" si="13"/>
        <v>--</v>
      </c>
      <c r="Y24" s="995" t="str">
        <f t="shared" si="14"/>
        <v>--</v>
      </c>
      <c r="Z24" s="333" t="str">
        <f t="shared" si="15"/>
        <v>--</v>
      </c>
      <c r="AA24" s="334" t="str">
        <f t="shared" si="16"/>
        <v>--</v>
      </c>
      <c r="AB24" s="996" t="s">
        <v>183</v>
      </c>
      <c r="AC24" s="16">
        <f t="shared" si="17"/>
        <v>140.711516</v>
      </c>
      <c r="AD24" s="16">
        <f t="shared" si="18"/>
        <v>90.97493449034613</v>
      </c>
      <c r="AE24" s="997"/>
    </row>
    <row r="25" spans="2:31" s="5" customFormat="1" ht="16.5" customHeight="1">
      <c r="B25" s="51"/>
      <c r="C25" s="408">
        <v>4</v>
      </c>
      <c r="D25" s="998" t="s">
        <v>187</v>
      </c>
      <c r="E25" s="999">
        <v>500</v>
      </c>
      <c r="F25" s="1040">
        <v>30</v>
      </c>
      <c r="G25" s="999" t="s">
        <v>185</v>
      </c>
      <c r="H25" s="987">
        <f t="shared" si="0"/>
        <v>20</v>
      </c>
      <c r="I25" s="988">
        <f t="shared" si="1"/>
        <v>89.969</v>
      </c>
      <c r="J25" s="1000">
        <v>39334.291666666664</v>
      </c>
      <c r="K25" s="1001">
        <v>39334.74236111111</v>
      </c>
      <c r="L25" s="234">
        <f t="shared" si="2"/>
        <v>10.816666666651145</v>
      </c>
      <c r="M25" s="235">
        <f t="shared" si="3"/>
        <v>649</v>
      </c>
      <c r="N25" s="322" t="s">
        <v>182</v>
      </c>
      <c r="O25" s="236" t="str">
        <f t="shared" si="4"/>
        <v>--</v>
      </c>
      <c r="P25" s="168" t="str">
        <f t="shared" si="5"/>
        <v>NO</v>
      </c>
      <c r="Q25" s="168" t="str">
        <f t="shared" si="6"/>
        <v>--</v>
      </c>
      <c r="R25" s="991">
        <f t="shared" si="7"/>
        <v>194.692916</v>
      </c>
      <c r="S25" s="992" t="str">
        <f t="shared" si="8"/>
        <v>--</v>
      </c>
      <c r="T25" s="327" t="str">
        <f t="shared" si="9"/>
        <v>--</v>
      </c>
      <c r="U25" s="328" t="str">
        <f t="shared" si="10"/>
        <v>--</v>
      </c>
      <c r="V25" s="329" t="str">
        <f t="shared" si="11"/>
        <v>--</v>
      </c>
      <c r="W25" s="993" t="str">
        <f t="shared" si="12"/>
        <v>--</v>
      </c>
      <c r="X25" s="994" t="str">
        <f t="shared" si="13"/>
        <v>--</v>
      </c>
      <c r="Y25" s="995" t="str">
        <f t="shared" si="14"/>
        <v>--</v>
      </c>
      <c r="Z25" s="333" t="str">
        <f t="shared" si="15"/>
        <v>--</v>
      </c>
      <c r="AA25" s="334" t="str">
        <f t="shared" si="16"/>
        <v>--</v>
      </c>
      <c r="AB25" s="996" t="s">
        <v>183</v>
      </c>
      <c r="AC25" s="16">
        <f t="shared" si="17"/>
        <v>194.692916</v>
      </c>
      <c r="AD25" s="16">
        <f t="shared" si="18"/>
        <v>125.87580449943033</v>
      </c>
      <c r="AE25" s="997"/>
    </row>
    <row r="26" spans="2:31" s="5" customFormat="1" ht="16.5" customHeight="1">
      <c r="B26" s="51"/>
      <c r="C26" s="408">
        <v>6</v>
      </c>
      <c r="D26" s="171" t="s">
        <v>191</v>
      </c>
      <c r="E26" s="231">
        <v>500</v>
      </c>
      <c r="F26" s="1039">
        <v>313</v>
      </c>
      <c r="G26" s="231" t="s">
        <v>181</v>
      </c>
      <c r="H26" s="987">
        <f t="shared" si="0"/>
        <v>200</v>
      </c>
      <c r="I26" s="988">
        <f t="shared" si="1"/>
        <v>281.60296999999997</v>
      </c>
      <c r="J26" s="989">
        <v>39347.35902777778</v>
      </c>
      <c r="K26" s="990">
        <v>39347.68263888889</v>
      </c>
      <c r="L26" s="234">
        <f t="shared" si="2"/>
        <v>7.766666666662786</v>
      </c>
      <c r="M26" s="235">
        <f t="shared" si="3"/>
        <v>466</v>
      </c>
      <c r="N26" s="322" t="s">
        <v>182</v>
      </c>
      <c r="O26" s="236" t="str">
        <f t="shared" si="4"/>
        <v>--</v>
      </c>
      <c r="P26" s="168" t="str">
        <f t="shared" si="5"/>
        <v>NO</v>
      </c>
      <c r="Q26" s="168" t="str">
        <f t="shared" si="6"/>
        <v>--</v>
      </c>
      <c r="R26" s="991">
        <f t="shared" si="7"/>
        <v>4376.110153799999</v>
      </c>
      <c r="S26" s="992" t="str">
        <f t="shared" si="8"/>
        <v>--</v>
      </c>
      <c r="T26" s="327" t="str">
        <f t="shared" si="9"/>
        <v>--</v>
      </c>
      <c r="U26" s="328" t="str">
        <f t="shared" si="10"/>
        <v>--</v>
      </c>
      <c r="V26" s="329" t="str">
        <f t="shared" si="11"/>
        <v>--</v>
      </c>
      <c r="W26" s="993" t="str">
        <f t="shared" si="12"/>
        <v>--</v>
      </c>
      <c r="X26" s="994" t="str">
        <f t="shared" si="13"/>
        <v>--</v>
      </c>
      <c r="Y26" s="995" t="str">
        <f t="shared" si="14"/>
        <v>--</v>
      </c>
      <c r="Z26" s="333" t="str">
        <f t="shared" si="15"/>
        <v>--</v>
      </c>
      <c r="AA26" s="334" t="str">
        <f t="shared" si="16"/>
        <v>--</v>
      </c>
      <c r="AB26" s="996" t="s">
        <v>183</v>
      </c>
      <c r="AC26" s="16">
        <f t="shared" si="17"/>
        <v>4376.110153799999</v>
      </c>
      <c r="AD26" s="16">
        <f>AC26*(1-$AF$21)</f>
        <v>2829.308829026428</v>
      </c>
      <c r="AE26" s="997"/>
    </row>
    <row r="27" spans="2:31" s="5" customFormat="1" ht="16.5" customHeight="1">
      <c r="B27" s="51"/>
      <c r="C27" s="171">
        <v>7</v>
      </c>
      <c r="D27" s="160" t="s">
        <v>191</v>
      </c>
      <c r="E27" s="162">
        <v>500</v>
      </c>
      <c r="F27" s="1041">
        <v>313</v>
      </c>
      <c r="G27" s="162" t="s">
        <v>181</v>
      </c>
      <c r="H27" s="987">
        <f t="shared" si="0"/>
        <v>200</v>
      </c>
      <c r="I27" s="988">
        <f t="shared" si="1"/>
        <v>281.60296999999997</v>
      </c>
      <c r="J27" s="232">
        <v>39348.34097222222</v>
      </c>
      <c r="K27" s="321">
        <v>39348.74791666667</v>
      </c>
      <c r="L27" s="234">
        <f t="shared" si="2"/>
        <v>9.766666666720994</v>
      </c>
      <c r="M27" s="235">
        <f t="shared" si="3"/>
        <v>586</v>
      </c>
      <c r="N27" s="322" t="s">
        <v>182</v>
      </c>
      <c r="O27" s="236" t="str">
        <f t="shared" si="4"/>
        <v>--</v>
      </c>
      <c r="P27" s="168" t="str">
        <f t="shared" si="5"/>
        <v>NO</v>
      </c>
      <c r="Q27" s="168" t="str">
        <f t="shared" si="6"/>
        <v>--</v>
      </c>
      <c r="R27" s="991">
        <f t="shared" si="7"/>
        <v>5502.5220338</v>
      </c>
      <c r="S27" s="992" t="str">
        <f t="shared" si="8"/>
        <v>--</v>
      </c>
      <c r="T27" s="327" t="str">
        <f t="shared" si="9"/>
        <v>--</v>
      </c>
      <c r="U27" s="328" t="str">
        <f t="shared" si="10"/>
        <v>--</v>
      </c>
      <c r="V27" s="329" t="str">
        <f t="shared" si="11"/>
        <v>--</v>
      </c>
      <c r="W27" s="993" t="str">
        <f t="shared" si="12"/>
        <v>--</v>
      </c>
      <c r="X27" s="994" t="str">
        <f t="shared" si="13"/>
        <v>--</v>
      </c>
      <c r="Y27" s="995" t="str">
        <f t="shared" si="14"/>
        <v>--</v>
      </c>
      <c r="Z27" s="333" t="str">
        <f t="shared" si="15"/>
        <v>--</v>
      </c>
      <c r="AA27" s="334" t="str">
        <f t="shared" si="16"/>
        <v>--</v>
      </c>
      <c r="AB27" s="996" t="s">
        <v>183</v>
      </c>
      <c r="AC27" s="16">
        <f t="shared" si="17"/>
        <v>5502.5220338</v>
      </c>
      <c r="AD27" s="16">
        <f t="shared" si="18"/>
        <v>3557.5736498826523</v>
      </c>
      <c r="AE27" s="997"/>
    </row>
    <row r="28" spans="2:31" s="5" customFormat="1" ht="16.5" customHeight="1">
      <c r="B28" s="51"/>
      <c r="C28" s="408">
        <v>8</v>
      </c>
      <c r="D28" s="160" t="s">
        <v>192</v>
      </c>
      <c r="E28" s="162">
        <v>220</v>
      </c>
      <c r="F28" s="1041">
        <v>114</v>
      </c>
      <c r="G28" s="162" t="s">
        <v>185</v>
      </c>
      <c r="H28" s="987">
        <f t="shared" si="0"/>
        <v>20</v>
      </c>
      <c r="I28" s="988">
        <f t="shared" si="1"/>
        <v>85.47036</v>
      </c>
      <c r="J28" s="232">
        <v>39350.365277777775</v>
      </c>
      <c r="K28" s="321">
        <v>39350.72361111111</v>
      </c>
      <c r="L28" s="234">
        <f t="shared" si="2"/>
        <v>8.600000000093132</v>
      </c>
      <c r="M28" s="235">
        <f t="shared" si="3"/>
        <v>516</v>
      </c>
      <c r="N28" s="322" t="s">
        <v>182</v>
      </c>
      <c r="O28" s="236" t="str">
        <f t="shared" si="4"/>
        <v>--</v>
      </c>
      <c r="P28" s="168" t="str">
        <f t="shared" si="5"/>
        <v>NO</v>
      </c>
      <c r="Q28" s="168" t="str">
        <f t="shared" si="6"/>
        <v>--</v>
      </c>
      <c r="R28" s="991">
        <f t="shared" si="7"/>
        <v>147.0090192</v>
      </c>
      <c r="S28" s="992" t="str">
        <f t="shared" si="8"/>
        <v>--</v>
      </c>
      <c r="T28" s="327" t="str">
        <f t="shared" si="9"/>
        <v>--</v>
      </c>
      <c r="U28" s="328" t="str">
        <f t="shared" si="10"/>
        <v>--</v>
      </c>
      <c r="V28" s="329" t="str">
        <f t="shared" si="11"/>
        <v>--</v>
      </c>
      <c r="W28" s="993" t="str">
        <f t="shared" si="12"/>
        <v>--</v>
      </c>
      <c r="X28" s="994" t="str">
        <f t="shared" si="13"/>
        <v>--</v>
      </c>
      <c r="Y28" s="995" t="str">
        <f t="shared" si="14"/>
        <v>--</v>
      </c>
      <c r="Z28" s="333" t="str">
        <f t="shared" si="15"/>
        <v>--</v>
      </c>
      <c r="AA28" s="334" t="str">
        <f t="shared" si="16"/>
        <v>--</v>
      </c>
      <c r="AB28" s="996" t="s">
        <v>183</v>
      </c>
      <c r="AC28" s="16">
        <f t="shared" si="17"/>
        <v>147.0090192</v>
      </c>
      <c r="AD28" s="16">
        <f t="shared" si="18"/>
        <v>95.04649137040097</v>
      </c>
      <c r="AE28" s="997"/>
    </row>
    <row r="29" spans="2:31" s="5" customFormat="1" ht="16.5" customHeight="1">
      <c r="B29" s="51"/>
      <c r="C29" s="171">
        <v>9</v>
      </c>
      <c r="D29" s="160" t="s">
        <v>193</v>
      </c>
      <c r="E29" s="162">
        <v>220</v>
      </c>
      <c r="F29" s="1041">
        <v>114</v>
      </c>
      <c r="G29" s="162" t="s">
        <v>185</v>
      </c>
      <c r="H29" s="987">
        <f t="shared" si="0"/>
        <v>20</v>
      </c>
      <c r="I29" s="988">
        <f t="shared" si="1"/>
        <v>85.47036</v>
      </c>
      <c r="J29" s="232">
        <v>39351.385416666664</v>
      </c>
      <c r="K29" s="321">
        <v>39351.620833333334</v>
      </c>
      <c r="L29" s="234">
        <f t="shared" si="2"/>
        <v>5.650000000081491</v>
      </c>
      <c r="M29" s="235">
        <f t="shared" si="3"/>
        <v>339</v>
      </c>
      <c r="N29" s="322" t="s">
        <v>182</v>
      </c>
      <c r="O29" s="236" t="str">
        <f t="shared" si="4"/>
        <v>--</v>
      </c>
      <c r="P29" s="168" t="str">
        <f t="shared" si="5"/>
        <v>NO</v>
      </c>
      <c r="Q29" s="168" t="str">
        <f t="shared" si="6"/>
        <v>--</v>
      </c>
      <c r="R29" s="991">
        <f t="shared" si="7"/>
        <v>96.58150680000001</v>
      </c>
      <c r="S29" s="992" t="str">
        <f t="shared" si="8"/>
        <v>--</v>
      </c>
      <c r="T29" s="327" t="str">
        <f t="shared" si="9"/>
        <v>--</v>
      </c>
      <c r="U29" s="328" t="str">
        <f t="shared" si="10"/>
        <v>--</v>
      </c>
      <c r="V29" s="329" t="str">
        <f t="shared" si="11"/>
        <v>--</v>
      </c>
      <c r="W29" s="993" t="str">
        <f t="shared" si="12"/>
        <v>--</v>
      </c>
      <c r="X29" s="994" t="str">
        <f t="shared" si="13"/>
        <v>--</v>
      </c>
      <c r="Y29" s="995" t="str">
        <f t="shared" si="14"/>
        <v>--</v>
      </c>
      <c r="Z29" s="333" t="str">
        <f t="shared" si="15"/>
        <v>--</v>
      </c>
      <c r="AA29" s="334" t="str">
        <f t="shared" si="16"/>
        <v>--</v>
      </c>
      <c r="AB29" s="996" t="s">
        <v>183</v>
      </c>
      <c r="AC29" s="16">
        <f t="shared" si="17"/>
        <v>96.58150680000001</v>
      </c>
      <c r="AD29" s="16">
        <f t="shared" si="18"/>
        <v>62.443334446833205</v>
      </c>
      <c r="AE29" s="997"/>
    </row>
    <row r="30" spans="2:31" s="5" customFormat="1" ht="16.5" customHeight="1">
      <c r="B30" s="51"/>
      <c r="C30" s="408">
        <v>10</v>
      </c>
      <c r="D30" s="160" t="s">
        <v>315</v>
      </c>
      <c r="E30" s="162">
        <v>220</v>
      </c>
      <c r="F30" s="1041">
        <v>77</v>
      </c>
      <c r="G30" s="162" t="s">
        <v>185</v>
      </c>
      <c r="H30" s="987">
        <f t="shared" si="0"/>
        <v>20</v>
      </c>
      <c r="I30" s="988">
        <f t="shared" si="1"/>
        <v>74.974</v>
      </c>
      <c r="J30" s="232">
        <v>39352.32361111111</v>
      </c>
      <c r="K30" s="321">
        <v>39352.71666666667</v>
      </c>
      <c r="L30" s="234">
        <f t="shared" si="2"/>
        <v>9.433333333348855</v>
      </c>
      <c r="M30" s="235">
        <f t="shared" si="3"/>
        <v>566</v>
      </c>
      <c r="N30" s="322" t="s">
        <v>182</v>
      </c>
      <c r="O30" s="236" t="str">
        <f t="shared" si="4"/>
        <v>--</v>
      </c>
      <c r="P30" s="168" t="str">
        <f t="shared" si="5"/>
        <v>NO</v>
      </c>
      <c r="Q30" s="168" t="str">
        <f t="shared" si="6"/>
        <v>--</v>
      </c>
      <c r="R30" s="991">
        <f t="shared" si="7"/>
        <v>141.40096400000002</v>
      </c>
      <c r="S30" s="992" t="str">
        <f t="shared" si="8"/>
        <v>--</v>
      </c>
      <c r="T30" s="327" t="str">
        <f t="shared" si="9"/>
        <v>--</v>
      </c>
      <c r="U30" s="328" t="str">
        <f t="shared" si="10"/>
        <v>--</v>
      </c>
      <c r="V30" s="329" t="str">
        <f t="shared" si="11"/>
        <v>--</v>
      </c>
      <c r="W30" s="993" t="str">
        <f t="shared" si="12"/>
        <v>--</v>
      </c>
      <c r="X30" s="994" t="str">
        <f t="shared" si="13"/>
        <v>--</v>
      </c>
      <c r="Y30" s="995" t="str">
        <f t="shared" si="14"/>
        <v>--</v>
      </c>
      <c r="Z30" s="333" t="str">
        <f t="shared" si="15"/>
        <v>--</v>
      </c>
      <c r="AA30" s="334" t="str">
        <f t="shared" si="16"/>
        <v>--</v>
      </c>
      <c r="AB30" s="996" t="s">
        <v>183</v>
      </c>
      <c r="AC30" s="16">
        <f t="shared" si="17"/>
        <v>141.40096400000002</v>
      </c>
      <c r="AD30" s="16">
        <f t="shared" si="18"/>
        <v>91.4206868240393</v>
      </c>
      <c r="AE30" s="997"/>
    </row>
    <row r="31" spans="2:31" s="5" customFormat="1" ht="16.5" customHeight="1">
      <c r="B31" s="51"/>
      <c r="C31" s="171">
        <v>11</v>
      </c>
      <c r="D31" s="160" t="s">
        <v>314</v>
      </c>
      <c r="E31" s="162">
        <v>220</v>
      </c>
      <c r="F31" s="1041">
        <v>77</v>
      </c>
      <c r="G31" s="162" t="s">
        <v>185</v>
      </c>
      <c r="H31" s="987">
        <f t="shared" si="0"/>
        <v>20</v>
      </c>
      <c r="I31" s="988">
        <f t="shared" si="1"/>
        <v>74.974</v>
      </c>
      <c r="J31" s="232">
        <v>39353.29236111111</v>
      </c>
      <c r="K31" s="321">
        <v>39353.79375</v>
      </c>
      <c r="L31" s="234">
        <f t="shared" si="2"/>
        <v>12.033333333267365</v>
      </c>
      <c r="M31" s="235">
        <f t="shared" si="3"/>
        <v>722</v>
      </c>
      <c r="N31" s="322" t="s">
        <v>182</v>
      </c>
      <c r="O31" s="236" t="str">
        <f t="shared" si="4"/>
        <v>--</v>
      </c>
      <c r="P31" s="168" t="str">
        <f t="shared" si="5"/>
        <v>NO</v>
      </c>
      <c r="Q31" s="168" t="str">
        <f t="shared" si="6"/>
        <v>--</v>
      </c>
      <c r="R31" s="991">
        <f t="shared" si="7"/>
        <v>180.387444</v>
      </c>
      <c r="S31" s="992" t="str">
        <f t="shared" si="8"/>
        <v>--</v>
      </c>
      <c r="T31" s="327" t="str">
        <f t="shared" si="9"/>
        <v>--</v>
      </c>
      <c r="U31" s="328" t="str">
        <f t="shared" si="10"/>
        <v>--</v>
      </c>
      <c r="V31" s="329" t="str">
        <f t="shared" si="11"/>
        <v>--</v>
      </c>
      <c r="W31" s="993" t="str">
        <f t="shared" si="12"/>
        <v>--</v>
      </c>
      <c r="X31" s="994" t="str">
        <f t="shared" si="13"/>
        <v>--</v>
      </c>
      <c r="Y31" s="995" t="str">
        <f t="shared" si="14"/>
        <v>--</v>
      </c>
      <c r="Z31" s="333" t="str">
        <f t="shared" si="15"/>
        <v>--</v>
      </c>
      <c r="AA31" s="334" t="str">
        <f t="shared" si="16"/>
        <v>--</v>
      </c>
      <c r="AB31" s="996" t="s">
        <v>183</v>
      </c>
      <c r="AC31" s="16">
        <f t="shared" si="17"/>
        <v>180.387444</v>
      </c>
      <c r="AD31" s="16">
        <f t="shared" si="18"/>
        <v>116.62681468644672</v>
      </c>
      <c r="AE31" s="997"/>
    </row>
    <row r="32" spans="2:31" s="5" customFormat="1" ht="16.5" customHeight="1">
      <c r="B32" s="51"/>
      <c r="C32" s="408">
        <v>12</v>
      </c>
      <c r="D32" s="160" t="s">
        <v>194</v>
      </c>
      <c r="E32" s="162">
        <v>500</v>
      </c>
      <c r="F32" s="1041">
        <v>270</v>
      </c>
      <c r="G32" s="162" t="s">
        <v>185</v>
      </c>
      <c r="H32" s="987">
        <f t="shared" si="0"/>
        <v>20</v>
      </c>
      <c r="I32" s="988">
        <f t="shared" si="1"/>
        <v>242.91629999999998</v>
      </c>
      <c r="J32" s="232">
        <v>39354.33125</v>
      </c>
      <c r="K32" s="233">
        <v>39354.70277777778</v>
      </c>
      <c r="L32" s="234">
        <f t="shared" si="2"/>
        <v>8.916666666569654</v>
      </c>
      <c r="M32" s="235">
        <f t="shared" si="3"/>
        <v>535</v>
      </c>
      <c r="N32" s="322" t="s">
        <v>182</v>
      </c>
      <c r="O32" s="236" t="str">
        <f t="shared" si="4"/>
        <v>--</v>
      </c>
      <c r="P32" s="168" t="str">
        <f t="shared" si="5"/>
        <v>NO</v>
      </c>
      <c r="Q32" s="168" t="str">
        <f t="shared" si="6"/>
        <v>--</v>
      </c>
      <c r="R32" s="991">
        <f t="shared" si="7"/>
        <v>433.36267919999995</v>
      </c>
      <c r="S32" s="992" t="str">
        <f t="shared" si="8"/>
        <v>--</v>
      </c>
      <c r="T32" s="327" t="str">
        <f t="shared" si="9"/>
        <v>--</v>
      </c>
      <c r="U32" s="328" t="str">
        <f t="shared" si="10"/>
        <v>--</v>
      </c>
      <c r="V32" s="329" t="str">
        <f t="shared" si="11"/>
        <v>--</v>
      </c>
      <c r="W32" s="993" t="str">
        <f t="shared" si="12"/>
        <v>--</v>
      </c>
      <c r="X32" s="994" t="str">
        <f t="shared" si="13"/>
        <v>--</v>
      </c>
      <c r="Y32" s="995" t="str">
        <f t="shared" si="14"/>
        <v>--</v>
      </c>
      <c r="Z32" s="333" t="str">
        <f t="shared" si="15"/>
        <v>--</v>
      </c>
      <c r="AA32" s="334" t="str">
        <f t="shared" si="16"/>
        <v>--</v>
      </c>
      <c r="AB32" s="996" t="s">
        <v>183</v>
      </c>
      <c r="AC32" s="16">
        <f t="shared" si="17"/>
        <v>433.36267919999995</v>
      </c>
      <c r="AD32" s="16">
        <f t="shared" si="18"/>
        <v>280.1841844329279</v>
      </c>
      <c r="AE32" s="997"/>
    </row>
    <row r="33" spans="2:31" s="5" customFormat="1" ht="16.5" customHeight="1">
      <c r="B33" s="51"/>
      <c r="C33" s="171"/>
      <c r="D33" s="160"/>
      <c r="E33" s="162"/>
      <c r="F33" s="1041"/>
      <c r="G33" s="162"/>
      <c r="H33" s="987">
        <f t="shared" si="0"/>
        <v>20</v>
      </c>
      <c r="I33" s="988">
        <f t="shared" si="1"/>
        <v>74.974</v>
      </c>
      <c r="J33" s="232"/>
      <c r="K33" s="233"/>
      <c r="L33" s="234">
        <f t="shared" si="2"/>
      </c>
      <c r="M33" s="235">
        <f t="shared" si="3"/>
      </c>
      <c r="N33" s="322"/>
      <c r="O33" s="236">
        <f t="shared" si="4"/>
      </c>
      <c r="P33" s="168">
        <f t="shared" si="5"/>
      </c>
      <c r="Q33" s="168">
        <f t="shared" si="6"/>
      </c>
      <c r="R33" s="991" t="str">
        <f t="shared" si="7"/>
        <v>--</v>
      </c>
      <c r="S33" s="992" t="str">
        <f t="shared" si="8"/>
        <v>--</v>
      </c>
      <c r="T33" s="327" t="str">
        <f t="shared" si="9"/>
        <v>--</v>
      </c>
      <c r="U33" s="328" t="str">
        <f t="shared" si="10"/>
        <v>--</v>
      </c>
      <c r="V33" s="329" t="str">
        <f t="shared" si="11"/>
        <v>--</v>
      </c>
      <c r="W33" s="993" t="str">
        <f t="shared" si="12"/>
        <v>--</v>
      </c>
      <c r="X33" s="994" t="str">
        <f t="shared" si="13"/>
        <v>--</v>
      </c>
      <c r="Y33" s="995" t="str">
        <f t="shared" si="14"/>
        <v>--</v>
      </c>
      <c r="Z33" s="333" t="str">
        <f t="shared" si="15"/>
        <v>--</v>
      </c>
      <c r="AA33" s="334" t="str">
        <f t="shared" si="16"/>
        <v>--</v>
      </c>
      <c r="AB33" s="996">
        <f aca="true" t="shared" si="19" ref="AB33:AB40">IF(D33="","","SI")</f>
      </c>
      <c r="AC33" s="16">
        <f t="shared" si="17"/>
      </c>
      <c r="AD33" s="16"/>
      <c r="AE33" s="997"/>
    </row>
    <row r="34" spans="2:31" s="5" customFormat="1" ht="16.5" customHeight="1">
      <c r="B34" s="51"/>
      <c r="C34" s="408"/>
      <c r="D34" s="160"/>
      <c r="E34" s="162"/>
      <c r="F34" s="1041"/>
      <c r="G34" s="162"/>
      <c r="H34" s="987">
        <f t="shared" si="0"/>
        <v>20</v>
      </c>
      <c r="I34" s="988">
        <f t="shared" si="1"/>
        <v>74.974</v>
      </c>
      <c r="J34" s="232"/>
      <c r="K34" s="233"/>
      <c r="L34" s="234">
        <f t="shared" si="2"/>
      </c>
      <c r="M34" s="235">
        <f t="shared" si="3"/>
      </c>
      <c r="N34" s="322"/>
      <c r="O34" s="236">
        <f t="shared" si="4"/>
      </c>
      <c r="P34" s="168">
        <f t="shared" si="5"/>
      </c>
      <c r="Q34" s="168">
        <f t="shared" si="6"/>
      </c>
      <c r="R34" s="991" t="str">
        <f t="shared" si="7"/>
        <v>--</v>
      </c>
      <c r="S34" s="992" t="str">
        <f t="shared" si="8"/>
        <v>--</v>
      </c>
      <c r="T34" s="327" t="str">
        <f t="shared" si="9"/>
        <v>--</v>
      </c>
      <c r="U34" s="328" t="str">
        <f t="shared" si="10"/>
        <v>--</v>
      </c>
      <c r="V34" s="329" t="str">
        <f t="shared" si="11"/>
        <v>--</v>
      </c>
      <c r="W34" s="993" t="str">
        <f t="shared" si="12"/>
        <v>--</v>
      </c>
      <c r="X34" s="994" t="str">
        <f t="shared" si="13"/>
        <v>--</v>
      </c>
      <c r="Y34" s="995" t="str">
        <f t="shared" si="14"/>
        <v>--</v>
      </c>
      <c r="Z34" s="333" t="str">
        <f t="shared" si="15"/>
        <v>--</v>
      </c>
      <c r="AA34" s="334" t="str">
        <f t="shared" si="16"/>
        <v>--</v>
      </c>
      <c r="AB34" s="996">
        <f t="shared" si="19"/>
      </c>
      <c r="AC34" s="16">
        <f t="shared" si="17"/>
      </c>
      <c r="AD34" s="16"/>
      <c r="AE34" s="997"/>
    </row>
    <row r="35" spans="2:31" s="5" customFormat="1" ht="16.5" customHeight="1">
      <c r="B35" s="51"/>
      <c r="C35" s="171"/>
      <c r="D35" s="160"/>
      <c r="E35" s="162"/>
      <c r="F35" s="1041"/>
      <c r="G35" s="162"/>
      <c r="H35" s="987">
        <f t="shared" si="0"/>
        <v>20</v>
      </c>
      <c r="I35" s="988">
        <f t="shared" si="1"/>
        <v>74.974</v>
      </c>
      <c r="J35" s="232"/>
      <c r="K35" s="233"/>
      <c r="L35" s="234">
        <f t="shared" si="2"/>
      </c>
      <c r="M35" s="235">
        <f t="shared" si="3"/>
      </c>
      <c r="N35" s="322"/>
      <c r="O35" s="236">
        <f t="shared" si="4"/>
      </c>
      <c r="P35" s="168">
        <f t="shared" si="5"/>
      </c>
      <c r="Q35" s="168">
        <f t="shared" si="6"/>
      </c>
      <c r="R35" s="991" t="str">
        <f t="shared" si="7"/>
        <v>--</v>
      </c>
      <c r="S35" s="992" t="str">
        <f t="shared" si="8"/>
        <v>--</v>
      </c>
      <c r="T35" s="327" t="str">
        <f t="shared" si="9"/>
        <v>--</v>
      </c>
      <c r="U35" s="328" t="str">
        <f t="shared" si="10"/>
        <v>--</v>
      </c>
      <c r="V35" s="329" t="str">
        <f t="shared" si="11"/>
        <v>--</v>
      </c>
      <c r="W35" s="993" t="str">
        <f t="shared" si="12"/>
        <v>--</v>
      </c>
      <c r="X35" s="994" t="str">
        <f t="shared" si="13"/>
        <v>--</v>
      </c>
      <c r="Y35" s="995" t="str">
        <f t="shared" si="14"/>
        <v>--</v>
      </c>
      <c r="Z35" s="333" t="str">
        <f t="shared" si="15"/>
        <v>--</v>
      </c>
      <c r="AA35" s="334" t="str">
        <f t="shared" si="16"/>
        <v>--</v>
      </c>
      <c r="AB35" s="996">
        <f t="shared" si="19"/>
      </c>
      <c r="AC35" s="16">
        <f t="shared" si="17"/>
      </c>
      <c r="AD35" s="16"/>
      <c r="AE35" s="997"/>
    </row>
    <row r="36" spans="2:31" s="5" customFormat="1" ht="16.5" customHeight="1">
      <c r="B36" s="51"/>
      <c r="C36" s="408"/>
      <c r="D36" s="160"/>
      <c r="E36" s="162"/>
      <c r="F36" s="1041"/>
      <c r="G36" s="162"/>
      <c r="H36" s="987">
        <f t="shared" si="0"/>
        <v>20</v>
      </c>
      <c r="I36" s="988">
        <f t="shared" si="1"/>
        <v>74.974</v>
      </c>
      <c r="J36" s="232"/>
      <c r="K36" s="233"/>
      <c r="L36" s="234">
        <f t="shared" si="2"/>
      </c>
      <c r="M36" s="235">
        <f t="shared" si="3"/>
      </c>
      <c r="N36" s="322"/>
      <c r="O36" s="236">
        <f t="shared" si="4"/>
      </c>
      <c r="P36" s="168">
        <f t="shared" si="5"/>
      </c>
      <c r="Q36" s="168">
        <f t="shared" si="6"/>
      </c>
      <c r="R36" s="991" t="str">
        <f t="shared" si="7"/>
        <v>--</v>
      </c>
      <c r="S36" s="992" t="str">
        <f t="shared" si="8"/>
        <v>--</v>
      </c>
      <c r="T36" s="327" t="str">
        <f t="shared" si="9"/>
        <v>--</v>
      </c>
      <c r="U36" s="328" t="str">
        <f t="shared" si="10"/>
        <v>--</v>
      </c>
      <c r="V36" s="329" t="str">
        <f t="shared" si="11"/>
        <v>--</v>
      </c>
      <c r="W36" s="993" t="str">
        <f t="shared" si="12"/>
        <v>--</v>
      </c>
      <c r="X36" s="994" t="str">
        <f t="shared" si="13"/>
        <v>--</v>
      </c>
      <c r="Y36" s="995" t="str">
        <f t="shared" si="14"/>
        <v>--</v>
      </c>
      <c r="Z36" s="333" t="str">
        <f t="shared" si="15"/>
        <v>--</v>
      </c>
      <c r="AA36" s="334" t="str">
        <f t="shared" si="16"/>
        <v>--</v>
      </c>
      <c r="AB36" s="996">
        <f t="shared" si="19"/>
      </c>
      <c r="AC36" s="16">
        <f t="shared" si="17"/>
      </c>
      <c r="AD36" s="16"/>
      <c r="AE36" s="997"/>
    </row>
    <row r="37" spans="2:31" s="5" customFormat="1" ht="16.5" customHeight="1">
      <c r="B37" s="51"/>
      <c r="C37" s="171"/>
      <c r="D37" s="160"/>
      <c r="E37" s="162"/>
      <c r="F37" s="1041"/>
      <c r="G37" s="162"/>
      <c r="H37" s="987">
        <f t="shared" si="0"/>
        <v>20</v>
      </c>
      <c r="I37" s="988">
        <f t="shared" si="1"/>
        <v>74.974</v>
      </c>
      <c r="J37" s="232"/>
      <c r="K37" s="233"/>
      <c r="L37" s="234">
        <f t="shared" si="2"/>
      </c>
      <c r="M37" s="235">
        <f t="shared" si="3"/>
      </c>
      <c r="N37" s="322"/>
      <c r="O37" s="236">
        <f t="shared" si="4"/>
      </c>
      <c r="P37" s="168">
        <f t="shared" si="5"/>
      </c>
      <c r="Q37" s="168">
        <f t="shared" si="6"/>
      </c>
      <c r="R37" s="991" t="str">
        <f t="shared" si="7"/>
        <v>--</v>
      </c>
      <c r="S37" s="992" t="str">
        <f t="shared" si="8"/>
        <v>--</v>
      </c>
      <c r="T37" s="327" t="str">
        <f t="shared" si="9"/>
        <v>--</v>
      </c>
      <c r="U37" s="328" t="str">
        <f t="shared" si="10"/>
        <v>--</v>
      </c>
      <c r="V37" s="329" t="str">
        <f t="shared" si="11"/>
        <v>--</v>
      </c>
      <c r="W37" s="993" t="str">
        <f t="shared" si="12"/>
        <v>--</v>
      </c>
      <c r="X37" s="994" t="str">
        <f t="shared" si="13"/>
        <v>--</v>
      </c>
      <c r="Y37" s="995" t="str">
        <f t="shared" si="14"/>
        <v>--</v>
      </c>
      <c r="Z37" s="333" t="str">
        <f t="shared" si="15"/>
        <v>--</v>
      </c>
      <c r="AA37" s="334" t="str">
        <f t="shared" si="16"/>
        <v>--</v>
      </c>
      <c r="AB37" s="996">
        <f t="shared" si="19"/>
      </c>
      <c r="AC37" s="16">
        <f t="shared" si="17"/>
      </c>
      <c r="AD37" s="16"/>
      <c r="AE37" s="997"/>
    </row>
    <row r="38" spans="2:31" s="5" customFormat="1" ht="16.5" customHeight="1">
      <c r="B38" s="51"/>
      <c r="C38" s="408"/>
      <c r="D38" s="160"/>
      <c r="E38" s="162"/>
      <c r="F38" s="1041"/>
      <c r="G38" s="162"/>
      <c r="H38" s="987">
        <f t="shared" si="0"/>
        <v>20</v>
      </c>
      <c r="I38" s="988">
        <f t="shared" si="1"/>
        <v>74.974</v>
      </c>
      <c r="J38" s="232"/>
      <c r="K38" s="233"/>
      <c r="L38" s="234">
        <f t="shared" si="2"/>
      </c>
      <c r="M38" s="235">
        <f t="shared" si="3"/>
      </c>
      <c r="N38" s="322"/>
      <c r="O38" s="236">
        <f t="shared" si="4"/>
      </c>
      <c r="P38" s="168">
        <f t="shared" si="5"/>
      </c>
      <c r="Q38" s="168">
        <f t="shared" si="6"/>
      </c>
      <c r="R38" s="991" t="str">
        <f t="shared" si="7"/>
        <v>--</v>
      </c>
      <c r="S38" s="992" t="str">
        <f t="shared" si="8"/>
        <v>--</v>
      </c>
      <c r="T38" s="327" t="str">
        <f t="shared" si="9"/>
        <v>--</v>
      </c>
      <c r="U38" s="328" t="str">
        <f t="shared" si="10"/>
        <v>--</v>
      </c>
      <c r="V38" s="329" t="str">
        <f t="shared" si="11"/>
        <v>--</v>
      </c>
      <c r="W38" s="993" t="str">
        <f t="shared" si="12"/>
        <v>--</v>
      </c>
      <c r="X38" s="994" t="str">
        <f t="shared" si="13"/>
        <v>--</v>
      </c>
      <c r="Y38" s="995" t="str">
        <f t="shared" si="14"/>
        <v>--</v>
      </c>
      <c r="Z38" s="333" t="str">
        <f t="shared" si="15"/>
        <v>--</v>
      </c>
      <c r="AA38" s="334" t="str">
        <f t="shared" si="16"/>
        <v>--</v>
      </c>
      <c r="AB38" s="996">
        <f t="shared" si="19"/>
      </c>
      <c r="AC38" s="16">
        <f t="shared" si="17"/>
      </c>
      <c r="AD38" s="16"/>
      <c r="AE38" s="997"/>
    </row>
    <row r="39" spans="2:31" s="5" customFormat="1" ht="16.5" customHeight="1">
      <c r="B39" s="51"/>
      <c r="C39" s="171"/>
      <c r="D39" s="160"/>
      <c r="E39" s="162"/>
      <c r="F39" s="1041"/>
      <c r="G39" s="162"/>
      <c r="H39" s="987">
        <f t="shared" si="0"/>
        <v>20</v>
      </c>
      <c r="I39" s="988">
        <f t="shared" si="1"/>
        <v>74.974</v>
      </c>
      <c r="J39" s="232"/>
      <c r="K39" s="233"/>
      <c r="L39" s="234">
        <f t="shared" si="2"/>
      </c>
      <c r="M39" s="235">
        <f t="shared" si="3"/>
      </c>
      <c r="N39" s="322"/>
      <c r="O39" s="236">
        <f t="shared" si="4"/>
      </c>
      <c r="P39" s="168">
        <f t="shared" si="5"/>
      </c>
      <c r="Q39" s="168">
        <f t="shared" si="6"/>
      </c>
      <c r="R39" s="991" t="str">
        <f t="shared" si="7"/>
        <v>--</v>
      </c>
      <c r="S39" s="992" t="str">
        <f t="shared" si="8"/>
        <v>--</v>
      </c>
      <c r="T39" s="327" t="str">
        <f t="shared" si="9"/>
        <v>--</v>
      </c>
      <c r="U39" s="328" t="str">
        <f t="shared" si="10"/>
        <v>--</v>
      </c>
      <c r="V39" s="329" t="str">
        <f t="shared" si="11"/>
        <v>--</v>
      </c>
      <c r="W39" s="993" t="str">
        <f t="shared" si="12"/>
        <v>--</v>
      </c>
      <c r="X39" s="994" t="str">
        <f t="shared" si="13"/>
        <v>--</v>
      </c>
      <c r="Y39" s="995" t="str">
        <f t="shared" si="14"/>
        <v>--</v>
      </c>
      <c r="Z39" s="333" t="str">
        <f t="shared" si="15"/>
        <v>--</v>
      </c>
      <c r="AA39" s="334" t="str">
        <f t="shared" si="16"/>
        <v>--</v>
      </c>
      <c r="AB39" s="996">
        <f t="shared" si="19"/>
      </c>
      <c r="AC39" s="16">
        <f t="shared" si="17"/>
      </c>
      <c r="AD39" s="16"/>
      <c r="AE39" s="997"/>
    </row>
    <row r="40" spans="2:31" s="5" customFormat="1" ht="16.5" customHeight="1">
      <c r="B40" s="51"/>
      <c r="C40" s="408"/>
      <c r="D40" s="160"/>
      <c r="E40" s="162"/>
      <c r="F40" s="1041"/>
      <c r="G40" s="162"/>
      <c r="H40" s="987">
        <f t="shared" si="0"/>
        <v>20</v>
      </c>
      <c r="I40" s="988">
        <f t="shared" si="1"/>
        <v>74.974</v>
      </c>
      <c r="J40" s="232"/>
      <c r="K40" s="233"/>
      <c r="L40" s="234">
        <f t="shared" si="2"/>
      </c>
      <c r="M40" s="235">
        <f t="shared" si="3"/>
      </c>
      <c r="N40" s="322"/>
      <c r="O40" s="236">
        <f t="shared" si="4"/>
      </c>
      <c r="P40" s="168">
        <f t="shared" si="5"/>
      </c>
      <c r="Q40" s="168">
        <f t="shared" si="6"/>
      </c>
      <c r="R40" s="991" t="str">
        <f t="shared" si="7"/>
        <v>--</v>
      </c>
      <c r="S40" s="992" t="str">
        <f t="shared" si="8"/>
        <v>--</v>
      </c>
      <c r="T40" s="327" t="str">
        <f t="shared" si="9"/>
        <v>--</v>
      </c>
      <c r="U40" s="328" t="str">
        <f t="shared" si="10"/>
        <v>--</v>
      </c>
      <c r="V40" s="329" t="str">
        <f t="shared" si="11"/>
        <v>--</v>
      </c>
      <c r="W40" s="993" t="str">
        <f t="shared" si="12"/>
        <v>--</v>
      </c>
      <c r="X40" s="994" t="str">
        <f t="shared" si="13"/>
        <v>--</v>
      </c>
      <c r="Y40" s="995" t="str">
        <f t="shared" si="14"/>
        <v>--</v>
      </c>
      <c r="Z40" s="333" t="str">
        <f t="shared" si="15"/>
        <v>--</v>
      </c>
      <c r="AA40" s="334" t="str">
        <f t="shared" si="16"/>
        <v>--</v>
      </c>
      <c r="AB40" s="996">
        <f t="shared" si="19"/>
      </c>
      <c r="AC40" s="16">
        <f t="shared" si="17"/>
      </c>
      <c r="AD40" s="16"/>
      <c r="AE40" s="997"/>
    </row>
    <row r="41" spans="2:31" s="5" customFormat="1" ht="16.5" customHeight="1" thickBot="1">
      <c r="B41" s="51"/>
      <c r="C41" s="171"/>
      <c r="D41" s="165"/>
      <c r="E41" s="339"/>
      <c r="F41" s="1035"/>
      <c r="G41" s="340"/>
      <c r="H41" s="1002"/>
      <c r="I41" s="1003"/>
      <c r="J41" s="1033"/>
      <c r="K41" s="1033"/>
      <c r="L41" s="9"/>
      <c r="M41" s="9"/>
      <c r="N41" s="167"/>
      <c r="O41" s="241"/>
      <c r="P41" s="167"/>
      <c r="Q41" s="167"/>
      <c r="R41" s="1004"/>
      <c r="S41" s="1005"/>
      <c r="T41" s="345"/>
      <c r="U41" s="346"/>
      <c r="V41" s="347"/>
      <c r="W41" s="1006"/>
      <c r="X41" s="1007"/>
      <c r="Y41" s="1008"/>
      <c r="Z41" s="351"/>
      <c r="AA41" s="352"/>
      <c r="AB41" s="1009"/>
      <c r="AC41" s="355"/>
      <c r="AD41" s="355"/>
      <c r="AE41" s="997"/>
    </row>
    <row r="42" spans="2:31" s="5" customFormat="1" ht="16.5" customHeight="1" thickBot="1" thickTop="1">
      <c r="B42" s="51"/>
      <c r="C42" s="131" t="s">
        <v>25</v>
      </c>
      <c r="D42" s="132" t="s">
        <v>300</v>
      </c>
      <c r="E42" s="356"/>
      <c r="F42" s="277"/>
      <c r="G42" s="357"/>
      <c r="H42" s="277"/>
      <c r="I42" s="242"/>
      <c r="J42" s="242"/>
      <c r="K42" s="242"/>
      <c r="L42" s="242"/>
      <c r="M42" s="242"/>
      <c r="N42" s="242"/>
      <c r="O42" s="358"/>
      <c r="P42" s="242"/>
      <c r="Q42" s="242"/>
      <c r="R42" s="1010">
        <f aca="true" t="shared" si="20" ref="R42:AA42">SUM(R20:R41)</f>
        <v>15434.3515386</v>
      </c>
      <c r="S42" s="1011">
        <f t="shared" si="20"/>
        <v>0</v>
      </c>
      <c r="T42" s="1012">
        <f t="shared" si="20"/>
        <v>0</v>
      </c>
      <c r="U42" s="1012">
        <f t="shared" si="20"/>
        <v>0</v>
      </c>
      <c r="V42" s="1012">
        <f t="shared" si="20"/>
        <v>0</v>
      </c>
      <c r="W42" s="1013">
        <f t="shared" si="20"/>
        <v>0</v>
      </c>
      <c r="X42" s="1013">
        <f t="shared" si="20"/>
        <v>0</v>
      </c>
      <c r="Y42" s="1013">
        <f t="shared" si="20"/>
        <v>0</v>
      </c>
      <c r="Z42" s="366">
        <f t="shared" si="20"/>
        <v>0</v>
      </c>
      <c r="AA42" s="367">
        <f t="shared" si="20"/>
        <v>0</v>
      </c>
      <c r="AB42" s="368"/>
      <c r="AC42" s="370">
        <f>ROUND(SUM(AC20:AC41),2)</f>
        <v>15391.32</v>
      </c>
      <c r="AD42" s="370">
        <f>SUM(AD22:AD32)</f>
        <v>9951.026374452686</v>
      </c>
      <c r="AE42" s="997"/>
    </row>
    <row r="43" spans="2:31" s="137" customFormat="1" ht="9.75" thickTop="1">
      <c r="B43" s="136"/>
      <c r="C43" s="133"/>
      <c r="D43" s="134"/>
      <c r="E43" s="371"/>
      <c r="F43" s="372"/>
      <c r="G43" s="373"/>
      <c r="H43" s="372"/>
      <c r="I43" s="249"/>
      <c r="J43" s="249"/>
      <c r="K43" s="249"/>
      <c r="L43" s="249"/>
      <c r="M43" s="249"/>
      <c r="N43" s="249"/>
      <c r="O43" s="374"/>
      <c r="P43" s="249"/>
      <c r="Q43" s="249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375"/>
      <c r="AD43" s="375"/>
      <c r="AE43" s="376"/>
    </row>
    <row r="44" spans="2:31" s="5" customFormat="1" ht="16.5" customHeight="1" thickBot="1"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7"/>
    </row>
    <row r="45" spans="2:31" ht="16.5" customHeight="1" thickTop="1">
      <c r="B45" s="1"/>
      <c r="AE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F27"/>
  <sheetViews>
    <sheetView zoomScale="75" zoomScaleNormal="75" workbookViewId="0" topLeftCell="L4">
      <selection activeCell="AD22" sqref="AD2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7109375" style="0" bestFit="1" customWidth="1"/>
    <col min="8" max="8" width="3.140625" style="0" hidden="1" customWidth="1"/>
    <col min="9" max="9" width="7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5.8515625" style="0" customWidth="1"/>
    <col min="18" max="19" width="12.28125" style="0" hidden="1" customWidth="1"/>
    <col min="20" max="20" width="6.421875" style="0" hidden="1" customWidth="1"/>
    <col min="21" max="21" width="9.8515625" style="0" hidden="1" customWidth="1"/>
    <col min="22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19" customFormat="1" ht="26.25">
      <c r="A1"/>
      <c r="C1"/>
      <c r="E1"/>
      <c r="G1"/>
      <c r="I1"/>
      <c r="K1"/>
      <c r="M1"/>
      <c r="O1"/>
      <c r="Q1"/>
      <c r="S1"/>
      <c r="U1"/>
      <c r="W1"/>
      <c r="Y1"/>
      <c r="AE1" s="158"/>
    </row>
    <row r="2" spans="1:31" s="19" customFormat="1" ht="26.25">
      <c r="A2" s="92"/>
      <c r="B2" s="20" t="str">
        <f>'TOT-0907'!B2</f>
        <v>ANEXO IV al Memorandum D.T.E.E. N°  1955 /2009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="5" customFormat="1" ht="12.75">
      <c r="A3" s="91"/>
    </row>
    <row r="4" spans="1:2" s="26" customFormat="1" ht="11.25">
      <c r="A4" s="24" t="s">
        <v>2</v>
      </c>
      <c r="B4" s="128"/>
    </row>
    <row r="5" spans="1:2" s="26" customFormat="1" ht="11.25">
      <c r="A5" s="24" t="s">
        <v>3</v>
      </c>
      <c r="B5" s="128"/>
    </row>
    <row r="6" s="5" customFormat="1" ht="13.5" thickBot="1"/>
    <row r="7" spans="2:31" s="5" customFormat="1" ht="13.5" thickTop="1">
      <c r="B7" s="70"/>
      <c r="C7" s="71"/>
      <c r="D7" s="71"/>
      <c r="E7" s="259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95"/>
    </row>
    <row r="8" spans="2:31" s="30" customFormat="1" ht="20.25">
      <c r="B8" s="80"/>
      <c r="C8" s="31"/>
      <c r="D8" s="192" t="s">
        <v>61</v>
      </c>
      <c r="E8" s="31"/>
      <c r="F8" s="31"/>
      <c r="G8" s="31"/>
      <c r="H8" s="31"/>
      <c r="N8" s="31"/>
      <c r="O8" s="31"/>
      <c r="P8" s="11"/>
      <c r="Q8" s="1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110"/>
    </row>
    <row r="9" spans="2:31" s="5" customFormat="1" ht="12.75">
      <c r="B9" s="5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8"/>
    </row>
    <row r="10" spans="2:31" s="30" customFormat="1" ht="20.25">
      <c r="B10" s="80"/>
      <c r="C10" s="31"/>
      <c r="D10" s="11" t="s">
        <v>12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110"/>
    </row>
    <row r="11" spans="2:31" s="5" customFormat="1" ht="12.75">
      <c r="B11" s="5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8"/>
    </row>
    <row r="12" spans="2:31" s="30" customFormat="1" ht="20.25">
      <c r="B12" s="80"/>
      <c r="C12" s="31"/>
      <c r="D12" s="11" t="s">
        <v>311</v>
      </c>
      <c r="E12" s="31"/>
      <c r="F12" s="31"/>
      <c r="G12" s="31"/>
      <c r="I12" s="31"/>
      <c r="J12" s="31"/>
      <c r="K12" s="31"/>
      <c r="L12" s="31"/>
      <c r="M12" s="31"/>
      <c r="N12" s="31"/>
      <c r="O12" s="31"/>
      <c r="P12" s="11"/>
      <c r="Q12" s="1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110"/>
    </row>
    <row r="13" spans="2:31" s="5" customFormat="1" ht="12.75">
      <c r="B13" s="51"/>
      <c r="C13" s="4"/>
      <c r="D13" s="4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8"/>
    </row>
    <row r="14" spans="2:31" s="37" customFormat="1" ht="19.5">
      <c r="B14" s="38" t="str">
        <f>'TOT-0907'!B14</f>
        <v>Desde el 01 al 30 de septiembre de 2007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263"/>
      <c r="O14" s="263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151"/>
    </row>
    <row r="15" spans="2:31" s="5" customFormat="1" ht="16.5" customHeight="1" thickBot="1">
      <c r="B15" s="51"/>
      <c r="C15" s="4"/>
      <c r="D15" s="4"/>
      <c r="E15" s="67"/>
      <c r="F15" s="67"/>
      <c r="G15" s="4"/>
      <c r="H15" s="4"/>
      <c r="I15" s="4"/>
      <c r="J15" s="264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8"/>
    </row>
    <row r="16" spans="2:31" s="5" customFormat="1" ht="16.5" customHeight="1" thickBot="1" thickTop="1">
      <c r="B16" s="51"/>
      <c r="C16" s="4"/>
      <c r="D16" s="83" t="s">
        <v>98</v>
      </c>
      <c r="E16" s="1036">
        <v>89.969</v>
      </c>
      <c r="F16" s="26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8"/>
    </row>
    <row r="17" spans="2:31" s="5" customFormat="1" ht="16.5" customHeight="1" thickBot="1" thickTop="1">
      <c r="B17" s="51"/>
      <c r="C17" s="4"/>
      <c r="D17" s="83" t="s">
        <v>99</v>
      </c>
      <c r="E17" s="1036">
        <v>74.974</v>
      </c>
      <c r="F17" s="267"/>
      <c r="G17" s="4"/>
      <c r="H17" s="4"/>
      <c r="I17" s="4"/>
      <c r="J17" s="273"/>
      <c r="K17" s="274"/>
      <c r="L17" s="4"/>
      <c r="M17" s="4"/>
      <c r="N17" s="4"/>
      <c r="O17" s="4"/>
      <c r="P17" s="4"/>
      <c r="Q17" s="4"/>
      <c r="R17" s="4"/>
      <c r="S17" s="4"/>
      <c r="T17" s="4"/>
      <c r="U17" s="4"/>
      <c r="V17" s="118"/>
      <c r="W17" s="118"/>
      <c r="X17" s="118"/>
      <c r="Y17" s="118"/>
      <c r="Z17" s="118"/>
      <c r="AA17" s="118"/>
      <c r="AB17" s="118"/>
      <c r="AE17" s="18"/>
    </row>
    <row r="18" spans="2:31" s="5" customFormat="1" ht="16.5" customHeight="1" thickBot="1" thickTop="1">
      <c r="B18" s="51"/>
      <c r="C18" s="4"/>
      <c r="D18" s="4"/>
      <c r="E18" s="277"/>
      <c r="F18" s="4"/>
      <c r="G18" s="4"/>
      <c r="H18" s="4"/>
      <c r="I18" s="4"/>
      <c r="J18" s="4"/>
      <c r="K18" s="4"/>
      <c r="L18" s="4"/>
      <c r="M18" s="4"/>
      <c r="N18" s="27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8"/>
    </row>
    <row r="19" spans="2:31" s="5" customFormat="1" ht="33.75" customHeight="1" thickBot="1" thickTop="1">
      <c r="B19" s="51"/>
      <c r="C19" s="85" t="s">
        <v>13</v>
      </c>
      <c r="D19" s="86" t="s">
        <v>0</v>
      </c>
      <c r="E19" s="969" t="s">
        <v>14</v>
      </c>
      <c r="F19" s="87" t="s">
        <v>15</v>
      </c>
      <c r="G19" s="280" t="s">
        <v>72</v>
      </c>
      <c r="H19" s="970" t="s">
        <v>38</v>
      </c>
      <c r="I19" s="971" t="s">
        <v>16</v>
      </c>
      <c r="J19" s="86" t="s">
        <v>17</v>
      </c>
      <c r="K19" s="209" t="s">
        <v>18</v>
      </c>
      <c r="L19" s="89" t="s">
        <v>37</v>
      </c>
      <c r="M19" s="87" t="s">
        <v>32</v>
      </c>
      <c r="N19" s="89" t="s">
        <v>19</v>
      </c>
      <c r="O19" s="87" t="s">
        <v>47</v>
      </c>
      <c r="P19" s="209" t="s">
        <v>48</v>
      </c>
      <c r="Q19" s="86" t="s">
        <v>33</v>
      </c>
      <c r="R19" s="148" t="s">
        <v>20</v>
      </c>
      <c r="S19" s="972" t="s">
        <v>21</v>
      </c>
      <c r="T19" s="284" t="s">
        <v>49</v>
      </c>
      <c r="U19" s="285"/>
      <c r="V19" s="286"/>
      <c r="W19" s="973" t="s">
        <v>171</v>
      </c>
      <c r="X19" s="974"/>
      <c r="Y19" s="975"/>
      <c r="Z19" s="290" t="s">
        <v>22</v>
      </c>
      <c r="AA19" s="291" t="s">
        <v>75</v>
      </c>
      <c r="AB19" s="144" t="s">
        <v>76</v>
      </c>
      <c r="AC19" s="144" t="s">
        <v>24</v>
      </c>
      <c r="AD19" s="144" t="s">
        <v>319</v>
      </c>
      <c r="AE19" s="293"/>
    </row>
    <row r="20" spans="2:32" s="5" customFormat="1" ht="16.5" customHeight="1" thickTop="1">
      <c r="B20" s="51"/>
      <c r="C20" s="171"/>
      <c r="D20" s="998"/>
      <c r="E20" s="999"/>
      <c r="F20" s="1040"/>
      <c r="G20" s="999"/>
      <c r="H20" s="987"/>
      <c r="I20" s="988"/>
      <c r="J20" s="1000"/>
      <c r="K20" s="1001"/>
      <c r="L20" s="234"/>
      <c r="M20" s="235"/>
      <c r="N20" s="322"/>
      <c r="O20" s="236"/>
      <c r="P20" s="168"/>
      <c r="Q20" s="168"/>
      <c r="R20" s="991"/>
      <c r="S20" s="992"/>
      <c r="T20" s="327"/>
      <c r="U20" s="328"/>
      <c r="V20" s="329"/>
      <c r="W20" s="993"/>
      <c r="X20" s="994"/>
      <c r="Y20" s="995"/>
      <c r="Z20" s="333"/>
      <c r="AA20" s="334"/>
      <c r="AB20" s="996"/>
      <c r="AC20" s="16"/>
      <c r="AD20" s="16"/>
      <c r="AE20" s="997"/>
      <c r="AF20" s="1145">
        <v>0.353464897</v>
      </c>
    </row>
    <row r="21" spans="2:31" s="5" customFormat="1" ht="16.5" customHeight="1">
      <c r="B21" s="51"/>
      <c r="C21" s="171">
        <v>5</v>
      </c>
      <c r="D21" s="171" t="s">
        <v>188</v>
      </c>
      <c r="E21" s="231">
        <v>500</v>
      </c>
      <c r="F21" s="1039">
        <v>255</v>
      </c>
      <c r="G21" s="231" t="s">
        <v>189</v>
      </c>
      <c r="H21" s="987">
        <f>IF(G21="A",200,IF(G21="B",60,20))</f>
        <v>60</v>
      </c>
      <c r="I21" s="988">
        <f>IF(E21=500,IF(F21&lt;100,100*$E$16/100,F21*$E$16/100),IF(F21&lt;100,100*$E$17/100,F21*$E$17/100))</f>
        <v>229.42094999999998</v>
      </c>
      <c r="J21" s="989">
        <v>39338.72361111111</v>
      </c>
      <c r="K21" s="990">
        <v>39338.731944444444</v>
      </c>
      <c r="L21" s="234">
        <f>IF(D21="","",(K21-J21)*24)</f>
        <v>0.19999999995343387</v>
      </c>
      <c r="M21" s="235">
        <f>IF(D21="","",ROUND((K21-J21)*24*60,0))</f>
        <v>12</v>
      </c>
      <c r="N21" s="322" t="s">
        <v>190</v>
      </c>
      <c r="O21" s="236" t="str">
        <f>IF(D21="","","--")</f>
        <v>--</v>
      </c>
      <c r="P21" s="168" t="str">
        <f>IF(D21="","","NO")</f>
        <v>NO</v>
      </c>
      <c r="Q21" s="168" t="str">
        <f>IF(D21="","",IF(OR(N21="P",N21="RP"),"--","NO"))</f>
        <v>NO</v>
      </c>
      <c r="R21" s="991" t="str">
        <f>IF(N21="P",I21*H21*ROUND(M21/60,2)*0.01,"--")</f>
        <v>--</v>
      </c>
      <c r="S21" s="992" t="str">
        <f>IF(N21="RP",I21*H21*ROUND(M21/60,2)*0.01*O21/100,"--")</f>
        <v>--</v>
      </c>
      <c r="T21" s="327">
        <v>0</v>
      </c>
      <c r="U21" s="328">
        <f>IF(AND(N21="F",M21&gt;=10),I21*H21*IF(P21="SI",1.2,1)*IF(M21&lt;=300,ROUND(M21/60,2),5),"--")</f>
        <v>2753.0514</v>
      </c>
      <c r="V21" s="329" t="str">
        <f>IF(AND(N21="F",M21&gt;300),(ROUND(M21/60,2)-5)*I21*H21*0.1*IF(P21="SI",1.2,1),"--")</f>
        <v>--</v>
      </c>
      <c r="W21" s="993" t="str">
        <f>IF(AND(N21="R",Q21="NO"),I21*H21*O21/100*IF(P21="SI",1.2,1),"--")</f>
        <v>--</v>
      </c>
      <c r="X21" s="994" t="str">
        <f>IF(AND(N21="R",M21&gt;=10),I21*H21*O21/100*IF(P21="SI",1.2,1)*IF(M21&lt;=300,ROUND(M21/60,2),5),"--")</f>
        <v>--</v>
      </c>
      <c r="Y21" s="995" t="str">
        <f>IF(AND(N21="R",M21&gt;300),(ROUND(M21/60,2)-5)*I21*H21*0.1*O21/100*IF(P21="SI",1.2,1),"--")</f>
        <v>--</v>
      </c>
      <c r="Z21" s="333" t="str">
        <f>IF(N21="RF",ROUND(M21/60,2)*I21*H21*0.1*IF(P21="SI",1.2,1),"--")</f>
        <v>--</v>
      </c>
      <c r="AA21" s="334" t="str">
        <f>IF(N21="RR",ROUND(M21/60,2)*I21*H21*0.1*O21/100*IF(P21="SI",1.2,1),"--")</f>
        <v>--</v>
      </c>
      <c r="AB21" s="996" t="s">
        <v>183</v>
      </c>
      <c r="AC21" s="16">
        <f>IF(D21="","",SUM(R21:AA21)*IF(AB21="SI",1,2))</f>
        <v>2753.0514</v>
      </c>
      <c r="AD21" s="16">
        <f>AC21*(1-AF20)</f>
        <v>1779.944370463294</v>
      </c>
      <c r="AE21" s="997"/>
    </row>
    <row r="22" spans="2:31" s="5" customFormat="1" ht="16.5" customHeight="1">
      <c r="B22" s="51"/>
      <c r="C22" s="171"/>
      <c r="D22" s="171"/>
      <c r="E22" s="231"/>
      <c r="F22" s="1039"/>
      <c r="G22" s="231"/>
      <c r="H22" s="987"/>
      <c r="I22" s="988"/>
      <c r="J22" s="989"/>
      <c r="K22" s="990"/>
      <c r="L22" s="234"/>
      <c r="M22" s="235"/>
      <c r="N22" s="322"/>
      <c r="O22" s="236"/>
      <c r="P22" s="168"/>
      <c r="Q22" s="168"/>
      <c r="R22" s="991"/>
      <c r="S22" s="992"/>
      <c r="T22" s="327"/>
      <c r="U22" s="328"/>
      <c r="V22" s="329"/>
      <c r="W22" s="993"/>
      <c r="X22" s="994"/>
      <c r="Y22" s="995"/>
      <c r="Z22" s="333"/>
      <c r="AA22" s="334"/>
      <c r="AB22" s="996"/>
      <c r="AC22" s="16"/>
      <c r="AD22" s="16"/>
      <c r="AE22" s="997"/>
    </row>
    <row r="23" spans="2:31" s="5" customFormat="1" ht="16.5" customHeight="1" thickBot="1">
      <c r="B23" s="51"/>
      <c r="C23" s="171"/>
      <c r="D23" s="165"/>
      <c r="E23" s="339"/>
      <c r="F23" s="1035"/>
      <c r="G23" s="340"/>
      <c r="H23" s="1002"/>
      <c r="I23" s="1003"/>
      <c r="J23" s="1033"/>
      <c r="K23" s="1033"/>
      <c r="L23" s="9"/>
      <c r="M23" s="9"/>
      <c r="N23" s="167"/>
      <c r="O23" s="241"/>
      <c r="P23" s="167"/>
      <c r="Q23" s="167"/>
      <c r="R23" s="1004"/>
      <c r="S23" s="1005"/>
      <c r="T23" s="345"/>
      <c r="U23" s="346"/>
      <c r="V23" s="347"/>
      <c r="W23" s="1006"/>
      <c r="X23" s="1007"/>
      <c r="Y23" s="1008"/>
      <c r="Z23" s="351"/>
      <c r="AA23" s="352"/>
      <c r="AB23" s="1009"/>
      <c r="AC23" s="355"/>
      <c r="AD23" s="355"/>
      <c r="AE23" s="997"/>
    </row>
    <row r="24" spans="2:31" s="5" customFormat="1" ht="16.5" customHeight="1" thickBot="1" thickTop="1">
      <c r="B24" s="51"/>
      <c r="C24" s="131" t="s">
        <v>25</v>
      </c>
      <c r="D24" s="132" t="s">
        <v>298</v>
      </c>
      <c r="E24" s="356"/>
      <c r="F24" s="277"/>
      <c r="G24" s="357"/>
      <c r="H24" s="277"/>
      <c r="I24" s="242"/>
      <c r="J24" s="242"/>
      <c r="K24" s="242"/>
      <c r="L24" s="242"/>
      <c r="M24" s="242"/>
      <c r="N24" s="242"/>
      <c r="O24" s="358"/>
      <c r="P24" s="242"/>
      <c r="Q24" s="242"/>
      <c r="R24" s="1010">
        <f aca="true" t="shared" si="0" ref="R24:AA24">SUM(R20:R23)</f>
        <v>0</v>
      </c>
      <c r="S24" s="1011">
        <f t="shared" si="0"/>
        <v>0</v>
      </c>
      <c r="T24" s="1012">
        <f t="shared" si="0"/>
        <v>0</v>
      </c>
      <c r="U24" s="1012">
        <f t="shared" si="0"/>
        <v>2753.0514</v>
      </c>
      <c r="V24" s="1012">
        <f t="shared" si="0"/>
        <v>0</v>
      </c>
      <c r="W24" s="1013">
        <f t="shared" si="0"/>
        <v>0</v>
      </c>
      <c r="X24" s="1013">
        <f t="shared" si="0"/>
        <v>0</v>
      </c>
      <c r="Y24" s="1013">
        <f t="shared" si="0"/>
        <v>0</v>
      </c>
      <c r="Z24" s="366">
        <f t="shared" si="0"/>
        <v>0</v>
      </c>
      <c r="AA24" s="367">
        <f t="shared" si="0"/>
        <v>0</v>
      </c>
      <c r="AB24" s="368"/>
      <c r="AC24" s="370">
        <f>ROUND(SUM(AC20:AC23),2)</f>
        <v>2753.05</v>
      </c>
      <c r="AD24" s="370">
        <f>SUM(AD21:AD22)</f>
        <v>1779.944370463294</v>
      </c>
      <c r="AE24" s="997"/>
    </row>
    <row r="25" spans="2:31" s="137" customFormat="1" ht="9.75" thickTop="1">
      <c r="B25" s="136"/>
      <c r="C25" s="133"/>
      <c r="D25" s="134" t="s">
        <v>299</v>
      </c>
      <c r="E25" s="371"/>
      <c r="F25" s="372"/>
      <c r="G25" s="373"/>
      <c r="H25" s="372"/>
      <c r="I25" s="249"/>
      <c r="J25" s="249"/>
      <c r="K25" s="249"/>
      <c r="L25" s="249"/>
      <c r="M25" s="249"/>
      <c r="N25" s="249"/>
      <c r="O25" s="374"/>
      <c r="P25" s="249"/>
      <c r="Q25" s="249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375"/>
      <c r="AD25" s="375"/>
      <c r="AE25" s="376"/>
    </row>
    <row r="26" spans="2:31" s="5" customFormat="1" ht="16.5" customHeight="1" thickBot="1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7"/>
    </row>
    <row r="27" spans="2:31" ht="16.5" customHeight="1" thickTop="1">
      <c r="B27" s="1"/>
      <c r="AE27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156"/>
  <sheetViews>
    <sheetView zoomScale="75" zoomScaleNormal="75" workbookViewId="0" topLeftCell="I1">
      <selection activeCell="AB21" sqref="AB21:AB3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1" width="10.7109375" style="0" customWidth="1"/>
    <col min="12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9" width="15.7109375" style="0" customWidth="1"/>
  </cols>
  <sheetData>
    <row r="1" spans="2:29" s="19" customFormat="1" ht="26.2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159"/>
    </row>
    <row r="2" spans="1:29" s="19" customFormat="1" ht="26.25">
      <c r="A2" s="92"/>
      <c r="B2" s="377" t="str">
        <f>+'TOT-0907'!B2</f>
        <v>ANEXO IV al Memorandum D.T.E.E. N°  1955 /2009</v>
      </c>
      <c r="C2" s="377"/>
      <c r="D2" s="377"/>
      <c r="E2" s="20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s="5" customFormat="1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s="26" customFormat="1" ht="11.25">
      <c r="A4" s="378" t="s">
        <v>77</v>
      </c>
      <c r="B4" s="11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s="26" customFormat="1" ht="11.25">
      <c r="A5" s="378" t="s">
        <v>3</v>
      </c>
      <c r="B5" s="11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</row>
    <row r="6" spans="1:29" s="5" customFormat="1" ht="13.5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s="5" customFormat="1" ht="13.5" thickTop="1">
      <c r="A7" s="91"/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5"/>
    </row>
    <row r="8" spans="1:29" s="30" customFormat="1" ht="20.25">
      <c r="A8" s="108"/>
      <c r="B8" s="109"/>
      <c r="C8" s="108"/>
      <c r="D8" s="379" t="s">
        <v>61</v>
      </c>
      <c r="E8" s="108"/>
      <c r="F8" s="108"/>
      <c r="G8" s="380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110"/>
    </row>
    <row r="9" spans="1:29" s="5" customFormat="1" ht="12.75">
      <c r="A9" s="91"/>
      <c r="B9" s="96"/>
      <c r="C9" s="91"/>
      <c r="D9" s="15"/>
      <c r="E9" s="381"/>
      <c r="F9" s="91"/>
      <c r="G9" s="15"/>
      <c r="H9" s="91"/>
      <c r="I9" s="91"/>
      <c r="J9" s="91"/>
      <c r="K9" s="91"/>
      <c r="L9" s="91"/>
      <c r="M9" s="91"/>
      <c r="N9" s="91"/>
      <c r="O9" s="91"/>
      <c r="P9" s="91"/>
      <c r="Q9" s="91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8"/>
    </row>
    <row r="10" spans="1:29" s="30" customFormat="1" ht="20.25">
      <c r="A10" s="108"/>
      <c r="B10" s="109"/>
      <c r="C10" s="108"/>
      <c r="D10" s="379" t="s">
        <v>26</v>
      </c>
      <c r="E10" s="108"/>
      <c r="F10" s="12"/>
      <c r="G10" s="9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110"/>
    </row>
    <row r="11" spans="1:29" s="5" customFormat="1" ht="12.75">
      <c r="A11" s="91"/>
      <c r="B11" s="96"/>
      <c r="C11" s="91"/>
      <c r="D11" s="15"/>
      <c r="E11" s="15"/>
      <c r="F11" s="15"/>
      <c r="G11" s="15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8"/>
    </row>
    <row r="12" spans="1:29" s="5" customFormat="1" ht="20.25">
      <c r="A12" s="108"/>
      <c r="B12" s="109"/>
      <c r="C12" s="108"/>
      <c r="D12" s="116" t="s">
        <v>318</v>
      </c>
      <c r="E12" s="108"/>
      <c r="F12" s="108"/>
      <c r="G12" s="108"/>
      <c r="H12" s="106"/>
      <c r="I12" s="106"/>
      <c r="J12" s="106"/>
      <c r="K12" s="106"/>
      <c r="L12" s="106"/>
      <c r="M12" s="91"/>
      <c r="N12" s="91"/>
      <c r="O12" s="91"/>
      <c r="P12" s="91"/>
      <c r="Q12" s="91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8"/>
    </row>
    <row r="13" spans="1:29" s="5" customFormat="1" ht="12.75">
      <c r="A13" s="91"/>
      <c r="B13" s="96"/>
      <c r="C13" s="91"/>
      <c r="D13" s="15"/>
      <c r="E13" s="15"/>
      <c r="F13" s="15"/>
      <c r="G13" s="99"/>
      <c r="H13" s="15"/>
      <c r="I13" s="15"/>
      <c r="J13" s="15"/>
      <c r="K13" s="15"/>
      <c r="L13" s="15"/>
      <c r="M13" s="91"/>
      <c r="N13" s="91"/>
      <c r="O13" s="91"/>
      <c r="P13" s="91"/>
      <c r="Q13" s="91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8"/>
    </row>
    <row r="14" spans="1:29" s="37" customFormat="1" ht="19.5">
      <c r="A14" s="112"/>
      <c r="B14" s="38" t="str">
        <f>'TOT-0907'!B14</f>
        <v>Desde el 01 al 30 de septiembre de 2007</v>
      </c>
      <c r="C14" s="382"/>
      <c r="D14" s="115"/>
      <c r="E14" s="115"/>
      <c r="F14" s="115"/>
      <c r="G14" s="115"/>
      <c r="H14" s="115"/>
      <c r="I14" s="115"/>
      <c r="J14" s="115"/>
      <c r="K14" s="115"/>
      <c r="L14" s="115"/>
      <c r="M14" s="382"/>
      <c r="N14" s="382"/>
      <c r="O14" s="382"/>
      <c r="P14" s="382"/>
      <c r="Q14" s="382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383"/>
    </row>
    <row r="15" spans="1:29" s="5" customFormat="1" ht="13.5" thickBot="1">
      <c r="A15" s="91"/>
      <c r="B15" s="96"/>
      <c r="C15" s="91"/>
      <c r="D15" s="15"/>
      <c r="E15" s="15"/>
      <c r="F15" s="15"/>
      <c r="G15" s="99"/>
      <c r="H15" s="15"/>
      <c r="I15" s="15"/>
      <c r="J15" s="15"/>
      <c r="K15" s="15"/>
      <c r="L15" s="15"/>
      <c r="M15" s="91"/>
      <c r="N15" s="91"/>
      <c r="O15" s="91"/>
      <c r="P15" s="91"/>
      <c r="Q15" s="91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8"/>
    </row>
    <row r="16" spans="1:29" s="5" customFormat="1" ht="16.5" customHeight="1" thickBot="1" thickTop="1">
      <c r="A16" s="91"/>
      <c r="B16" s="96"/>
      <c r="C16" s="91"/>
      <c r="D16" s="384" t="s">
        <v>78</v>
      </c>
      <c r="E16" s="385"/>
      <c r="F16" s="386">
        <v>0.245</v>
      </c>
      <c r="H16" s="91"/>
      <c r="I16" s="91"/>
      <c r="J16" s="91"/>
      <c r="K16" s="91"/>
      <c r="L16" s="91"/>
      <c r="M16" s="91"/>
      <c r="N16" s="9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8"/>
    </row>
    <row r="17" spans="1:29" s="5" customFormat="1" ht="16.5" customHeight="1" thickBot="1" thickTop="1">
      <c r="A17" s="91"/>
      <c r="B17" s="96"/>
      <c r="C17" s="91"/>
      <c r="D17" s="113" t="s">
        <v>27</v>
      </c>
      <c r="E17" s="114"/>
      <c r="F17" s="1045">
        <v>200</v>
      </c>
      <c r="G17"/>
      <c r="H17" s="15"/>
      <c r="I17" s="273"/>
      <c r="J17" s="274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100"/>
      <c r="V17" s="100"/>
      <c r="W17" s="100"/>
      <c r="X17" s="100"/>
      <c r="Y17" s="100"/>
      <c r="Z17" s="100"/>
      <c r="AA17" s="91"/>
      <c r="AB17" s="91"/>
      <c r="AC17" s="18"/>
    </row>
    <row r="18" spans="1:29" s="5" customFormat="1" ht="16.5" customHeight="1" thickBot="1" thickTop="1">
      <c r="A18" s="91"/>
      <c r="B18" s="96"/>
      <c r="C18" s="91"/>
      <c r="D18" s="15"/>
      <c r="E18" s="15"/>
      <c r="F18" s="15"/>
      <c r="G18" s="10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8"/>
    </row>
    <row r="19" spans="1:29" s="5" customFormat="1" ht="33.75" customHeight="1" thickBot="1" thickTop="1">
      <c r="A19" s="91"/>
      <c r="B19" s="96"/>
      <c r="C19" s="127" t="s">
        <v>13</v>
      </c>
      <c r="D19" s="123" t="s">
        <v>28</v>
      </c>
      <c r="E19" s="122" t="s">
        <v>29</v>
      </c>
      <c r="F19" s="124" t="s">
        <v>30</v>
      </c>
      <c r="G19" s="125" t="s">
        <v>14</v>
      </c>
      <c r="H19" s="139" t="s">
        <v>16</v>
      </c>
      <c r="I19" s="122" t="s">
        <v>17</v>
      </c>
      <c r="J19" s="122" t="s">
        <v>18</v>
      </c>
      <c r="K19" s="123" t="s">
        <v>31</v>
      </c>
      <c r="L19" s="123" t="s">
        <v>32</v>
      </c>
      <c r="M19" s="89" t="s">
        <v>19</v>
      </c>
      <c r="N19" s="89" t="s">
        <v>47</v>
      </c>
      <c r="O19" s="126" t="s">
        <v>33</v>
      </c>
      <c r="P19" s="122" t="s">
        <v>34</v>
      </c>
      <c r="Q19" s="387" t="s">
        <v>38</v>
      </c>
      <c r="R19" s="388" t="s">
        <v>20</v>
      </c>
      <c r="S19" s="389" t="s">
        <v>21</v>
      </c>
      <c r="T19" s="284" t="s">
        <v>79</v>
      </c>
      <c r="U19" s="286"/>
      <c r="V19" s="390" t="s">
        <v>80</v>
      </c>
      <c r="W19" s="391"/>
      <c r="X19" s="392" t="s">
        <v>22</v>
      </c>
      <c r="Y19" s="393" t="s">
        <v>75</v>
      </c>
      <c r="Z19" s="144" t="s">
        <v>76</v>
      </c>
      <c r="AA19" s="125" t="s">
        <v>24</v>
      </c>
      <c r="AB19" s="125" t="s">
        <v>319</v>
      </c>
      <c r="AC19" s="18"/>
    </row>
    <row r="20" spans="1:29" s="5" customFormat="1" ht="16.5" customHeight="1" thickTop="1">
      <c r="A20" s="91"/>
      <c r="B20" s="96"/>
      <c r="C20" s="394"/>
      <c r="D20" s="394"/>
      <c r="E20" s="394"/>
      <c r="F20" s="394"/>
      <c r="G20" s="395"/>
      <c r="H20" s="396"/>
      <c r="I20" s="394"/>
      <c r="J20" s="394"/>
      <c r="K20" s="394"/>
      <c r="L20" s="394"/>
      <c r="M20" s="394"/>
      <c r="N20" s="217"/>
      <c r="O20" s="397"/>
      <c r="P20" s="394"/>
      <c r="Q20" s="398"/>
      <c r="R20" s="399"/>
      <c r="S20" s="400"/>
      <c r="T20" s="401"/>
      <c r="U20" s="402"/>
      <c r="V20" s="403"/>
      <c r="W20" s="404"/>
      <c r="X20" s="405"/>
      <c r="Y20" s="406"/>
      <c r="Z20" s="397"/>
      <c r="AA20" s="407"/>
      <c r="AB20" s="407"/>
      <c r="AC20" s="18"/>
    </row>
    <row r="21" spans="1:30" s="5" customFormat="1" ht="16.5" customHeight="1">
      <c r="A21" s="91"/>
      <c r="B21" s="96"/>
      <c r="C21" s="171">
        <v>17</v>
      </c>
      <c r="D21" s="164" t="s">
        <v>198</v>
      </c>
      <c r="E21" s="422" t="s">
        <v>199</v>
      </c>
      <c r="F21" s="423">
        <v>100</v>
      </c>
      <c r="G21" s="424" t="s">
        <v>133</v>
      </c>
      <c r="H21" s="425">
        <f>F21*$F$16</f>
        <v>24.5</v>
      </c>
      <c r="I21" s="172">
        <v>39333.42291666667</v>
      </c>
      <c r="J21" s="172">
        <v>39333.700694444444</v>
      </c>
      <c r="K21" s="426">
        <f>IF(D21="","",(J21-I21)*24)</f>
        <v>6.666666666569654</v>
      </c>
      <c r="L21" s="14">
        <f>IF(D21="","",ROUND((J21-I21)*24*60,0))</f>
        <v>400</v>
      </c>
      <c r="M21" s="173" t="s">
        <v>182</v>
      </c>
      <c r="N21" s="323" t="str">
        <f aca="true" t="shared" si="0" ref="N21:N29">IF(D21="","","--")</f>
        <v>--</v>
      </c>
      <c r="O21" s="169" t="str">
        <f>IF(D21="","",IF(OR(M21="P",M21="RP"),"--","NO"))</f>
        <v>--</v>
      </c>
      <c r="P21" s="168" t="str">
        <f>IF(D21="","","NO")</f>
        <v>NO</v>
      </c>
      <c r="Q21" s="427">
        <f>$F$17*IF(OR(M21="P",M21="RP"),0.1,1)*IF(P21="SI",1,0.1)</f>
        <v>2</v>
      </c>
      <c r="R21" s="428">
        <f>IF(M21="P",H21*Q21*ROUND(L21/60,2),"--")</f>
        <v>326.83</v>
      </c>
      <c r="S21" s="429" t="str">
        <f>IF(M21="RP",H21*Q21*N21/100*ROUND(L21/60,2),"--")</f>
        <v>--</v>
      </c>
      <c r="T21" s="430" t="str">
        <f>IF(AND(M21="F",O21="NO"),H21*Q21,"--")</f>
        <v>--</v>
      </c>
      <c r="U21" s="431" t="str">
        <f>IF(M21="F",H21*Q21*ROUND(L21/60,2),"--")</f>
        <v>--</v>
      </c>
      <c r="V21" s="432" t="str">
        <f>IF(AND(M21="R",O21="NO"),H21*Q21*N21/100,"--")</f>
        <v>--</v>
      </c>
      <c r="W21" s="433" t="str">
        <f>IF(M21="R",H21*Q21*N21/100*ROUND(L21/60,2),"--")</f>
        <v>--</v>
      </c>
      <c r="X21" s="434" t="str">
        <f>IF(M21="RF",H21*Q21*ROUND(L21/60,2),"--")</f>
        <v>--</v>
      </c>
      <c r="Y21" s="435" t="str">
        <f>IF(M21="RR",H21*Q21*N21/100*ROUND(L21/60,2),"--")</f>
        <v>--</v>
      </c>
      <c r="Z21" s="436" t="s">
        <v>183</v>
      </c>
      <c r="AA21" s="437">
        <f>IF(D21="","",SUM(R21:Y21)*IF(Z21="SI",1,2))</f>
        <v>326.83</v>
      </c>
      <c r="AB21" s="437">
        <f>AA21*(1-$AD$21)</f>
        <v>211.30706771348997</v>
      </c>
      <c r="AC21" s="18"/>
      <c r="AD21" s="1145">
        <v>0.353464897</v>
      </c>
    </row>
    <row r="22" spans="1:29" s="5" customFormat="1" ht="16.5" customHeight="1">
      <c r="A22" s="91"/>
      <c r="B22" s="96"/>
      <c r="C22" s="171">
        <v>18</v>
      </c>
      <c r="D22" s="164" t="s">
        <v>200</v>
      </c>
      <c r="E22" s="422" t="s">
        <v>201</v>
      </c>
      <c r="F22" s="423">
        <v>150</v>
      </c>
      <c r="G22" s="424" t="s">
        <v>133</v>
      </c>
      <c r="H22" s="425">
        <f>F22*$F$16</f>
        <v>36.75</v>
      </c>
      <c r="I22" s="172">
        <v>39333.5</v>
      </c>
      <c r="J22" s="172">
        <v>39333.631944444445</v>
      </c>
      <c r="K22" s="426">
        <f>IF(D22="","",(J22-I22)*24)</f>
        <v>3.166666666686069</v>
      </c>
      <c r="L22" s="14">
        <f>IF(D22="","",ROUND((J22-I22)*24*60,0))</f>
        <v>190</v>
      </c>
      <c r="M22" s="173" t="s">
        <v>190</v>
      </c>
      <c r="N22" s="323" t="str">
        <f t="shared" si="0"/>
        <v>--</v>
      </c>
      <c r="O22" s="169" t="str">
        <f>IF(D22="","",IF(OR(M22="P",M22="RP"),"--","NO"))</f>
        <v>NO</v>
      </c>
      <c r="P22" s="168" t="str">
        <f>IF(D22="","","NO")</f>
        <v>NO</v>
      </c>
      <c r="Q22" s="427">
        <f>$F$17*IF(OR(M22="P",M22="RP"),0.1,1)*IF(P22="SI",1,0.1)</f>
        <v>20</v>
      </c>
      <c r="R22" s="428" t="str">
        <f>IF(M22="P",H22*Q22*ROUND(L22/60,2),"--")</f>
        <v>--</v>
      </c>
      <c r="S22" s="429" t="str">
        <f>IF(M22="RP",H22*Q22*N22/100*ROUND(L22/60,2),"--")</f>
        <v>--</v>
      </c>
      <c r="T22" s="430">
        <f>IF(AND(M22="F",O22="NO"),H22*Q22,"--")</f>
        <v>735</v>
      </c>
      <c r="U22" s="431">
        <f>IF(M22="F",H22*Q22*ROUND(L22/60,2),"--")</f>
        <v>2329.95</v>
      </c>
      <c r="V22" s="432" t="str">
        <f>IF(AND(M22="R",O22="NO"),H22*Q22*N22/100,"--")</f>
        <v>--</v>
      </c>
      <c r="W22" s="433" t="str">
        <f>IF(M22="R",H22*Q22*N22/100*ROUND(L22/60,2),"--")</f>
        <v>--</v>
      </c>
      <c r="X22" s="434" t="str">
        <f>IF(M22="RF",H22*Q22*ROUND(L22/60,2),"--")</f>
        <v>--</v>
      </c>
      <c r="Y22" s="435" t="str">
        <f>IF(M22="RR",H22*Q22*N22/100*ROUND(L22/60,2),"--")</f>
        <v>--</v>
      </c>
      <c r="Z22" s="436" t="s">
        <v>183</v>
      </c>
      <c r="AA22" s="437">
        <f>IF(D22="","",SUM(R22:Y22)*IF(Z22="SI",1,2))</f>
        <v>3064.95</v>
      </c>
      <c r="AB22" s="437">
        <f aca="true" t="shared" si="1" ref="AB22:AB39">AA22*(1-$AD$21)</f>
        <v>1981.5977639398498</v>
      </c>
      <c r="AC22" s="18"/>
    </row>
    <row r="23" spans="1:29" s="5" customFormat="1" ht="16.5" customHeight="1">
      <c r="A23" s="91"/>
      <c r="B23" s="96"/>
      <c r="C23" s="171">
        <v>20</v>
      </c>
      <c r="D23" s="164" t="s">
        <v>200</v>
      </c>
      <c r="E23" s="422" t="s">
        <v>201</v>
      </c>
      <c r="F23" s="423">
        <v>150</v>
      </c>
      <c r="G23" s="424" t="s">
        <v>133</v>
      </c>
      <c r="H23" s="425">
        <f>F23*$F$16</f>
        <v>36.75</v>
      </c>
      <c r="I23" s="172">
        <v>39337.48055555556</v>
      </c>
      <c r="J23" s="172">
        <v>39337.59861111111</v>
      </c>
      <c r="K23" s="426">
        <f>IF(D23="","",(J23-I23)*24)</f>
        <v>2.833333333313931</v>
      </c>
      <c r="L23" s="14">
        <f>IF(D23="","",ROUND((J23-I23)*24*60,0))</f>
        <v>170</v>
      </c>
      <c r="M23" s="173" t="s">
        <v>190</v>
      </c>
      <c r="N23" s="323" t="str">
        <f t="shared" si="0"/>
        <v>--</v>
      </c>
      <c r="O23" s="169" t="str">
        <f>IF(D23="","",IF(OR(M23="P",M23="RP"),"--","NO"))</f>
        <v>NO</v>
      </c>
      <c r="P23" s="168" t="str">
        <f>IF(D23="","","NO")</f>
        <v>NO</v>
      </c>
      <c r="Q23" s="427">
        <f>$F$17*IF(OR(M23="P",M23="RP"),0.1,1)*IF(P23="SI",1,0.1)</f>
        <v>20</v>
      </c>
      <c r="R23" s="428" t="str">
        <f>IF(M23="P",H23*Q23*ROUND(L23/60,2),"--")</f>
        <v>--</v>
      </c>
      <c r="S23" s="429" t="str">
        <f>IF(M23="RP",H23*Q23*N23/100*ROUND(L23/60,2),"--")</f>
        <v>--</v>
      </c>
      <c r="T23" s="430">
        <f>IF(AND(M23="F",O23="NO"),H23*Q23,"--")</f>
        <v>735</v>
      </c>
      <c r="U23" s="431">
        <f>IF(M23="F",H23*Q23*ROUND(L23/60,2),"--")</f>
        <v>2080.05</v>
      </c>
      <c r="V23" s="432" t="str">
        <f>IF(AND(M23="R",O23="NO"),H23*Q23*N23/100,"--")</f>
        <v>--</v>
      </c>
      <c r="W23" s="433" t="str">
        <f>IF(M23="R",H23*Q23*N23/100*ROUND(L23/60,2),"--")</f>
        <v>--</v>
      </c>
      <c r="X23" s="434" t="str">
        <f>IF(M23="RF",H23*Q23*ROUND(L23/60,2),"--")</f>
        <v>--</v>
      </c>
      <c r="Y23" s="435" t="str">
        <f>IF(M23="RR",H23*Q23*N23/100*ROUND(L23/60,2),"--")</f>
        <v>--</v>
      </c>
      <c r="Z23" s="436" t="s">
        <v>183</v>
      </c>
      <c r="AA23" s="437">
        <f>IF(D23="","",SUM(R23:Y23)*IF(Z23="SI",1,2))</f>
        <v>2815.05</v>
      </c>
      <c r="AB23" s="437">
        <f t="shared" si="1"/>
        <v>1820.02864170015</v>
      </c>
      <c r="AC23" s="18"/>
    </row>
    <row r="24" spans="1:29" s="5" customFormat="1" ht="16.5" customHeight="1">
      <c r="A24" s="91"/>
      <c r="B24" s="96"/>
      <c r="C24" s="171">
        <v>22</v>
      </c>
      <c r="D24" s="164" t="s">
        <v>200</v>
      </c>
      <c r="E24" s="438" t="s">
        <v>201</v>
      </c>
      <c r="F24" s="423">
        <v>150</v>
      </c>
      <c r="G24" s="424" t="s">
        <v>133</v>
      </c>
      <c r="H24" s="425">
        <f aca="true" t="shared" si="2" ref="H24:H29">F24*$F$16</f>
        <v>36.75</v>
      </c>
      <c r="I24" s="172">
        <v>39338.407638888886</v>
      </c>
      <c r="J24" s="172">
        <v>39338.7</v>
      </c>
      <c r="K24" s="426">
        <f aca="true" t="shared" si="3" ref="K24:K29">IF(D24="","",(J24-I24)*24)</f>
        <v>7.016666666662786</v>
      </c>
      <c r="L24" s="14">
        <f aca="true" t="shared" si="4" ref="L24:L29">IF(D24="","",ROUND((J24-I24)*24*60,0))</f>
        <v>421</v>
      </c>
      <c r="M24" s="173" t="s">
        <v>182</v>
      </c>
      <c r="N24" s="323" t="str">
        <f t="shared" si="0"/>
        <v>--</v>
      </c>
      <c r="O24" s="169" t="str">
        <f aca="true" t="shared" si="5" ref="O24:O29">IF(D24="","",IF(OR(M24="P",M24="RP"),"--","NO"))</f>
        <v>--</v>
      </c>
      <c r="P24" s="168" t="str">
        <f aca="true" t="shared" si="6" ref="P24:P29">IF(D24="","","NO")</f>
        <v>NO</v>
      </c>
      <c r="Q24" s="427">
        <f aca="true" t="shared" si="7" ref="Q24:Q29">$F$17*IF(OR(M24="P",M24="RP"),0.1,1)*IF(P24="SI",1,0.1)</f>
        <v>2</v>
      </c>
      <c r="R24" s="428">
        <f aca="true" t="shared" si="8" ref="R24:R29">IF(M24="P",H24*Q24*ROUND(L24/60,2),"--")</f>
        <v>515.9699999999999</v>
      </c>
      <c r="S24" s="429" t="str">
        <f aca="true" t="shared" si="9" ref="S24:S29">IF(M24="RP",H24*Q24*N24/100*ROUND(L24/60,2),"--")</f>
        <v>--</v>
      </c>
      <c r="T24" s="430" t="str">
        <f aca="true" t="shared" si="10" ref="T24:T29">IF(AND(M24="F",O24="NO"),H24*Q24,"--")</f>
        <v>--</v>
      </c>
      <c r="U24" s="431" t="str">
        <f aca="true" t="shared" si="11" ref="U24:U29">IF(M24="F",H24*Q24*ROUND(L24/60,2),"--")</f>
        <v>--</v>
      </c>
      <c r="V24" s="432" t="str">
        <f aca="true" t="shared" si="12" ref="V24:V29">IF(AND(M24="R",O24="NO"),H24*Q24*N24/100,"--")</f>
        <v>--</v>
      </c>
      <c r="W24" s="433" t="str">
        <f aca="true" t="shared" si="13" ref="W24:W29">IF(M24="R",H24*Q24*N24/100*ROUND(L24/60,2),"--")</f>
        <v>--</v>
      </c>
      <c r="X24" s="434" t="str">
        <f aca="true" t="shared" si="14" ref="X24:X29">IF(M24="RF",H24*Q24*ROUND(L24/60,2),"--")</f>
        <v>--</v>
      </c>
      <c r="Y24" s="435" t="str">
        <f aca="true" t="shared" si="15" ref="Y24:Y29">IF(M24="RR",H24*Q24*N24/100*ROUND(L24/60,2),"--")</f>
        <v>--</v>
      </c>
      <c r="Z24" s="436" t="s">
        <v>183</v>
      </c>
      <c r="AA24" s="437">
        <f aca="true" t="shared" si="16" ref="AA24:AA29">IF(D24="","",SUM(R24:Y24)*IF(Z24="SI",1,2))</f>
        <v>515.9699999999999</v>
      </c>
      <c r="AB24" s="437">
        <f t="shared" si="1"/>
        <v>333.5927170949099</v>
      </c>
      <c r="AC24" s="18"/>
    </row>
    <row r="25" spans="1:29" s="5" customFormat="1" ht="16.5" customHeight="1">
      <c r="A25" s="91"/>
      <c r="B25" s="96"/>
      <c r="C25" s="171">
        <v>23</v>
      </c>
      <c r="D25" s="164" t="s">
        <v>198</v>
      </c>
      <c r="E25" s="438" t="s">
        <v>199</v>
      </c>
      <c r="F25" s="423">
        <v>100</v>
      </c>
      <c r="G25" s="424" t="s">
        <v>133</v>
      </c>
      <c r="H25" s="425">
        <f t="shared" si="2"/>
        <v>24.5</v>
      </c>
      <c r="I25" s="172">
        <v>39342.12291666667</v>
      </c>
      <c r="J25" s="172">
        <v>39342.177777777775</v>
      </c>
      <c r="K25" s="426">
        <f t="shared" si="3"/>
        <v>1.316666666592937</v>
      </c>
      <c r="L25" s="14">
        <f t="shared" si="4"/>
        <v>79</v>
      </c>
      <c r="M25" s="173" t="s">
        <v>182</v>
      </c>
      <c r="N25" s="323" t="str">
        <f t="shared" si="0"/>
        <v>--</v>
      </c>
      <c r="O25" s="169" t="str">
        <f t="shared" si="5"/>
        <v>--</v>
      </c>
      <c r="P25" s="168" t="str">
        <f t="shared" si="6"/>
        <v>NO</v>
      </c>
      <c r="Q25" s="427">
        <f t="shared" si="7"/>
        <v>2</v>
      </c>
      <c r="R25" s="428">
        <f t="shared" si="8"/>
        <v>64.68</v>
      </c>
      <c r="S25" s="429" t="str">
        <f t="shared" si="9"/>
        <v>--</v>
      </c>
      <c r="T25" s="430" t="str">
        <f t="shared" si="10"/>
        <v>--</v>
      </c>
      <c r="U25" s="431" t="str">
        <f t="shared" si="11"/>
        <v>--</v>
      </c>
      <c r="V25" s="432" t="str">
        <f t="shared" si="12"/>
        <v>--</v>
      </c>
      <c r="W25" s="433" t="str">
        <f t="shared" si="13"/>
        <v>--</v>
      </c>
      <c r="X25" s="434" t="str">
        <f t="shared" si="14"/>
        <v>--</v>
      </c>
      <c r="Y25" s="435" t="str">
        <f t="shared" si="15"/>
        <v>--</v>
      </c>
      <c r="Z25" s="436" t="s">
        <v>183</v>
      </c>
      <c r="AA25" s="437">
        <f t="shared" si="16"/>
        <v>64.68</v>
      </c>
      <c r="AB25" s="437">
        <f t="shared" si="1"/>
        <v>41.81789046204</v>
      </c>
      <c r="AC25" s="18"/>
    </row>
    <row r="26" spans="1:29" s="5" customFormat="1" ht="16.5" customHeight="1">
      <c r="A26" s="91"/>
      <c r="B26" s="96"/>
      <c r="C26" s="171">
        <v>24</v>
      </c>
      <c r="D26" s="164" t="s">
        <v>200</v>
      </c>
      <c r="E26" s="438" t="s">
        <v>202</v>
      </c>
      <c r="F26" s="423">
        <v>100</v>
      </c>
      <c r="G26" s="424" t="s">
        <v>133</v>
      </c>
      <c r="H26" s="425">
        <f t="shared" si="2"/>
        <v>24.5</v>
      </c>
      <c r="I26" s="172">
        <v>39344.475694444445</v>
      </c>
      <c r="J26" s="172">
        <v>39344.620833333334</v>
      </c>
      <c r="K26" s="426">
        <f t="shared" si="3"/>
        <v>3.483333333337214</v>
      </c>
      <c r="L26" s="14">
        <f t="shared" si="4"/>
        <v>209</v>
      </c>
      <c r="M26" s="173" t="s">
        <v>182</v>
      </c>
      <c r="N26" s="323" t="str">
        <f t="shared" si="0"/>
        <v>--</v>
      </c>
      <c r="O26" s="169" t="str">
        <f t="shared" si="5"/>
        <v>--</v>
      </c>
      <c r="P26" s="168" t="str">
        <f t="shared" si="6"/>
        <v>NO</v>
      </c>
      <c r="Q26" s="427">
        <f t="shared" si="7"/>
        <v>2</v>
      </c>
      <c r="R26" s="428">
        <f t="shared" si="8"/>
        <v>170.52</v>
      </c>
      <c r="S26" s="429" t="str">
        <f t="shared" si="9"/>
        <v>--</v>
      </c>
      <c r="T26" s="430" t="str">
        <f t="shared" si="10"/>
        <v>--</v>
      </c>
      <c r="U26" s="431" t="str">
        <f t="shared" si="11"/>
        <v>--</v>
      </c>
      <c r="V26" s="432" t="str">
        <f t="shared" si="12"/>
        <v>--</v>
      </c>
      <c r="W26" s="433" t="str">
        <f t="shared" si="13"/>
        <v>--</v>
      </c>
      <c r="X26" s="434" t="str">
        <f t="shared" si="14"/>
        <v>--</v>
      </c>
      <c r="Y26" s="435" t="str">
        <f t="shared" si="15"/>
        <v>--</v>
      </c>
      <c r="Z26" s="436" t="s">
        <v>183</v>
      </c>
      <c r="AA26" s="437">
        <f t="shared" si="16"/>
        <v>170.52</v>
      </c>
      <c r="AB26" s="437">
        <f t="shared" si="1"/>
        <v>110.24716576355999</v>
      </c>
      <c r="AC26" s="18"/>
    </row>
    <row r="27" spans="1:29" s="5" customFormat="1" ht="16.5" customHeight="1">
      <c r="A27" s="91"/>
      <c r="B27" s="96"/>
      <c r="C27" s="171">
        <v>25</v>
      </c>
      <c r="D27" s="164" t="s">
        <v>203</v>
      </c>
      <c r="E27" s="438" t="s">
        <v>204</v>
      </c>
      <c r="F27" s="423">
        <v>150</v>
      </c>
      <c r="G27" s="424" t="s">
        <v>205</v>
      </c>
      <c r="H27" s="425">
        <f t="shared" si="2"/>
        <v>36.75</v>
      </c>
      <c r="I27" s="172">
        <v>39347.33263888889</v>
      </c>
      <c r="J27" s="172">
        <v>39347.731944444444</v>
      </c>
      <c r="K27" s="426">
        <f t="shared" si="3"/>
        <v>9.58333333331393</v>
      </c>
      <c r="L27" s="14">
        <f t="shared" si="4"/>
        <v>575</v>
      </c>
      <c r="M27" s="173" t="s">
        <v>182</v>
      </c>
      <c r="N27" s="323" t="str">
        <f t="shared" si="0"/>
        <v>--</v>
      </c>
      <c r="O27" s="169" t="str">
        <f t="shared" si="5"/>
        <v>--</v>
      </c>
      <c r="P27" s="168" t="str">
        <f t="shared" si="6"/>
        <v>NO</v>
      </c>
      <c r="Q27" s="427">
        <f t="shared" si="7"/>
        <v>2</v>
      </c>
      <c r="R27" s="428">
        <f t="shared" si="8"/>
        <v>704.13</v>
      </c>
      <c r="S27" s="429" t="str">
        <f t="shared" si="9"/>
        <v>--</v>
      </c>
      <c r="T27" s="430" t="str">
        <f t="shared" si="10"/>
        <v>--</v>
      </c>
      <c r="U27" s="431" t="str">
        <f t="shared" si="11"/>
        <v>--</v>
      </c>
      <c r="V27" s="432" t="str">
        <f t="shared" si="12"/>
        <v>--</v>
      </c>
      <c r="W27" s="433" t="str">
        <f t="shared" si="13"/>
        <v>--</v>
      </c>
      <c r="X27" s="434" t="str">
        <f t="shared" si="14"/>
        <v>--</v>
      </c>
      <c r="Y27" s="435" t="str">
        <f t="shared" si="15"/>
        <v>--</v>
      </c>
      <c r="Z27" s="436" t="s">
        <v>183</v>
      </c>
      <c r="AA27" s="437">
        <f t="shared" si="16"/>
        <v>704.13</v>
      </c>
      <c r="AB27" s="437">
        <f t="shared" si="1"/>
        <v>455.24476207539</v>
      </c>
      <c r="AC27" s="18"/>
    </row>
    <row r="28" spans="1:29" s="5" customFormat="1" ht="16.5" customHeight="1">
      <c r="A28" s="91"/>
      <c r="B28" s="96"/>
      <c r="C28" s="171">
        <v>26</v>
      </c>
      <c r="D28" s="164" t="s">
        <v>206</v>
      </c>
      <c r="E28" s="438" t="s">
        <v>207</v>
      </c>
      <c r="F28" s="423">
        <v>150</v>
      </c>
      <c r="G28" s="424" t="s">
        <v>133</v>
      </c>
      <c r="H28" s="425">
        <f t="shared" si="2"/>
        <v>36.75</v>
      </c>
      <c r="I28" s="172">
        <v>39348.350694444445</v>
      </c>
      <c r="J28" s="172">
        <v>39348.708333333336</v>
      </c>
      <c r="K28" s="426">
        <f t="shared" si="3"/>
        <v>8.583333333372138</v>
      </c>
      <c r="L28" s="14">
        <f t="shared" si="4"/>
        <v>515</v>
      </c>
      <c r="M28" s="173" t="s">
        <v>182</v>
      </c>
      <c r="N28" s="323" t="str">
        <f t="shared" si="0"/>
        <v>--</v>
      </c>
      <c r="O28" s="169" t="str">
        <f t="shared" si="5"/>
        <v>--</v>
      </c>
      <c r="P28" s="168" t="str">
        <f t="shared" si="6"/>
        <v>NO</v>
      </c>
      <c r="Q28" s="427">
        <f t="shared" si="7"/>
        <v>2</v>
      </c>
      <c r="R28" s="428">
        <f t="shared" si="8"/>
        <v>630.63</v>
      </c>
      <c r="S28" s="429" t="str">
        <f t="shared" si="9"/>
        <v>--</v>
      </c>
      <c r="T28" s="430" t="str">
        <f t="shared" si="10"/>
        <v>--</v>
      </c>
      <c r="U28" s="431" t="str">
        <f t="shared" si="11"/>
        <v>--</v>
      </c>
      <c r="V28" s="432" t="str">
        <f t="shared" si="12"/>
        <v>--</v>
      </c>
      <c r="W28" s="433" t="str">
        <f t="shared" si="13"/>
        <v>--</v>
      </c>
      <c r="X28" s="434" t="str">
        <f t="shared" si="14"/>
        <v>--</v>
      </c>
      <c r="Y28" s="435" t="str">
        <f t="shared" si="15"/>
        <v>--</v>
      </c>
      <c r="Z28" s="436" t="s">
        <v>183</v>
      </c>
      <c r="AA28" s="437">
        <f t="shared" si="16"/>
        <v>630.63</v>
      </c>
      <c r="AB28" s="437">
        <f t="shared" si="1"/>
        <v>407.72443200488993</v>
      </c>
      <c r="AC28" s="18"/>
    </row>
    <row r="29" spans="1:29" s="5" customFormat="1" ht="16.5" customHeight="1">
      <c r="A29" s="91"/>
      <c r="B29" s="96"/>
      <c r="C29" s="171">
        <v>27</v>
      </c>
      <c r="D29" s="164" t="s">
        <v>203</v>
      </c>
      <c r="E29" s="438" t="s">
        <v>204</v>
      </c>
      <c r="F29" s="423">
        <v>150</v>
      </c>
      <c r="G29" s="424" t="s">
        <v>205</v>
      </c>
      <c r="H29" s="425">
        <f t="shared" si="2"/>
        <v>36.75</v>
      </c>
      <c r="I29" s="172">
        <v>39348.379166666666</v>
      </c>
      <c r="J29" s="172">
        <v>39348.7125</v>
      </c>
      <c r="K29" s="426">
        <f t="shared" si="3"/>
        <v>8.000000000058208</v>
      </c>
      <c r="L29" s="14">
        <f t="shared" si="4"/>
        <v>480</v>
      </c>
      <c r="M29" s="173" t="s">
        <v>182</v>
      </c>
      <c r="N29" s="323" t="str">
        <f t="shared" si="0"/>
        <v>--</v>
      </c>
      <c r="O29" s="169" t="str">
        <f t="shared" si="5"/>
        <v>--</v>
      </c>
      <c r="P29" s="168" t="str">
        <f t="shared" si="6"/>
        <v>NO</v>
      </c>
      <c r="Q29" s="427">
        <f t="shared" si="7"/>
        <v>2</v>
      </c>
      <c r="R29" s="428">
        <f t="shared" si="8"/>
        <v>588</v>
      </c>
      <c r="S29" s="429" t="str">
        <f t="shared" si="9"/>
        <v>--</v>
      </c>
      <c r="T29" s="430" t="str">
        <f t="shared" si="10"/>
        <v>--</v>
      </c>
      <c r="U29" s="431" t="str">
        <f t="shared" si="11"/>
        <v>--</v>
      </c>
      <c r="V29" s="432" t="str">
        <f t="shared" si="12"/>
        <v>--</v>
      </c>
      <c r="W29" s="433" t="str">
        <f t="shared" si="13"/>
        <v>--</v>
      </c>
      <c r="X29" s="434" t="str">
        <f t="shared" si="14"/>
        <v>--</v>
      </c>
      <c r="Y29" s="435" t="str">
        <f t="shared" si="15"/>
        <v>--</v>
      </c>
      <c r="Z29" s="436" t="s">
        <v>183</v>
      </c>
      <c r="AA29" s="437">
        <f t="shared" si="16"/>
        <v>588</v>
      </c>
      <c r="AB29" s="437">
        <f t="shared" si="1"/>
        <v>380.16264056399996</v>
      </c>
      <c r="AC29" s="18"/>
    </row>
    <row r="30" spans="1:29" s="5" customFormat="1" ht="16.5" customHeight="1">
      <c r="A30" s="91"/>
      <c r="B30" s="96"/>
      <c r="C30" s="171" t="s">
        <v>312</v>
      </c>
      <c r="D30" s="164" t="s">
        <v>195</v>
      </c>
      <c r="E30" s="422" t="s">
        <v>196</v>
      </c>
      <c r="F30" s="423">
        <v>800</v>
      </c>
      <c r="G30" s="424" t="s">
        <v>197</v>
      </c>
      <c r="H30" s="425">
        <f aca="true" t="shared" si="17" ref="H30:H39">F30*$F$16</f>
        <v>196</v>
      </c>
      <c r="I30" s="172">
        <v>39326</v>
      </c>
      <c r="J30" s="172">
        <v>39326.356944444444</v>
      </c>
      <c r="K30" s="426">
        <f aca="true" t="shared" si="18" ref="K30:K40">IF(D30="","",(J30-I30)*24)</f>
        <v>8.566666666651145</v>
      </c>
      <c r="L30" s="14">
        <f aca="true" t="shared" si="19" ref="L30:L40">IF(D30="","",ROUND((J30-I30)*24*60,0))</f>
        <v>514</v>
      </c>
      <c r="M30" s="173" t="s">
        <v>289</v>
      </c>
      <c r="N30" s="323">
        <v>62.5</v>
      </c>
      <c r="O30" s="169" t="str">
        <f aca="true" t="shared" si="20" ref="O30:O40">IF(D30="","",IF(OR(M30="P",M30="RP"),"--","NO"))</f>
        <v>--</v>
      </c>
      <c r="P30" s="168" t="str">
        <f aca="true" t="shared" si="21" ref="P30:P40">IF(D30="","","NO")</f>
        <v>NO</v>
      </c>
      <c r="Q30" s="427">
        <f aca="true" t="shared" si="22" ref="Q30:Q40">$F$17*IF(OR(M30="P",M30="RP"),0.1,1)*IF(P30="SI",1,0.1)</f>
        <v>2</v>
      </c>
      <c r="R30" s="428" t="str">
        <f aca="true" t="shared" si="23" ref="R30:R40">IF(M30="P",H30*Q30*ROUND(L30/60,2),"--")</f>
        <v>--</v>
      </c>
      <c r="S30" s="429">
        <f aca="true" t="shared" si="24" ref="S30:S40">IF(M30="RP",H30*Q30*N30/100*ROUND(L30/60,2),"--")</f>
        <v>2099.65</v>
      </c>
      <c r="T30" s="430" t="str">
        <f aca="true" t="shared" si="25" ref="T30:T40">IF(AND(M30="F",O30="NO"),H30*Q30,"--")</f>
        <v>--</v>
      </c>
      <c r="U30" s="431" t="str">
        <f aca="true" t="shared" si="26" ref="U30:U40">IF(M30="F",H30*Q30*ROUND(L30/60,2),"--")</f>
        <v>--</v>
      </c>
      <c r="V30" s="432" t="str">
        <f aca="true" t="shared" si="27" ref="V30:V40">IF(AND(M30="R",O30="NO"),H30*Q30*N30/100,"--")</f>
        <v>--</v>
      </c>
      <c r="W30" s="433" t="str">
        <f aca="true" t="shared" si="28" ref="W30:W40">IF(M30="R",H30*Q30*N30/100*ROUND(L30/60,2),"--")</f>
        <v>--</v>
      </c>
      <c r="X30" s="434" t="str">
        <f aca="true" t="shared" si="29" ref="X30:X40">IF(M30="RF",H30*Q30*ROUND(L30/60,2),"--")</f>
        <v>--</v>
      </c>
      <c r="Y30" s="435" t="str">
        <f aca="true" t="shared" si="30" ref="Y30:Y40">IF(M30="RR",H30*Q30*N30/100*ROUND(L30/60,2),"--")</f>
        <v>--</v>
      </c>
      <c r="Z30" s="436" t="s">
        <v>183</v>
      </c>
      <c r="AA30" s="437">
        <f aca="true" t="shared" si="31" ref="AA30:AA36">IF(D30="","",SUM(R30:Y30)*IF(Z30="SI",1,2))</f>
        <v>2099.65</v>
      </c>
      <c r="AB30" s="437">
        <f t="shared" si="1"/>
        <v>1357.4974290139498</v>
      </c>
      <c r="AC30" s="18"/>
    </row>
    <row r="31" spans="1:29" s="5" customFormat="1" ht="16.5" customHeight="1">
      <c r="A31" s="91"/>
      <c r="B31" s="96"/>
      <c r="C31" s="171" t="s">
        <v>312</v>
      </c>
      <c r="D31" s="164" t="s">
        <v>195</v>
      </c>
      <c r="E31" s="422" t="s">
        <v>196</v>
      </c>
      <c r="F31" s="423">
        <v>800</v>
      </c>
      <c r="G31" s="424" t="s">
        <v>197</v>
      </c>
      <c r="H31" s="425">
        <f t="shared" si="17"/>
        <v>196</v>
      </c>
      <c r="I31" s="172">
        <v>39326.35763888889</v>
      </c>
      <c r="J31" s="172">
        <v>39326.77638888889</v>
      </c>
      <c r="K31" s="426">
        <f t="shared" si="18"/>
        <v>10.04999999993015</v>
      </c>
      <c r="L31" s="14">
        <f t="shared" si="19"/>
        <v>603</v>
      </c>
      <c r="M31" s="173" t="s">
        <v>182</v>
      </c>
      <c r="N31" s="323" t="str">
        <f>IF(D31="","","--")</f>
        <v>--</v>
      </c>
      <c r="O31" s="169" t="str">
        <f t="shared" si="20"/>
        <v>--</v>
      </c>
      <c r="P31" s="168" t="str">
        <f t="shared" si="21"/>
        <v>NO</v>
      </c>
      <c r="Q31" s="427">
        <f t="shared" si="22"/>
        <v>2</v>
      </c>
      <c r="R31" s="428">
        <f t="shared" si="23"/>
        <v>3939.6000000000004</v>
      </c>
      <c r="S31" s="429" t="str">
        <f t="shared" si="24"/>
        <v>--</v>
      </c>
      <c r="T31" s="430" t="str">
        <f t="shared" si="25"/>
        <v>--</v>
      </c>
      <c r="U31" s="431" t="str">
        <f t="shared" si="26"/>
        <v>--</v>
      </c>
      <c r="V31" s="432" t="str">
        <f t="shared" si="27"/>
        <v>--</v>
      </c>
      <c r="W31" s="433" t="str">
        <f t="shared" si="28"/>
        <v>--</v>
      </c>
      <c r="X31" s="434" t="str">
        <f t="shared" si="29"/>
        <v>--</v>
      </c>
      <c r="Y31" s="435" t="str">
        <f t="shared" si="30"/>
        <v>--</v>
      </c>
      <c r="Z31" s="436" t="s">
        <v>183</v>
      </c>
      <c r="AA31" s="437">
        <f t="shared" si="31"/>
        <v>3939.6000000000004</v>
      </c>
      <c r="AB31" s="437">
        <f t="shared" si="1"/>
        <v>2547.0896917788</v>
      </c>
      <c r="AC31" s="18"/>
    </row>
    <row r="32" spans="1:29" s="5" customFormat="1" ht="16.5" customHeight="1">
      <c r="A32" s="91"/>
      <c r="B32" s="96"/>
      <c r="C32" s="171" t="s">
        <v>312</v>
      </c>
      <c r="D32" s="164" t="s">
        <v>195</v>
      </c>
      <c r="E32" s="422" t="s">
        <v>196</v>
      </c>
      <c r="F32" s="423">
        <v>800</v>
      </c>
      <c r="G32" s="424" t="s">
        <v>197</v>
      </c>
      <c r="H32" s="425">
        <f t="shared" si="17"/>
        <v>196</v>
      </c>
      <c r="I32" s="172">
        <v>39326.777083333334</v>
      </c>
      <c r="J32" s="172">
        <v>39327.15902777778</v>
      </c>
      <c r="K32" s="426">
        <f t="shared" si="18"/>
        <v>9.16666666668607</v>
      </c>
      <c r="L32" s="14">
        <f t="shared" si="19"/>
        <v>550</v>
      </c>
      <c r="M32" s="173" t="s">
        <v>289</v>
      </c>
      <c r="N32" s="323">
        <v>62.5</v>
      </c>
      <c r="O32" s="169" t="str">
        <f t="shared" si="20"/>
        <v>--</v>
      </c>
      <c r="P32" s="168" t="str">
        <f t="shared" si="21"/>
        <v>NO</v>
      </c>
      <c r="Q32" s="427">
        <f t="shared" si="22"/>
        <v>2</v>
      </c>
      <c r="R32" s="428" t="str">
        <f t="shared" si="23"/>
        <v>--</v>
      </c>
      <c r="S32" s="429">
        <f t="shared" si="24"/>
        <v>2246.65</v>
      </c>
      <c r="T32" s="430" t="str">
        <f t="shared" si="25"/>
        <v>--</v>
      </c>
      <c r="U32" s="431" t="str">
        <f t="shared" si="26"/>
        <v>--</v>
      </c>
      <c r="V32" s="432" t="str">
        <f t="shared" si="27"/>
        <v>--</v>
      </c>
      <c r="W32" s="433" t="str">
        <f t="shared" si="28"/>
        <v>--</v>
      </c>
      <c r="X32" s="434" t="str">
        <f t="shared" si="29"/>
        <v>--</v>
      </c>
      <c r="Y32" s="435" t="str">
        <f t="shared" si="30"/>
        <v>--</v>
      </c>
      <c r="Z32" s="436" t="s">
        <v>183</v>
      </c>
      <c r="AA32" s="437">
        <f t="shared" si="31"/>
        <v>2246.65</v>
      </c>
      <c r="AB32" s="437">
        <f t="shared" si="1"/>
        <v>1452.5380891549498</v>
      </c>
      <c r="AC32" s="18"/>
    </row>
    <row r="33" spans="1:29" s="5" customFormat="1" ht="16.5" customHeight="1">
      <c r="A33" s="91"/>
      <c r="B33" s="96"/>
      <c r="C33" s="171" t="s">
        <v>312</v>
      </c>
      <c r="D33" s="164" t="s">
        <v>195</v>
      </c>
      <c r="E33" s="422" t="s">
        <v>196</v>
      </c>
      <c r="F33" s="423">
        <v>800</v>
      </c>
      <c r="G33" s="424" t="s">
        <v>197</v>
      </c>
      <c r="H33" s="425">
        <f t="shared" si="17"/>
        <v>196</v>
      </c>
      <c r="I33" s="172">
        <v>39327.15972222222</v>
      </c>
      <c r="J33" s="172">
        <v>39327.80763888889</v>
      </c>
      <c r="K33" s="426">
        <f t="shared" si="18"/>
        <v>15.550000000046566</v>
      </c>
      <c r="L33" s="14">
        <f t="shared" si="19"/>
        <v>933</v>
      </c>
      <c r="M33" s="173" t="s">
        <v>182</v>
      </c>
      <c r="N33" s="323" t="str">
        <f>IF(D33="","","--")</f>
        <v>--</v>
      </c>
      <c r="O33" s="169" t="str">
        <f t="shared" si="20"/>
        <v>--</v>
      </c>
      <c r="P33" s="168" t="str">
        <f t="shared" si="21"/>
        <v>NO</v>
      </c>
      <c r="Q33" s="427">
        <f t="shared" si="22"/>
        <v>2</v>
      </c>
      <c r="R33" s="428">
        <f t="shared" si="23"/>
        <v>6095.6</v>
      </c>
      <c r="S33" s="429" t="str">
        <f t="shared" si="24"/>
        <v>--</v>
      </c>
      <c r="T33" s="430" t="str">
        <f t="shared" si="25"/>
        <v>--</v>
      </c>
      <c r="U33" s="431" t="str">
        <f t="shared" si="26"/>
        <v>--</v>
      </c>
      <c r="V33" s="432" t="str">
        <f t="shared" si="27"/>
        <v>--</v>
      </c>
      <c r="W33" s="433" t="str">
        <f t="shared" si="28"/>
        <v>--</v>
      </c>
      <c r="X33" s="434" t="str">
        <f t="shared" si="29"/>
        <v>--</v>
      </c>
      <c r="Y33" s="435" t="str">
        <f t="shared" si="30"/>
        <v>--</v>
      </c>
      <c r="Z33" s="436" t="s">
        <v>183</v>
      </c>
      <c r="AA33" s="437">
        <f t="shared" si="31"/>
        <v>6095.6</v>
      </c>
      <c r="AB33" s="437">
        <f t="shared" si="1"/>
        <v>3941.0193738467997</v>
      </c>
      <c r="AC33" s="18"/>
    </row>
    <row r="34" spans="1:29" s="5" customFormat="1" ht="16.5" customHeight="1">
      <c r="A34" s="91"/>
      <c r="B34" s="96"/>
      <c r="C34" s="171" t="s">
        <v>312</v>
      </c>
      <c r="D34" s="164" t="s">
        <v>195</v>
      </c>
      <c r="E34" s="422" t="s">
        <v>196</v>
      </c>
      <c r="F34" s="423">
        <v>800</v>
      </c>
      <c r="G34" s="424" t="s">
        <v>197</v>
      </c>
      <c r="H34" s="425">
        <f t="shared" si="17"/>
        <v>196</v>
      </c>
      <c r="I34" s="172">
        <v>39327.808333333334</v>
      </c>
      <c r="J34" s="172">
        <v>39332.99930555555</v>
      </c>
      <c r="K34" s="426">
        <f t="shared" si="18"/>
        <v>124.58333333325572</v>
      </c>
      <c r="L34" s="14">
        <f t="shared" si="19"/>
        <v>7475</v>
      </c>
      <c r="M34" s="173" t="s">
        <v>289</v>
      </c>
      <c r="N34" s="323">
        <v>62.5</v>
      </c>
      <c r="O34" s="169" t="str">
        <f t="shared" si="20"/>
        <v>--</v>
      </c>
      <c r="P34" s="168" t="str">
        <f t="shared" si="21"/>
        <v>NO</v>
      </c>
      <c r="Q34" s="427">
        <f t="shared" si="22"/>
        <v>2</v>
      </c>
      <c r="R34" s="428" t="str">
        <f t="shared" si="23"/>
        <v>--</v>
      </c>
      <c r="S34" s="429">
        <f t="shared" si="24"/>
        <v>30522.1</v>
      </c>
      <c r="T34" s="430" t="str">
        <f t="shared" si="25"/>
        <v>--</v>
      </c>
      <c r="U34" s="431" t="str">
        <f t="shared" si="26"/>
        <v>--</v>
      </c>
      <c r="V34" s="432" t="str">
        <f t="shared" si="27"/>
        <v>--</v>
      </c>
      <c r="W34" s="433" t="str">
        <f t="shared" si="28"/>
        <v>--</v>
      </c>
      <c r="X34" s="434" t="str">
        <f t="shared" si="29"/>
        <v>--</v>
      </c>
      <c r="Y34" s="435" t="str">
        <f t="shared" si="30"/>
        <v>--</v>
      </c>
      <c r="Z34" s="436" t="s">
        <v>183</v>
      </c>
      <c r="AA34" s="437">
        <f t="shared" si="31"/>
        <v>30522.1</v>
      </c>
      <c r="AB34" s="437">
        <f t="shared" si="1"/>
        <v>19733.6090672763</v>
      </c>
      <c r="AC34" s="18"/>
    </row>
    <row r="35" spans="1:29" s="5" customFormat="1" ht="16.5" customHeight="1">
      <c r="A35" s="91"/>
      <c r="B35" s="96"/>
      <c r="C35" s="171" t="s">
        <v>312</v>
      </c>
      <c r="D35" s="164" t="s">
        <v>195</v>
      </c>
      <c r="E35" s="422" t="s">
        <v>196</v>
      </c>
      <c r="F35" s="423">
        <v>800</v>
      </c>
      <c r="G35" s="424" t="s">
        <v>197</v>
      </c>
      <c r="H35" s="425">
        <f>F35*$F$16</f>
        <v>196</v>
      </c>
      <c r="I35" s="172">
        <v>39333</v>
      </c>
      <c r="J35" s="172">
        <v>39333.21527777778</v>
      </c>
      <c r="K35" s="426">
        <f>IF(D35="","",(J35-I35)*24)</f>
        <v>5.166666666744277</v>
      </c>
      <c r="L35" s="14">
        <f>IF(D35="","",ROUND((J35-I35)*24*60,0))</f>
        <v>310</v>
      </c>
      <c r="M35" s="173" t="s">
        <v>301</v>
      </c>
      <c r="N35" s="323">
        <v>62.5</v>
      </c>
      <c r="O35" s="169" t="str">
        <f t="shared" si="20"/>
        <v>NO</v>
      </c>
      <c r="P35" s="168" t="str">
        <f>IF(D35="","","NO")</f>
        <v>NO</v>
      </c>
      <c r="Q35" s="427">
        <f>$F$17*IF(OR(M35="P",M35="RP"),0.1,1)*IF(P35="SI",1,0.1)</f>
        <v>20</v>
      </c>
      <c r="R35" s="428" t="str">
        <f>IF(M35="P",H35*Q35*ROUND(L35/60,2),"--")</f>
        <v>--</v>
      </c>
      <c r="S35" s="429" t="str">
        <f>IF(M35="RP",H35*Q35*N35/100*ROUND(L35/60,2),"--")</f>
        <v>--</v>
      </c>
      <c r="T35" s="430" t="str">
        <f>IF(AND(M35="F",O35="NO"),H35*Q35,"--")</f>
        <v>--</v>
      </c>
      <c r="U35" s="431" t="str">
        <f>IF(M35="F",H35*Q35*ROUND(L35/60,2),"--")</f>
        <v>--</v>
      </c>
      <c r="V35" s="432" t="str">
        <f>IF(AND(M35="R",O35="NO"),H35*Q35*N35/100,"--")</f>
        <v>--</v>
      </c>
      <c r="W35" s="433" t="str">
        <f>IF(M35="R",H35*Q35*N35/100*ROUND(L35/60,2),"--")</f>
        <v>--</v>
      </c>
      <c r="X35" s="434">
        <f>IF(M35="RF",H35*Q35*ROUND(L35/60,2),"--")</f>
        <v>20266.4</v>
      </c>
      <c r="Y35" s="435" t="str">
        <f>IF(M35="RR",H35*Q35*N35/100*ROUND(L35/60,2),"--")</f>
        <v>--</v>
      </c>
      <c r="Z35" s="436" t="s">
        <v>183</v>
      </c>
      <c r="AA35" s="437">
        <f>IF(D35="","",SUM(R35:Y35)*IF(Z35="SI",1,2))</f>
        <v>20266.4</v>
      </c>
      <c r="AB35" s="437">
        <f t="shared" si="1"/>
        <v>13102.939011439199</v>
      </c>
      <c r="AC35" s="18"/>
    </row>
    <row r="36" spans="1:29" s="5" customFormat="1" ht="16.5" customHeight="1">
      <c r="A36" s="91"/>
      <c r="B36" s="96"/>
      <c r="C36" s="171" t="s">
        <v>312</v>
      </c>
      <c r="D36" s="164" t="s">
        <v>195</v>
      </c>
      <c r="E36" s="422" t="s">
        <v>196</v>
      </c>
      <c r="F36" s="423">
        <v>800</v>
      </c>
      <c r="G36" s="424" t="s">
        <v>197</v>
      </c>
      <c r="H36" s="425">
        <f t="shared" si="17"/>
        <v>196</v>
      </c>
      <c r="I36" s="172">
        <v>39333.21597222222</v>
      </c>
      <c r="J36" s="172">
        <v>39333.55416666667</v>
      </c>
      <c r="K36" s="426">
        <f t="shared" si="18"/>
        <v>8.116666666755918</v>
      </c>
      <c r="L36" s="14">
        <f t="shared" si="19"/>
        <v>487</v>
      </c>
      <c r="M36" s="173" t="s">
        <v>182</v>
      </c>
      <c r="N36" s="323" t="str">
        <f>IF(D36="","","--")</f>
        <v>--</v>
      </c>
      <c r="O36" s="169" t="str">
        <f t="shared" si="20"/>
        <v>--</v>
      </c>
      <c r="P36" s="168" t="str">
        <f t="shared" si="21"/>
        <v>NO</v>
      </c>
      <c r="Q36" s="427">
        <f t="shared" si="22"/>
        <v>2</v>
      </c>
      <c r="R36" s="428">
        <f t="shared" si="23"/>
        <v>3183.0399999999995</v>
      </c>
      <c r="S36" s="429" t="str">
        <f t="shared" si="24"/>
        <v>--</v>
      </c>
      <c r="T36" s="430" t="str">
        <f t="shared" si="25"/>
        <v>--</v>
      </c>
      <c r="U36" s="431" t="str">
        <f t="shared" si="26"/>
        <v>--</v>
      </c>
      <c r="V36" s="432" t="str">
        <f t="shared" si="27"/>
        <v>--</v>
      </c>
      <c r="W36" s="433" t="str">
        <f t="shared" si="28"/>
        <v>--</v>
      </c>
      <c r="X36" s="434" t="str">
        <f t="shared" si="29"/>
        <v>--</v>
      </c>
      <c r="Y36" s="435" t="str">
        <f t="shared" si="30"/>
        <v>--</v>
      </c>
      <c r="Z36" s="436" t="s">
        <v>183</v>
      </c>
      <c r="AA36" s="437">
        <f t="shared" si="31"/>
        <v>3183.0399999999995</v>
      </c>
      <c r="AB36" s="437">
        <f t="shared" si="1"/>
        <v>2057.9470942531193</v>
      </c>
      <c r="AC36" s="18"/>
    </row>
    <row r="37" spans="1:29" s="5" customFormat="1" ht="16.5" customHeight="1">
      <c r="A37" s="91"/>
      <c r="B37" s="96"/>
      <c r="C37" s="171" t="s">
        <v>312</v>
      </c>
      <c r="D37" s="164" t="s">
        <v>195</v>
      </c>
      <c r="E37" s="422" t="s">
        <v>196</v>
      </c>
      <c r="F37" s="423">
        <v>800</v>
      </c>
      <c r="G37" s="424" t="s">
        <v>197</v>
      </c>
      <c r="H37" s="425">
        <f t="shared" si="17"/>
        <v>196</v>
      </c>
      <c r="I37" s="172">
        <v>39333.55486111111</v>
      </c>
      <c r="J37" s="172">
        <v>39337.89722222222</v>
      </c>
      <c r="K37" s="426">
        <f t="shared" si="18"/>
        <v>104.21666666673264</v>
      </c>
      <c r="L37" s="14">
        <f t="shared" si="19"/>
        <v>6253</v>
      </c>
      <c r="M37" s="173" t="s">
        <v>301</v>
      </c>
      <c r="N37" s="323">
        <v>37.5</v>
      </c>
      <c r="O37" s="169" t="str">
        <f t="shared" si="20"/>
        <v>NO</v>
      </c>
      <c r="P37" s="168" t="str">
        <f t="shared" si="21"/>
        <v>NO</v>
      </c>
      <c r="Q37" s="427">
        <f t="shared" si="22"/>
        <v>20</v>
      </c>
      <c r="R37" s="428" t="str">
        <f t="shared" si="23"/>
        <v>--</v>
      </c>
      <c r="S37" s="429" t="str">
        <f t="shared" si="24"/>
        <v>--</v>
      </c>
      <c r="T37" s="430" t="str">
        <f t="shared" si="25"/>
        <v>--</v>
      </c>
      <c r="U37" s="431" t="str">
        <f t="shared" si="26"/>
        <v>--</v>
      </c>
      <c r="V37" s="432" t="str">
        <f t="shared" si="27"/>
        <v>--</v>
      </c>
      <c r="W37" s="433" t="str">
        <f t="shared" si="28"/>
        <v>--</v>
      </c>
      <c r="X37" s="434">
        <f t="shared" si="29"/>
        <v>408542.4</v>
      </c>
      <c r="Y37" s="435" t="str">
        <f t="shared" si="30"/>
        <v>--</v>
      </c>
      <c r="Z37" s="436" t="s">
        <v>183</v>
      </c>
      <c r="AA37" s="437">
        <v>0</v>
      </c>
      <c r="AB37" s="437">
        <f t="shared" si="1"/>
        <v>0</v>
      </c>
      <c r="AC37" s="18"/>
    </row>
    <row r="38" spans="1:29" s="5" customFormat="1" ht="16.5" customHeight="1">
      <c r="A38" s="91"/>
      <c r="B38" s="96"/>
      <c r="C38" s="171" t="s">
        <v>312</v>
      </c>
      <c r="D38" s="164" t="s">
        <v>195</v>
      </c>
      <c r="E38" s="422" t="s">
        <v>196</v>
      </c>
      <c r="F38" s="423">
        <v>800</v>
      </c>
      <c r="G38" s="424" t="s">
        <v>197</v>
      </c>
      <c r="H38" s="425">
        <f t="shared" si="17"/>
        <v>196</v>
      </c>
      <c r="I38" s="172">
        <v>39337.89791666667</v>
      </c>
      <c r="J38" s="172">
        <v>39338.79513888889</v>
      </c>
      <c r="K38" s="426">
        <f t="shared" si="18"/>
        <v>21.533333333325572</v>
      </c>
      <c r="L38" s="14">
        <f t="shared" si="19"/>
        <v>1292</v>
      </c>
      <c r="M38" s="173" t="s">
        <v>301</v>
      </c>
      <c r="N38" s="323">
        <v>62.5</v>
      </c>
      <c r="O38" s="169" t="str">
        <f t="shared" si="20"/>
        <v>NO</v>
      </c>
      <c r="P38" s="168" t="str">
        <f t="shared" si="21"/>
        <v>NO</v>
      </c>
      <c r="Q38" s="427">
        <f t="shared" si="22"/>
        <v>20</v>
      </c>
      <c r="R38" s="428" t="str">
        <f t="shared" si="23"/>
        <v>--</v>
      </c>
      <c r="S38" s="429" t="str">
        <f t="shared" si="24"/>
        <v>--</v>
      </c>
      <c r="T38" s="430" t="str">
        <f t="shared" si="25"/>
        <v>--</v>
      </c>
      <c r="U38" s="431" t="str">
        <f t="shared" si="26"/>
        <v>--</v>
      </c>
      <c r="V38" s="432" t="str">
        <f t="shared" si="27"/>
        <v>--</v>
      </c>
      <c r="W38" s="433" t="str">
        <f t="shared" si="28"/>
        <v>--</v>
      </c>
      <c r="X38" s="434">
        <f t="shared" si="29"/>
        <v>84397.6</v>
      </c>
      <c r="Y38" s="435" t="str">
        <f t="shared" si="30"/>
        <v>--</v>
      </c>
      <c r="Z38" s="436" t="s">
        <v>183</v>
      </c>
      <c r="AA38" s="437">
        <f>IF(D38="","",SUM(R38:Y38)*IF(Z38="SI",1,2))</f>
        <v>84397.6</v>
      </c>
      <c r="AB38" s="437">
        <f t="shared" si="1"/>
        <v>54566.0110089528</v>
      </c>
      <c r="AC38" s="18"/>
    </row>
    <row r="39" spans="1:29" s="5" customFormat="1" ht="16.5" customHeight="1">
      <c r="A39" s="91"/>
      <c r="B39" s="96"/>
      <c r="C39" s="171" t="s">
        <v>312</v>
      </c>
      <c r="D39" s="164" t="s">
        <v>195</v>
      </c>
      <c r="E39" s="422" t="s">
        <v>196</v>
      </c>
      <c r="F39" s="423">
        <v>800</v>
      </c>
      <c r="G39" s="424" t="s">
        <v>197</v>
      </c>
      <c r="H39" s="425">
        <f t="shared" si="17"/>
        <v>196</v>
      </c>
      <c r="I39" s="172">
        <v>39338.79583333333</v>
      </c>
      <c r="J39" s="172">
        <v>39355.99930555555</v>
      </c>
      <c r="K39" s="426">
        <f t="shared" si="18"/>
        <v>412.8833333333605</v>
      </c>
      <c r="L39" s="14">
        <f t="shared" si="19"/>
        <v>24773</v>
      </c>
      <c r="M39" s="173" t="s">
        <v>301</v>
      </c>
      <c r="N39" s="323">
        <v>37.5</v>
      </c>
      <c r="O39" s="169" t="str">
        <f t="shared" si="20"/>
        <v>NO</v>
      </c>
      <c r="P39" s="168" t="str">
        <f t="shared" si="21"/>
        <v>NO</v>
      </c>
      <c r="Q39" s="427">
        <f t="shared" si="22"/>
        <v>20</v>
      </c>
      <c r="R39" s="428" t="str">
        <f t="shared" si="23"/>
        <v>--</v>
      </c>
      <c r="S39" s="429" t="str">
        <f t="shared" si="24"/>
        <v>--</v>
      </c>
      <c r="T39" s="430" t="str">
        <f t="shared" si="25"/>
        <v>--</v>
      </c>
      <c r="U39" s="431" t="str">
        <f t="shared" si="26"/>
        <v>--</v>
      </c>
      <c r="V39" s="432" t="str">
        <f t="shared" si="27"/>
        <v>--</v>
      </c>
      <c r="W39" s="433" t="str">
        <f t="shared" si="28"/>
        <v>--</v>
      </c>
      <c r="X39" s="434">
        <f t="shared" si="29"/>
        <v>1618489.6</v>
      </c>
      <c r="Y39" s="435" t="str">
        <f t="shared" si="30"/>
        <v>--</v>
      </c>
      <c r="Z39" s="436" t="s">
        <v>183</v>
      </c>
      <c r="AA39" s="437">
        <v>0</v>
      </c>
      <c r="AB39" s="437">
        <f t="shared" si="1"/>
        <v>0</v>
      </c>
      <c r="AC39" s="1140"/>
    </row>
    <row r="40" spans="1:29" s="5" customFormat="1" ht="16.5" customHeight="1">
      <c r="A40" s="91"/>
      <c r="B40" s="96"/>
      <c r="C40" s="171"/>
      <c r="D40" s="164"/>
      <c r="E40" s="438"/>
      <c r="F40" s="423"/>
      <c r="G40" s="424"/>
      <c r="H40" s="425">
        <f>F40*$F$16</f>
        <v>0</v>
      </c>
      <c r="I40" s="172"/>
      <c r="J40" s="172"/>
      <c r="K40" s="426">
        <f t="shared" si="18"/>
      </c>
      <c r="L40" s="14">
        <f t="shared" si="19"/>
      </c>
      <c r="M40" s="173"/>
      <c r="N40" s="323">
        <f>IF(D40="","","--")</f>
      </c>
      <c r="O40" s="169">
        <f t="shared" si="20"/>
      </c>
      <c r="P40" s="168">
        <f t="shared" si="21"/>
      </c>
      <c r="Q40" s="427">
        <f t="shared" si="22"/>
        <v>20</v>
      </c>
      <c r="R40" s="428" t="str">
        <f t="shared" si="23"/>
        <v>--</v>
      </c>
      <c r="S40" s="429" t="str">
        <f t="shared" si="24"/>
        <v>--</v>
      </c>
      <c r="T40" s="430" t="str">
        <f t="shared" si="25"/>
        <v>--</v>
      </c>
      <c r="U40" s="431" t="str">
        <f t="shared" si="26"/>
        <v>--</v>
      </c>
      <c r="V40" s="432" t="str">
        <f t="shared" si="27"/>
        <v>--</v>
      </c>
      <c r="W40" s="433" t="str">
        <f t="shared" si="28"/>
        <v>--</v>
      </c>
      <c r="X40" s="434" t="str">
        <f t="shared" si="29"/>
        <v>--</v>
      </c>
      <c r="Y40" s="435" t="str">
        <f t="shared" si="30"/>
        <v>--</v>
      </c>
      <c r="Z40" s="436" t="s">
        <v>183</v>
      </c>
      <c r="AA40" s="437">
        <f>IF(D40="","",SUM(R40:Y40)*IF(Z40="SI",1,2))</f>
      </c>
      <c r="AB40" s="437"/>
      <c r="AC40" s="18"/>
    </row>
    <row r="41" spans="1:29" s="5" customFormat="1" ht="16.5" customHeight="1" thickBot="1">
      <c r="A41" s="91"/>
      <c r="B41" s="96"/>
      <c r="C41" s="171"/>
      <c r="D41" s="439"/>
      <c r="E41" s="440"/>
      <c r="F41" s="439"/>
      <c r="G41" s="441"/>
      <c r="H41" s="141"/>
      <c r="I41" s="174"/>
      <c r="J41" s="442"/>
      <c r="K41" s="443"/>
      <c r="L41" s="444"/>
      <c r="M41" s="179"/>
      <c r="N41" s="241"/>
      <c r="O41" s="177"/>
      <c r="P41" s="179"/>
      <c r="Q41" s="445"/>
      <c r="R41" s="446"/>
      <c r="S41" s="447"/>
      <c r="T41" s="448"/>
      <c r="U41" s="449"/>
      <c r="V41" s="450"/>
      <c r="W41" s="451"/>
      <c r="X41" s="452"/>
      <c r="Y41" s="453"/>
      <c r="Z41" s="454"/>
      <c r="AA41" s="455"/>
      <c r="AB41" s="455"/>
      <c r="AC41" s="18"/>
    </row>
    <row r="42" spans="1:29" s="5" customFormat="1" ht="16.5" customHeight="1" thickBot="1" thickTop="1">
      <c r="A42" s="91"/>
      <c r="B42" s="96"/>
      <c r="C42" s="131" t="s">
        <v>25</v>
      </c>
      <c r="D42" s="132" t="s">
        <v>306</v>
      </c>
      <c r="E42" s="15"/>
      <c r="F42" s="15"/>
      <c r="G42" s="15"/>
      <c r="H42" s="15"/>
      <c r="I42" s="15"/>
      <c r="J42" s="100"/>
      <c r="K42" s="15"/>
      <c r="L42" s="15"/>
      <c r="M42" s="15"/>
      <c r="N42" s="15"/>
      <c r="O42" s="15"/>
      <c r="P42" s="15"/>
      <c r="Q42" s="15"/>
      <c r="R42" s="456">
        <f aca="true" t="shared" si="32" ref="R42:Y42">SUM(R20:R41)</f>
        <v>16219</v>
      </c>
      <c r="S42" s="457">
        <f t="shared" si="32"/>
        <v>34868.4</v>
      </c>
      <c r="T42" s="458">
        <f t="shared" si="32"/>
        <v>1470</v>
      </c>
      <c r="U42" s="459">
        <f t="shared" si="32"/>
        <v>4410</v>
      </c>
      <c r="V42" s="460">
        <f t="shared" si="32"/>
        <v>0</v>
      </c>
      <c r="W42" s="461">
        <f t="shared" si="32"/>
        <v>0</v>
      </c>
      <c r="X42" s="462">
        <f t="shared" si="32"/>
        <v>2131696</v>
      </c>
      <c r="Y42" s="463">
        <f t="shared" si="32"/>
        <v>0</v>
      </c>
      <c r="Z42" s="91"/>
      <c r="AA42" s="464">
        <f>ROUND(SUM(AA20:AA41),2)</f>
        <v>161631.4</v>
      </c>
      <c r="AB42" s="464">
        <f>SUM(AB21:AB39)</f>
        <v>104500.3738470342</v>
      </c>
      <c r="AC42" s="18"/>
    </row>
    <row r="43" spans="1:29" s="137" customFormat="1" ht="9.75" thickTop="1">
      <c r="A43" s="465"/>
      <c r="B43" s="466"/>
      <c r="C43" s="133"/>
      <c r="D43" s="134" t="s">
        <v>307</v>
      </c>
      <c r="E43" s="467"/>
      <c r="F43" s="467"/>
      <c r="G43" s="467" t="s">
        <v>313</v>
      </c>
      <c r="H43" s="467"/>
      <c r="I43" s="467"/>
      <c r="J43" s="468"/>
      <c r="K43" s="467"/>
      <c r="L43" s="467"/>
      <c r="M43" s="467"/>
      <c r="N43" s="467"/>
      <c r="O43" s="467"/>
      <c r="P43" s="467"/>
      <c r="Q43" s="467"/>
      <c r="R43" s="469"/>
      <c r="S43" s="469"/>
      <c r="T43" s="469"/>
      <c r="U43" s="469"/>
      <c r="V43" s="469"/>
      <c r="W43" s="469"/>
      <c r="X43" s="469"/>
      <c r="Y43" s="469"/>
      <c r="Z43" s="465"/>
      <c r="AA43" s="470"/>
      <c r="AB43" s="470"/>
      <c r="AC43" s="138"/>
    </row>
    <row r="44" spans="1:29" s="5" customFormat="1" ht="16.5" customHeight="1" thickBot="1">
      <c r="A44" s="91"/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</row>
    <row r="45" spans="1:30" ht="16.5" customHeight="1" thickTop="1">
      <c r="A45" s="2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</row>
    <row r="46" spans="1:30" ht="16.5" customHeight="1">
      <c r="A46" s="2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</row>
    <row r="47" spans="1:30" ht="16.5" customHeight="1">
      <c r="A47" s="2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</row>
    <row r="48" spans="1:30" ht="16.5" customHeight="1">
      <c r="A48" s="2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</row>
    <row r="49" spans="4:30" ht="16.5" customHeight="1"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</row>
    <row r="50" spans="4:30" ht="16.5" customHeight="1"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</row>
    <row r="51" spans="4:30" ht="16.5" customHeight="1"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</row>
    <row r="52" spans="4:30" ht="16.5" customHeight="1"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</row>
    <row r="53" spans="4:30" ht="16.5" customHeight="1"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</row>
    <row r="54" spans="4:30" ht="16.5" customHeight="1"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</row>
    <row r="55" spans="4:30" ht="16.5" customHeight="1"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</row>
    <row r="56" spans="4:30" ht="16.5" customHeight="1"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</row>
    <row r="57" spans="4:30" ht="16.5" customHeight="1"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</row>
    <row r="58" spans="4:30" ht="16.5" customHeight="1"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</row>
    <row r="59" spans="4:30" ht="16.5" customHeight="1"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</row>
    <row r="60" spans="4:30" ht="16.5" customHeight="1"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</row>
    <row r="61" spans="4:30" ht="16.5" customHeight="1"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</row>
    <row r="62" spans="4:30" ht="16.5" customHeight="1"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</row>
    <row r="63" spans="4:30" ht="16.5" customHeight="1"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</row>
    <row r="64" spans="4:30" ht="16.5" customHeight="1"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</row>
    <row r="65" spans="4:30" ht="16.5" customHeight="1"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</row>
    <row r="66" spans="4:30" ht="16.5" customHeight="1"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</row>
    <row r="67" spans="4:30" ht="16.5" customHeight="1"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</row>
    <row r="68" spans="4:30" ht="16.5" customHeight="1"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</row>
    <row r="69" spans="4:30" ht="16.5" customHeight="1"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</row>
    <row r="70" spans="4:30" ht="16.5" customHeight="1"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</row>
    <row r="71" spans="4:30" ht="16.5" customHeight="1"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</row>
    <row r="72" spans="4:30" ht="16.5" customHeight="1"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</row>
    <row r="73" spans="4:30" ht="16.5" customHeight="1"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</row>
    <row r="74" spans="4:30" ht="16.5" customHeight="1"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</row>
    <row r="75" spans="4:30" ht="16.5" customHeight="1"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</row>
    <row r="76" spans="4:30" ht="16.5" customHeight="1"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</row>
    <row r="77" spans="4:30" ht="16.5" customHeight="1"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</row>
    <row r="78" spans="4:30" ht="16.5" customHeight="1"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</row>
    <row r="79" spans="4:30" ht="16.5" customHeight="1"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</row>
    <row r="80" spans="4:30" ht="16.5" customHeight="1"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</row>
    <row r="81" spans="4:30" ht="16.5" customHeight="1"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</row>
    <row r="82" spans="4:30" ht="16.5" customHeight="1"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</row>
    <row r="83" spans="4:30" ht="16.5" customHeight="1"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</row>
    <row r="84" spans="4:30" ht="16.5" customHeight="1"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</row>
    <row r="85" spans="4:30" ht="16.5" customHeight="1"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</row>
    <row r="86" spans="4:30" ht="16.5" customHeight="1"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</row>
    <row r="87" spans="4:30" ht="16.5" customHeight="1"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</row>
    <row r="88" spans="4:30" ht="16.5" customHeight="1"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</row>
    <row r="89" spans="4:30" ht="16.5" customHeight="1"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</row>
    <row r="90" spans="4:30" ht="16.5" customHeight="1"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</row>
    <row r="91" spans="4:30" ht="16.5" customHeight="1"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</row>
    <row r="92" spans="4:30" ht="16.5" customHeight="1"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</row>
    <row r="93" spans="4:30" ht="16.5" customHeight="1"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</row>
    <row r="94" spans="4:30" ht="16.5" customHeight="1"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</row>
    <row r="95" spans="4:30" ht="16.5" customHeight="1"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</row>
    <row r="96" spans="4:30" ht="16.5" customHeight="1"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</row>
    <row r="97" spans="4:30" ht="16.5" customHeight="1"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</row>
    <row r="98" spans="4:30" ht="16.5" customHeight="1"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</row>
    <row r="99" spans="4:30" ht="16.5" customHeight="1"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</row>
    <row r="100" spans="4:30" ht="16.5" customHeight="1"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</row>
    <row r="101" spans="4:30" ht="16.5" customHeight="1"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</row>
    <row r="102" spans="4:30" ht="16.5" customHeight="1"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</row>
    <row r="103" spans="4:30" ht="16.5" customHeight="1"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</row>
    <row r="104" spans="4:30" ht="16.5" customHeight="1"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</row>
    <row r="105" spans="4:30" ht="16.5" customHeight="1"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</row>
    <row r="106" spans="4:30" ht="16.5" customHeight="1"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</row>
    <row r="107" spans="4:30" ht="16.5" customHeight="1"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</row>
    <row r="108" spans="4:30" ht="16.5" customHeight="1"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</row>
    <row r="109" spans="4:30" ht="16.5" customHeight="1"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</row>
    <row r="110" spans="4:30" ht="16.5" customHeight="1"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</row>
    <row r="111" spans="4:30" ht="16.5" customHeight="1"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</row>
    <row r="112" spans="4:30" ht="16.5" customHeight="1"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</row>
    <row r="113" spans="4:30" ht="16.5" customHeight="1"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</row>
    <row r="114" spans="4:30" ht="16.5" customHeight="1"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</row>
    <row r="115" spans="4:30" ht="16.5" customHeight="1"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</row>
    <row r="116" spans="4:30" ht="16.5" customHeight="1"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</row>
    <row r="117" spans="4:30" ht="16.5" customHeight="1"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</row>
    <row r="118" spans="4:30" ht="16.5" customHeight="1"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</row>
    <row r="119" spans="4:30" ht="16.5" customHeight="1"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</row>
    <row r="120" spans="4:30" ht="16.5" customHeight="1"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</row>
    <row r="121" spans="4:30" ht="16.5" customHeight="1"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</row>
    <row r="122" spans="4:30" ht="16.5" customHeight="1"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</row>
    <row r="123" spans="4:30" ht="16.5" customHeight="1"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</row>
    <row r="124" spans="4:30" ht="16.5" customHeight="1"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</row>
    <row r="125" spans="4:30" ht="16.5" customHeight="1"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</row>
    <row r="126" spans="4:30" ht="16.5" customHeight="1"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</row>
    <row r="127" spans="4:30" ht="16.5" customHeight="1"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</row>
    <row r="128" spans="4:30" ht="16.5" customHeight="1"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</row>
    <row r="129" spans="4:30" ht="16.5" customHeight="1"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</row>
    <row r="130" spans="4:30" ht="16.5" customHeight="1"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</row>
    <row r="131" spans="4:30" ht="16.5" customHeight="1"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</row>
    <row r="132" spans="4:30" ht="16.5" customHeight="1"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</row>
    <row r="133" spans="4:30" ht="16.5" customHeight="1"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</row>
    <row r="134" spans="4:30" ht="16.5" customHeight="1"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</row>
    <row r="135" spans="4:30" ht="16.5" customHeight="1"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</row>
    <row r="136" spans="4:30" ht="16.5" customHeight="1"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</row>
    <row r="137" spans="4:30" ht="16.5" customHeight="1"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</row>
    <row r="138" spans="4:30" ht="16.5" customHeight="1"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</row>
    <row r="139" spans="4:30" ht="16.5" customHeight="1"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</row>
    <row r="140" spans="4:30" ht="16.5" customHeight="1"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</row>
    <row r="141" spans="4:30" ht="16.5" customHeight="1"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</row>
    <row r="142" spans="4:30" ht="16.5" customHeight="1"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</row>
    <row r="143" spans="4:30" ht="16.5" customHeight="1"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</row>
    <row r="144" spans="4:30" ht="16.5" customHeight="1"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</row>
    <row r="145" spans="4:30" ht="16.5" customHeight="1"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</row>
    <row r="146" spans="4:30" ht="16.5" customHeight="1"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</row>
    <row r="147" spans="4:30" ht="16.5" customHeight="1"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</row>
    <row r="148" spans="4:30" ht="16.5" customHeight="1"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</row>
    <row r="149" spans="4:30" ht="16.5" customHeight="1"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</row>
    <row r="150" spans="4:30" ht="16.5" customHeight="1"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</row>
    <row r="151" spans="4:30" ht="16.5" customHeight="1"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</row>
    <row r="152" spans="4:30" ht="16.5" customHeight="1"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</row>
    <row r="153" ht="16.5" customHeight="1">
      <c r="AD153" s="193"/>
    </row>
    <row r="154" ht="16.5" customHeight="1">
      <c r="AD154" s="193"/>
    </row>
    <row r="155" ht="16.5" customHeight="1">
      <c r="AD155" s="193"/>
    </row>
    <row r="156" ht="16.5" customHeight="1">
      <c r="AD156" s="193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X160"/>
  <sheetViews>
    <sheetView zoomScale="75" zoomScaleNormal="75" workbookViewId="0" topLeftCell="C12">
      <selection activeCell="U37" sqref="U37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2" width="15.7109375" style="0" customWidth="1"/>
  </cols>
  <sheetData>
    <row r="1" s="19" customFormat="1" ht="26.25">
      <c r="V1" s="158"/>
    </row>
    <row r="2" spans="1:22" s="19" customFormat="1" ht="26.25">
      <c r="A2" s="92"/>
      <c r="B2" s="20" t="str">
        <f>+'TOT-0907'!B2</f>
        <v>ANEXO IV al Memorandum D.T.E.E. N°  1955 /2009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="5" customFormat="1" ht="12.75">
      <c r="A3" s="91"/>
    </row>
    <row r="4" spans="1:2" s="26" customFormat="1" ht="11.25">
      <c r="A4" s="24" t="s">
        <v>2</v>
      </c>
      <c r="B4" s="128"/>
    </row>
    <row r="5" spans="1:2" s="26" customFormat="1" ht="11.25">
      <c r="A5" s="24" t="s">
        <v>3</v>
      </c>
      <c r="B5" s="128"/>
    </row>
    <row r="6" s="5" customFormat="1" ht="13.5" thickBot="1"/>
    <row r="7" spans="2:22" s="5" customFormat="1" ht="13.5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2"/>
    </row>
    <row r="8" spans="2:22" s="30" customFormat="1" ht="20.25">
      <c r="B8" s="80"/>
      <c r="C8" s="31"/>
      <c r="D8" s="12" t="s">
        <v>61</v>
      </c>
      <c r="L8" s="108"/>
      <c r="M8" s="108"/>
      <c r="N8" s="97"/>
      <c r="O8" s="31"/>
      <c r="P8" s="31"/>
      <c r="Q8" s="31"/>
      <c r="R8" s="31"/>
      <c r="S8" s="31"/>
      <c r="T8" s="31"/>
      <c r="U8" s="31"/>
      <c r="V8" s="81"/>
    </row>
    <row r="9" spans="2:22" s="5" customFormat="1" ht="12.75">
      <c r="B9" s="51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4"/>
      <c r="V9" s="6"/>
    </row>
    <row r="10" spans="2:22" s="30" customFormat="1" ht="20.25">
      <c r="B10" s="80"/>
      <c r="C10" s="31"/>
      <c r="D10" s="116" t="s">
        <v>84</v>
      </c>
      <c r="E10" s="525"/>
      <c r="F10" s="108"/>
      <c r="G10" s="111"/>
      <c r="I10" s="111"/>
      <c r="J10" s="111"/>
      <c r="K10" s="111"/>
      <c r="L10" s="111"/>
      <c r="M10" s="111"/>
      <c r="N10" s="111"/>
      <c r="O10" s="31"/>
      <c r="P10" s="31"/>
      <c r="Q10" s="31"/>
      <c r="R10" s="31"/>
      <c r="S10" s="31"/>
      <c r="T10" s="31"/>
      <c r="U10" s="31"/>
      <c r="V10" s="81"/>
    </row>
    <row r="11" spans="2:22" s="5" customFormat="1" ht="13.5">
      <c r="B11" s="51"/>
      <c r="C11" s="4"/>
      <c r="D11" s="526"/>
      <c r="E11" s="526"/>
      <c r="F11" s="91"/>
      <c r="G11" s="98"/>
      <c r="H11" s="53"/>
      <c r="I11" s="98"/>
      <c r="J11" s="98"/>
      <c r="K11" s="98"/>
      <c r="L11" s="98"/>
      <c r="M11" s="98"/>
      <c r="N11" s="98"/>
      <c r="O11" s="4"/>
      <c r="P11" s="4"/>
      <c r="Q11" s="4"/>
      <c r="R11" s="4"/>
      <c r="S11" s="4"/>
      <c r="T11" s="4"/>
      <c r="U11" s="4"/>
      <c r="V11" s="6"/>
    </row>
    <row r="12" spans="2:22" s="30" customFormat="1" ht="20.25">
      <c r="B12" s="80"/>
      <c r="C12" s="31"/>
      <c r="D12" s="116" t="s">
        <v>85</v>
      </c>
      <c r="E12" s="525"/>
      <c r="F12" s="108"/>
      <c r="G12" s="111"/>
      <c r="I12" s="111"/>
      <c r="J12" s="111"/>
      <c r="K12" s="111"/>
      <c r="L12" s="111"/>
      <c r="M12" s="111"/>
      <c r="N12" s="111"/>
      <c r="O12" s="31"/>
      <c r="P12" s="31"/>
      <c r="Q12" s="31"/>
      <c r="R12" s="31"/>
      <c r="S12" s="31"/>
      <c r="T12" s="31"/>
      <c r="U12" s="31"/>
      <c r="V12" s="81"/>
    </row>
    <row r="13" spans="2:22" s="5" customFormat="1" ht="13.5">
      <c r="B13" s="51"/>
      <c r="C13" s="4"/>
      <c r="D13" s="526"/>
      <c r="E13" s="526"/>
      <c r="F13" s="91"/>
      <c r="G13" s="98"/>
      <c r="H13" s="53"/>
      <c r="I13" s="98"/>
      <c r="J13" s="98"/>
      <c r="K13" s="98"/>
      <c r="L13" s="98"/>
      <c r="M13" s="98"/>
      <c r="N13" s="98"/>
      <c r="O13" s="4"/>
      <c r="P13" s="4"/>
      <c r="Q13" s="4"/>
      <c r="R13" s="4"/>
      <c r="S13" s="4"/>
      <c r="T13" s="4"/>
      <c r="U13" s="4"/>
      <c r="V13" s="6"/>
    </row>
    <row r="14" spans="2:22" s="5" customFormat="1" ht="19.5">
      <c r="B14" s="38" t="str">
        <f>'TOT-0907'!B14</f>
        <v>Desde el 01 al 30 de septiembre de 2007</v>
      </c>
      <c r="C14" s="41"/>
      <c r="D14" s="41"/>
      <c r="E14" s="41"/>
      <c r="F14" s="41"/>
      <c r="G14" s="527"/>
      <c r="H14" s="527"/>
      <c r="I14" s="527"/>
      <c r="J14" s="527"/>
      <c r="K14" s="527"/>
      <c r="L14" s="527"/>
      <c r="M14" s="527"/>
      <c r="N14" s="527"/>
      <c r="O14" s="41"/>
      <c r="P14" s="41"/>
      <c r="Q14" s="41"/>
      <c r="R14" s="41"/>
      <c r="S14" s="41"/>
      <c r="T14" s="41"/>
      <c r="U14" s="41"/>
      <c r="V14" s="528"/>
    </row>
    <row r="15" spans="2:22" s="5" customFormat="1" ht="14.25" thickBot="1">
      <c r="B15" s="529"/>
      <c r="C15" s="530"/>
      <c r="D15" s="530"/>
      <c r="E15" s="530"/>
      <c r="F15" s="530"/>
      <c r="G15" s="531"/>
      <c r="H15" s="531"/>
      <c r="I15" s="531"/>
      <c r="J15" s="531"/>
      <c r="K15" s="531"/>
      <c r="L15" s="531"/>
      <c r="M15" s="531"/>
      <c r="N15" s="531"/>
      <c r="O15" s="530"/>
      <c r="P15" s="530"/>
      <c r="Q15" s="530"/>
      <c r="R15" s="530"/>
      <c r="S15" s="530"/>
      <c r="T15" s="530"/>
      <c r="U15" s="530"/>
      <c r="V15" s="532"/>
    </row>
    <row r="16" spans="2:22" s="5" customFormat="1" ht="15" thickBot="1" thickTop="1">
      <c r="B16" s="51"/>
      <c r="C16" s="4"/>
      <c r="D16" s="533"/>
      <c r="E16" s="533"/>
      <c r="F16" s="121" t="s">
        <v>86</v>
      </c>
      <c r="G16" s="4"/>
      <c r="H16" s="5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</row>
    <row r="17" spans="2:22" s="5" customFormat="1" ht="16.5" customHeight="1" thickBot="1" thickTop="1">
      <c r="B17" s="51"/>
      <c r="C17" s="4"/>
      <c r="D17" s="534" t="s">
        <v>87</v>
      </c>
      <c r="E17" s="535">
        <v>49.065</v>
      </c>
      <c r="F17" s="536">
        <v>200</v>
      </c>
      <c r="T17" s="118"/>
      <c r="U17" s="118"/>
      <c r="V17" s="6"/>
    </row>
    <row r="18" spans="2:22" s="5" customFormat="1" ht="16.5" customHeight="1" thickBot="1" thickTop="1">
      <c r="B18" s="51"/>
      <c r="C18" s="4"/>
      <c r="D18" s="537" t="s">
        <v>88</v>
      </c>
      <c r="E18" s="538">
        <v>44.156</v>
      </c>
      <c r="F18" s="536">
        <v>100</v>
      </c>
      <c r="M18" s="4"/>
      <c r="N18" s="4"/>
      <c r="O18" s="4"/>
      <c r="P18" s="4"/>
      <c r="Q18" s="4"/>
      <c r="R18" s="4"/>
      <c r="S18" s="4"/>
      <c r="T18" s="4"/>
      <c r="U18" s="4"/>
      <c r="V18" s="6"/>
    </row>
    <row r="19" spans="2:22" s="5" customFormat="1" ht="16.5" customHeight="1" thickBot="1" thickTop="1">
      <c r="B19" s="51"/>
      <c r="C19" s="4"/>
      <c r="D19" s="539" t="s">
        <v>89</v>
      </c>
      <c r="E19" s="538">
        <v>39.254</v>
      </c>
      <c r="F19" s="536">
        <v>40</v>
      </c>
      <c r="I19" s="273"/>
      <c r="J19" s="274"/>
      <c r="K19" s="4"/>
      <c r="M19" s="4"/>
      <c r="O19" s="4"/>
      <c r="P19" s="4"/>
      <c r="Q19" s="4"/>
      <c r="R19" s="4"/>
      <c r="S19" s="4"/>
      <c r="T19" s="4"/>
      <c r="U19" s="4"/>
      <c r="V19" s="6"/>
    </row>
    <row r="20" spans="2:22" s="5" customFormat="1" ht="16.5" customHeight="1" thickBot="1" thickTop="1">
      <c r="B20" s="51"/>
      <c r="C20" s="540"/>
      <c r="D20" s="541"/>
      <c r="E20" s="541"/>
      <c r="F20" s="542"/>
      <c r="G20" s="543"/>
      <c r="H20" s="543"/>
      <c r="I20" s="543"/>
      <c r="J20" s="543"/>
      <c r="K20" s="543"/>
      <c r="L20" s="543"/>
      <c r="M20" s="543"/>
      <c r="N20" s="544"/>
      <c r="O20" s="545"/>
      <c r="P20" s="546"/>
      <c r="Q20" s="546"/>
      <c r="R20" s="546"/>
      <c r="S20" s="547"/>
      <c r="T20" s="548"/>
      <c r="U20" s="1148"/>
      <c r="V20" s="6"/>
    </row>
    <row r="21" spans="2:22" s="5" customFormat="1" ht="33.75" customHeight="1" thickBot="1" thickTop="1">
      <c r="B21" s="51"/>
      <c r="C21" s="85" t="s">
        <v>13</v>
      </c>
      <c r="D21" s="87" t="s">
        <v>28</v>
      </c>
      <c r="E21" s="549" t="s">
        <v>29</v>
      </c>
      <c r="F21" s="550" t="s">
        <v>14</v>
      </c>
      <c r="G21" s="139" t="s">
        <v>16</v>
      </c>
      <c r="H21" s="86" t="s">
        <v>17</v>
      </c>
      <c r="I21" s="549" t="s">
        <v>18</v>
      </c>
      <c r="J21" s="551" t="s">
        <v>37</v>
      </c>
      <c r="K21" s="551" t="s">
        <v>32</v>
      </c>
      <c r="L21" s="89" t="s">
        <v>19</v>
      </c>
      <c r="M21" s="209" t="s">
        <v>33</v>
      </c>
      <c r="N21" s="147" t="s">
        <v>38</v>
      </c>
      <c r="O21" s="552" t="s">
        <v>63</v>
      </c>
      <c r="P21" s="214" t="s">
        <v>36</v>
      </c>
      <c r="Q21" s="553"/>
      <c r="R21" s="146" t="s">
        <v>22</v>
      </c>
      <c r="S21" s="144" t="s">
        <v>76</v>
      </c>
      <c r="T21" s="125" t="s">
        <v>24</v>
      </c>
      <c r="U21" s="125" t="s">
        <v>319</v>
      </c>
      <c r="V21" s="6"/>
    </row>
    <row r="22" spans="2:22" s="5" customFormat="1" ht="16.5" customHeight="1" thickTop="1">
      <c r="B22" s="51"/>
      <c r="C22" s="7"/>
      <c r="D22" s="554"/>
      <c r="E22" s="554"/>
      <c r="F22" s="554"/>
      <c r="G22" s="319"/>
      <c r="H22" s="554"/>
      <c r="I22" s="554"/>
      <c r="J22" s="554"/>
      <c r="K22" s="554"/>
      <c r="L22" s="554"/>
      <c r="M22" s="554"/>
      <c r="N22" s="555"/>
      <c r="O22" s="556"/>
      <c r="P22" s="557"/>
      <c r="Q22" s="558"/>
      <c r="R22" s="559"/>
      <c r="S22" s="554"/>
      <c r="T22" s="560"/>
      <c r="U22" s="560"/>
      <c r="V22" s="6"/>
    </row>
    <row r="23" spans="2:22" s="5" customFormat="1" ht="16.5" customHeight="1">
      <c r="B23" s="51"/>
      <c r="C23" s="408"/>
      <c r="D23" s="561"/>
      <c r="E23" s="561"/>
      <c r="F23" s="561"/>
      <c r="G23" s="562"/>
      <c r="H23" s="561"/>
      <c r="I23" s="561"/>
      <c r="J23" s="561"/>
      <c r="K23" s="561"/>
      <c r="L23" s="561"/>
      <c r="M23" s="561"/>
      <c r="N23" s="563"/>
      <c r="O23" s="564"/>
      <c r="P23" s="237"/>
      <c r="Q23" s="565"/>
      <c r="R23" s="566"/>
      <c r="S23" s="561"/>
      <c r="T23" s="567"/>
      <c r="U23" s="567"/>
      <c r="V23" s="6"/>
    </row>
    <row r="24" spans="2:23" s="5" customFormat="1" ht="16.5" customHeight="1">
      <c r="B24" s="51"/>
      <c r="C24" s="171">
        <v>28</v>
      </c>
      <c r="D24" s="568" t="s">
        <v>206</v>
      </c>
      <c r="E24" s="568" t="s">
        <v>208</v>
      </c>
      <c r="F24" s="569">
        <v>132</v>
      </c>
      <c r="G24" s="140">
        <f aca="true" t="shared" si="0" ref="G24:G43">IF(F24=500,$E$17,IF(F24=220,$E$18,$E$19))</f>
        <v>39.254</v>
      </c>
      <c r="H24" s="570">
        <v>39327.32361111111</v>
      </c>
      <c r="I24" s="166">
        <v>39327.419444444444</v>
      </c>
      <c r="J24" s="571">
        <f aca="true" t="shared" si="1" ref="J24:J43">IF(D24="","",(I24-H24)*24)</f>
        <v>2.2999999999883585</v>
      </c>
      <c r="K24" s="572">
        <f aca="true" t="shared" si="2" ref="K24:K43">IF(D24="","",ROUND((I24-H24)*24*60,0))</f>
        <v>138</v>
      </c>
      <c r="L24" s="322" t="s">
        <v>182</v>
      </c>
      <c r="M24" s="168" t="str">
        <f aca="true" t="shared" si="3" ref="M24:M43">IF(D24="","",IF(L24="P","--","NO"))</f>
        <v>--</v>
      </c>
      <c r="N24" s="573">
        <f aca="true" t="shared" si="4" ref="N24:N43">IF(F24=500,$F$17,IF(F24=220,$F$18,$F$19))</f>
        <v>40</v>
      </c>
      <c r="O24" s="574">
        <f aca="true" t="shared" si="5" ref="O24:O43">IF(L24="P",G24*N24*ROUND(K24/60,2)*0.1,"--")</f>
        <v>361.1368</v>
      </c>
      <c r="P24" s="575" t="str">
        <f aca="true" t="shared" si="6" ref="P24:P43">IF(AND(L24="F",M24="NO"),G24*N24,"--")</f>
        <v>--</v>
      </c>
      <c r="Q24" s="576" t="str">
        <f aca="true" t="shared" si="7" ref="Q24:Q43">IF(L24="F",G24*N24*ROUND(K24/60,2),"--")</f>
        <v>--</v>
      </c>
      <c r="R24" s="176" t="str">
        <f aca="true" t="shared" si="8" ref="R24:R43">IF(L24="RF",G24*N24*ROUND(K24/60,2),"--")</f>
        <v>--</v>
      </c>
      <c r="S24" s="168" t="str">
        <f aca="true" t="shared" si="9" ref="S24:S43">IF(D24="","","SI")</f>
        <v>SI</v>
      </c>
      <c r="T24" s="577">
        <v>0</v>
      </c>
      <c r="U24" s="577">
        <f>T24*(1-$W$24)</f>
        <v>0</v>
      </c>
      <c r="V24" s="6"/>
      <c r="W24" s="1145">
        <v>0.353464897</v>
      </c>
    </row>
    <row r="25" spans="2:22" s="5" customFormat="1" ht="16.5" customHeight="1">
      <c r="B25" s="51"/>
      <c r="C25" s="408">
        <v>29</v>
      </c>
      <c r="D25" s="568" t="s">
        <v>206</v>
      </c>
      <c r="E25" s="568" t="s">
        <v>209</v>
      </c>
      <c r="F25" s="569">
        <v>132</v>
      </c>
      <c r="G25" s="140">
        <f t="shared" si="0"/>
        <v>39.254</v>
      </c>
      <c r="H25" s="570">
        <v>39327.32361111111</v>
      </c>
      <c r="I25" s="166">
        <v>39327.419444444444</v>
      </c>
      <c r="J25" s="571">
        <f t="shared" si="1"/>
        <v>2.2999999999883585</v>
      </c>
      <c r="K25" s="572">
        <f t="shared" si="2"/>
        <v>138</v>
      </c>
      <c r="L25" s="322" t="s">
        <v>182</v>
      </c>
      <c r="M25" s="168" t="str">
        <f t="shared" si="3"/>
        <v>--</v>
      </c>
      <c r="N25" s="573">
        <f t="shared" si="4"/>
        <v>40</v>
      </c>
      <c r="O25" s="574">
        <f t="shared" si="5"/>
        <v>361.1368</v>
      </c>
      <c r="P25" s="575" t="str">
        <f t="shared" si="6"/>
        <v>--</v>
      </c>
      <c r="Q25" s="576" t="str">
        <f t="shared" si="7"/>
        <v>--</v>
      </c>
      <c r="R25" s="176" t="str">
        <f t="shared" si="8"/>
        <v>--</v>
      </c>
      <c r="S25" s="168" t="str">
        <f t="shared" si="9"/>
        <v>SI</v>
      </c>
      <c r="T25" s="577">
        <v>0</v>
      </c>
      <c r="U25" s="577">
        <f aca="true" t="shared" si="10" ref="U25:U42">T25*(1-$W$24)</f>
        <v>0</v>
      </c>
      <c r="V25" s="6"/>
    </row>
    <row r="26" spans="2:22" s="5" customFormat="1" ht="16.5" customHeight="1">
      <c r="B26" s="51"/>
      <c r="C26" s="408">
        <v>30</v>
      </c>
      <c r="D26" s="568" t="s">
        <v>206</v>
      </c>
      <c r="E26" s="568" t="s">
        <v>208</v>
      </c>
      <c r="F26" s="569">
        <v>132</v>
      </c>
      <c r="G26" s="140">
        <f t="shared" si="0"/>
        <v>39.254</v>
      </c>
      <c r="H26" s="570">
        <v>39327.42013888889</v>
      </c>
      <c r="I26" s="166">
        <v>39327.42847222222</v>
      </c>
      <c r="J26" s="571">
        <f t="shared" si="1"/>
        <v>0.19999999995343387</v>
      </c>
      <c r="K26" s="572">
        <f t="shared" si="2"/>
        <v>12</v>
      </c>
      <c r="L26" s="322" t="s">
        <v>190</v>
      </c>
      <c r="M26" s="168" t="str">
        <f t="shared" si="3"/>
        <v>NO</v>
      </c>
      <c r="N26" s="573">
        <f t="shared" si="4"/>
        <v>40</v>
      </c>
      <c r="O26" s="574" t="str">
        <f t="shared" si="5"/>
        <v>--</v>
      </c>
      <c r="P26" s="575">
        <f t="shared" si="6"/>
        <v>1570.1599999999999</v>
      </c>
      <c r="Q26" s="576">
        <f t="shared" si="7"/>
        <v>314.032</v>
      </c>
      <c r="R26" s="176" t="str">
        <f t="shared" si="8"/>
        <v>--</v>
      </c>
      <c r="S26" s="168" t="str">
        <f t="shared" si="9"/>
        <v>SI</v>
      </c>
      <c r="T26" s="577">
        <f aca="true" t="shared" si="11" ref="T26:T43">IF(D26="","",SUM(O26:R26)*IF(S26="SI",1,2))</f>
        <v>1884.1919999999998</v>
      </c>
      <c r="U26" s="577">
        <f>T26*(1-$W$24)</f>
        <v>1218.1962687917758</v>
      </c>
      <c r="V26" s="6"/>
    </row>
    <row r="27" spans="2:22" s="5" customFormat="1" ht="16.5" customHeight="1">
      <c r="B27" s="51"/>
      <c r="C27" s="408">
        <v>31</v>
      </c>
      <c r="D27" s="568" t="s">
        <v>210</v>
      </c>
      <c r="E27" s="568" t="s">
        <v>211</v>
      </c>
      <c r="F27" s="569">
        <v>132</v>
      </c>
      <c r="G27" s="140">
        <f t="shared" si="0"/>
        <v>39.254</v>
      </c>
      <c r="H27" s="570">
        <v>39330.364583333336</v>
      </c>
      <c r="I27" s="166">
        <v>39330.67638888889</v>
      </c>
      <c r="J27" s="571">
        <f t="shared" si="1"/>
        <v>7.483333333279006</v>
      </c>
      <c r="K27" s="572">
        <f t="shared" si="2"/>
        <v>449</v>
      </c>
      <c r="L27" s="322" t="s">
        <v>182</v>
      </c>
      <c r="M27" s="168" t="str">
        <f t="shared" si="3"/>
        <v>--</v>
      </c>
      <c r="N27" s="573">
        <f t="shared" si="4"/>
        <v>40</v>
      </c>
      <c r="O27" s="574">
        <f t="shared" si="5"/>
        <v>1174.4796800000001</v>
      </c>
      <c r="P27" s="575" t="str">
        <f t="shared" si="6"/>
        <v>--</v>
      </c>
      <c r="Q27" s="576" t="str">
        <f t="shared" si="7"/>
        <v>--</v>
      </c>
      <c r="R27" s="176" t="str">
        <f t="shared" si="8"/>
        <v>--</v>
      </c>
      <c r="S27" s="168" t="str">
        <f t="shared" si="9"/>
        <v>SI</v>
      </c>
      <c r="T27" s="577">
        <f t="shared" si="11"/>
        <v>1174.4796800000001</v>
      </c>
      <c r="U27" s="577">
        <f t="shared" si="10"/>
        <v>759.3423408802071</v>
      </c>
      <c r="V27" s="6"/>
    </row>
    <row r="28" spans="2:22" s="5" customFormat="1" ht="16.5" customHeight="1">
      <c r="B28" s="51"/>
      <c r="C28" s="408">
        <v>32</v>
      </c>
      <c r="D28" s="568" t="s">
        <v>212</v>
      </c>
      <c r="E28" s="568" t="s">
        <v>213</v>
      </c>
      <c r="F28" s="569">
        <v>132</v>
      </c>
      <c r="G28" s="140">
        <f t="shared" si="0"/>
        <v>39.254</v>
      </c>
      <c r="H28" s="570">
        <v>39330.3875</v>
      </c>
      <c r="I28" s="166">
        <v>39330.566666666666</v>
      </c>
      <c r="J28" s="571">
        <f t="shared" si="1"/>
        <v>4.300000000046566</v>
      </c>
      <c r="K28" s="572">
        <f t="shared" si="2"/>
        <v>258</v>
      </c>
      <c r="L28" s="322" t="s">
        <v>182</v>
      </c>
      <c r="M28" s="168" t="str">
        <f t="shared" si="3"/>
        <v>--</v>
      </c>
      <c r="N28" s="573">
        <f t="shared" si="4"/>
        <v>40</v>
      </c>
      <c r="O28" s="574">
        <f t="shared" si="5"/>
        <v>675.1687999999999</v>
      </c>
      <c r="P28" s="575" t="str">
        <f t="shared" si="6"/>
        <v>--</v>
      </c>
      <c r="Q28" s="576" t="str">
        <f t="shared" si="7"/>
        <v>--</v>
      </c>
      <c r="R28" s="176" t="str">
        <f t="shared" si="8"/>
        <v>--</v>
      </c>
      <c r="S28" s="168" t="str">
        <f t="shared" si="9"/>
        <v>SI</v>
      </c>
      <c r="T28" s="577">
        <v>0</v>
      </c>
      <c r="U28" s="577">
        <f t="shared" si="10"/>
        <v>0</v>
      </c>
      <c r="V28" s="6"/>
    </row>
    <row r="29" spans="2:22" s="5" customFormat="1" ht="16.5" customHeight="1">
      <c r="B29" s="51"/>
      <c r="C29" s="408">
        <v>33</v>
      </c>
      <c r="D29" s="568" t="s">
        <v>214</v>
      </c>
      <c r="E29" s="568" t="s">
        <v>215</v>
      </c>
      <c r="F29" s="569">
        <v>132</v>
      </c>
      <c r="G29" s="140">
        <f t="shared" si="0"/>
        <v>39.254</v>
      </c>
      <c r="H29" s="570">
        <v>39331.361805555556</v>
      </c>
      <c r="I29" s="166">
        <v>39331.711805555555</v>
      </c>
      <c r="J29" s="571">
        <f t="shared" si="1"/>
        <v>8.399999999965075</v>
      </c>
      <c r="K29" s="572">
        <f t="shared" si="2"/>
        <v>504</v>
      </c>
      <c r="L29" s="322" t="s">
        <v>182</v>
      </c>
      <c r="M29" s="168" t="str">
        <f t="shared" si="3"/>
        <v>--</v>
      </c>
      <c r="N29" s="573">
        <f t="shared" si="4"/>
        <v>40</v>
      </c>
      <c r="O29" s="574">
        <f t="shared" si="5"/>
        <v>1318.9344</v>
      </c>
      <c r="P29" s="575" t="str">
        <f t="shared" si="6"/>
        <v>--</v>
      </c>
      <c r="Q29" s="576" t="str">
        <f t="shared" si="7"/>
        <v>--</v>
      </c>
      <c r="R29" s="176" t="str">
        <f t="shared" si="8"/>
        <v>--</v>
      </c>
      <c r="S29" s="168" t="str">
        <f t="shared" si="9"/>
        <v>SI</v>
      </c>
      <c r="T29" s="577">
        <f t="shared" si="11"/>
        <v>1318.9344</v>
      </c>
      <c r="U29" s="577">
        <f t="shared" si="10"/>
        <v>852.7373881542431</v>
      </c>
      <c r="V29" s="6"/>
    </row>
    <row r="30" spans="2:22" s="5" customFormat="1" ht="16.5" customHeight="1">
      <c r="B30" s="51"/>
      <c r="C30" s="408">
        <v>34</v>
      </c>
      <c r="D30" s="568" t="s">
        <v>216</v>
      </c>
      <c r="E30" s="568" t="s">
        <v>217</v>
      </c>
      <c r="F30" s="569">
        <v>132</v>
      </c>
      <c r="G30" s="140">
        <f t="shared" si="0"/>
        <v>39.254</v>
      </c>
      <c r="H30" s="570">
        <v>39332.353472222225</v>
      </c>
      <c r="I30" s="166">
        <v>39332.55972222222</v>
      </c>
      <c r="J30" s="571">
        <f t="shared" si="1"/>
        <v>4.949999999895226</v>
      </c>
      <c r="K30" s="572">
        <f t="shared" si="2"/>
        <v>297</v>
      </c>
      <c r="L30" s="322" t="s">
        <v>182</v>
      </c>
      <c r="M30" s="168" t="str">
        <f t="shared" si="3"/>
        <v>--</v>
      </c>
      <c r="N30" s="573">
        <f t="shared" si="4"/>
        <v>40</v>
      </c>
      <c r="O30" s="574">
        <f t="shared" si="5"/>
        <v>777.2292</v>
      </c>
      <c r="P30" s="575" t="str">
        <f t="shared" si="6"/>
        <v>--</v>
      </c>
      <c r="Q30" s="576" t="str">
        <f t="shared" si="7"/>
        <v>--</v>
      </c>
      <c r="R30" s="176" t="str">
        <f t="shared" si="8"/>
        <v>--</v>
      </c>
      <c r="S30" s="168" t="str">
        <f t="shared" si="9"/>
        <v>SI</v>
      </c>
      <c r="T30" s="577">
        <v>0</v>
      </c>
      <c r="U30" s="577">
        <f t="shared" si="10"/>
        <v>0</v>
      </c>
      <c r="V30" s="6"/>
    </row>
    <row r="31" spans="2:22" s="5" customFormat="1" ht="16.5" customHeight="1">
      <c r="B31" s="51"/>
      <c r="C31" s="408">
        <v>35</v>
      </c>
      <c r="D31" s="568" t="s">
        <v>218</v>
      </c>
      <c r="E31" s="568" t="s">
        <v>219</v>
      </c>
      <c r="F31" s="569">
        <v>500</v>
      </c>
      <c r="G31" s="140">
        <f t="shared" si="0"/>
        <v>49.065</v>
      </c>
      <c r="H31" s="570">
        <v>39333.34166666667</v>
      </c>
      <c r="I31" s="166">
        <v>39333.51180555556</v>
      </c>
      <c r="J31" s="571">
        <f t="shared" si="1"/>
        <v>4.083333333372138</v>
      </c>
      <c r="K31" s="572">
        <f t="shared" si="2"/>
        <v>245</v>
      </c>
      <c r="L31" s="322" t="s">
        <v>182</v>
      </c>
      <c r="M31" s="168" t="str">
        <f t="shared" si="3"/>
        <v>--</v>
      </c>
      <c r="N31" s="573">
        <f t="shared" si="4"/>
        <v>200</v>
      </c>
      <c r="O31" s="574">
        <f t="shared" si="5"/>
        <v>4003.704</v>
      </c>
      <c r="P31" s="575" t="str">
        <f t="shared" si="6"/>
        <v>--</v>
      </c>
      <c r="Q31" s="576" t="str">
        <f t="shared" si="7"/>
        <v>--</v>
      </c>
      <c r="R31" s="176" t="str">
        <f t="shared" si="8"/>
        <v>--</v>
      </c>
      <c r="S31" s="168" t="str">
        <f t="shared" si="9"/>
        <v>SI</v>
      </c>
      <c r="T31" s="577">
        <v>0</v>
      </c>
      <c r="U31" s="577">
        <f t="shared" si="10"/>
        <v>0</v>
      </c>
      <c r="V31" s="6"/>
    </row>
    <row r="32" spans="2:22" s="5" customFormat="1" ht="16.5" customHeight="1">
      <c r="B32" s="51"/>
      <c r="C32" s="408">
        <v>36</v>
      </c>
      <c r="D32" s="568" t="s">
        <v>198</v>
      </c>
      <c r="E32" s="568" t="s">
        <v>220</v>
      </c>
      <c r="F32" s="569">
        <v>132</v>
      </c>
      <c r="G32" s="140">
        <f t="shared" si="0"/>
        <v>39.254</v>
      </c>
      <c r="H32" s="570">
        <v>39333.42083333333</v>
      </c>
      <c r="I32" s="166">
        <v>39333.700694444444</v>
      </c>
      <c r="J32" s="571">
        <f t="shared" si="1"/>
        <v>6.716666666732635</v>
      </c>
      <c r="K32" s="572">
        <f t="shared" si="2"/>
        <v>403</v>
      </c>
      <c r="L32" s="322" t="s">
        <v>182</v>
      </c>
      <c r="M32" s="168" t="str">
        <f t="shared" si="3"/>
        <v>--</v>
      </c>
      <c r="N32" s="573">
        <f t="shared" si="4"/>
        <v>40</v>
      </c>
      <c r="O32" s="574">
        <f t="shared" si="5"/>
        <v>1055.14752</v>
      </c>
      <c r="P32" s="575" t="str">
        <f t="shared" si="6"/>
        <v>--</v>
      </c>
      <c r="Q32" s="576" t="str">
        <f t="shared" si="7"/>
        <v>--</v>
      </c>
      <c r="R32" s="176" t="str">
        <f t="shared" si="8"/>
        <v>--</v>
      </c>
      <c r="S32" s="168" t="str">
        <f t="shared" si="9"/>
        <v>SI</v>
      </c>
      <c r="T32" s="577">
        <f t="shared" si="11"/>
        <v>1055.14752</v>
      </c>
      <c r="U32" s="577">
        <f t="shared" si="10"/>
        <v>682.1899105233945</v>
      </c>
      <c r="V32" s="6"/>
    </row>
    <row r="33" spans="2:22" s="5" customFormat="1" ht="16.5" customHeight="1">
      <c r="B33" s="51"/>
      <c r="C33" s="408">
        <v>37</v>
      </c>
      <c r="D33" s="568" t="s">
        <v>221</v>
      </c>
      <c r="E33" s="568" t="s">
        <v>222</v>
      </c>
      <c r="F33" s="569">
        <v>500</v>
      </c>
      <c r="G33" s="140">
        <f t="shared" si="0"/>
        <v>49.065</v>
      </c>
      <c r="H33" s="570">
        <v>39334.31875</v>
      </c>
      <c r="I33" s="166">
        <v>39334.67361111111</v>
      </c>
      <c r="J33" s="571">
        <f t="shared" si="1"/>
        <v>8.516666666662786</v>
      </c>
      <c r="K33" s="572">
        <f t="shared" si="2"/>
        <v>511</v>
      </c>
      <c r="L33" s="322" t="s">
        <v>182</v>
      </c>
      <c r="M33" s="168" t="str">
        <f t="shared" si="3"/>
        <v>--</v>
      </c>
      <c r="N33" s="573">
        <f t="shared" si="4"/>
        <v>200</v>
      </c>
      <c r="O33" s="574">
        <f t="shared" si="5"/>
        <v>8360.676</v>
      </c>
      <c r="P33" s="575" t="str">
        <f t="shared" si="6"/>
        <v>--</v>
      </c>
      <c r="Q33" s="576" t="str">
        <f t="shared" si="7"/>
        <v>--</v>
      </c>
      <c r="R33" s="176" t="str">
        <f t="shared" si="8"/>
        <v>--</v>
      </c>
      <c r="S33" s="168" t="str">
        <f t="shared" si="9"/>
        <v>SI</v>
      </c>
      <c r="T33" s="577">
        <v>0</v>
      </c>
      <c r="U33" s="577">
        <f t="shared" si="10"/>
        <v>0</v>
      </c>
      <c r="V33" s="6"/>
    </row>
    <row r="34" spans="2:22" s="5" customFormat="1" ht="16.5" customHeight="1">
      <c r="B34" s="51"/>
      <c r="C34" s="408">
        <v>38</v>
      </c>
      <c r="D34" s="568" t="s">
        <v>223</v>
      </c>
      <c r="E34" s="568" t="s">
        <v>224</v>
      </c>
      <c r="F34" s="569">
        <v>132</v>
      </c>
      <c r="G34" s="140">
        <f t="shared" si="0"/>
        <v>39.254</v>
      </c>
      <c r="H34" s="570">
        <v>39334.32916666667</v>
      </c>
      <c r="I34" s="166">
        <v>39334.683333333334</v>
      </c>
      <c r="J34" s="571">
        <f t="shared" si="1"/>
        <v>8.499999999941792</v>
      </c>
      <c r="K34" s="572">
        <f t="shared" si="2"/>
        <v>510</v>
      </c>
      <c r="L34" s="322" t="s">
        <v>182</v>
      </c>
      <c r="M34" s="168" t="str">
        <f t="shared" si="3"/>
        <v>--</v>
      </c>
      <c r="N34" s="573">
        <f t="shared" si="4"/>
        <v>40</v>
      </c>
      <c r="O34" s="574">
        <f t="shared" si="5"/>
        <v>1334.636</v>
      </c>
      <c r="P34" s="575" t="str">
        <f t="shared" si="6"/>
        <v>--</v>
      </c>
      <c r="Q34" s="576" t="str">
        <f t="shared" si="7"/>
        <v>--</v>
      </c>
      <c r="R34" s="176" t="str">
        <f t="shared" si="8"/>
        <v>--</v>
      </c>
      <c r="S34" s="168" t="str">
        <f t="shared" si="9"/>
        <v>SI</v>
      </c>
      <c r="T34" s="577">
        <f t="shared" si="11"/>
        <v>1334.636</v>
      </c>
      <c r="U34" s="577">
        <f t="shared" si="10"/>
        <v>862.889023727508</v>
      </c>
      <c r="V34" s="6"/>
    </row>
    <row r="35" spans="2:22" s="5" customFormat="1" ht="16.5" customHeight="1">
      <c r="B35" s="51"/>
      <c r="C35" s="408">
        <v>39</v>
      </c>
      <c r="D35" s="568" t="s">
        <v>216</v>
      </c>
      <c r="E35" s="568" t="s">
        <v>225</v>
      </c>
      <c r="F35" s="569">
        <v>132</v>
      </c>
      <c r="G35" s="140">
        <f t="shared" si="0"/>
        <v>39.254</v>
      </c>
      <c r="H35" s="570">
        <v>39334.53888888889</v>
      </c>
      <c r="I35" s="166">
        <v>39334.64444444444</v>
      </c>
      <c r="J35" s="571">
        <f t="shared" si="1"/>
        <v>2.533333333209157</v>
      </c>
      <c r="K35" s="572">
        <f t="shared" si="2"/>
        <v>152</v>
      </c>
      <c r="L35" s="322" t="s">
        <v>182</v>
      </c>
      <c r="M35" s="168" t="str">
        <f t="shared" si="3"/>
        <v>--</v>
      </c>
      <c r="N35" s="573">
        <f t="shared" si="4"/>
        <v>40</v>
      </c>
      <c r="O35" s="574">
        <f t="shared" si="5"/>
        <v>397.2504799999999</v>
      </c>
      <c r="P35" s="575" t="str">
        <f t="shared" si="6"/>
        <v>--</v>
      </c>
      <c r="Q35" s="576" t="str">
        <f t="shared" si="7"/>
        <v>--</v>
      </c>
      <c r="R35" s="176" t="str">
        <f t="shared" si="8"/>
        <v>--</v>
      </c>
      <c r="S35" s="168" t="str">
        <f t="shared" si="9"/>
        <v>SI</v>
      </c>
      <c r="T35" s="577">
        <v>0</v>
      </c>
      <c r="U35" s="577">
        <f t="shared" si="10"/>
        <v>0</v>
      </c>
      <c r="V35" s="6"/>
    </row>
    <row r="36" spans="2:22" s="5" customFormat="1" ht="16.5" customHeight="1">
      <c r="B36" s="51"/>
      <c r="C36" s="408">
        <v>40</v>
      </c>
      <c r="D36" s="568" t="s">
        <v>214</v>
      </c>
      <c r="E36" s="568" t="s">
        <v>215</v>
      </c>
      <c r="F36" s="569">
        <v>132</v>
      </c>
      <c r="G36" s="140">
        <f t="shared" si="0"/>
        <v>39.254</v>
      </c>
      <c r="H36" s="570">
        <v>39335.402083333334</v>
      </c>
      <c r="I36" s="166">
        <v>39335.70208333333</v>
      </c>
      <c r="J36" s="571">
        <f t="shared" si="1"/>
        <v>7.199999999895226</v>
      </c>
      <c r="K36" s="572">
        <f t="shared" si="2"/>
        <v>432</v>
      </c>
      <c r="L36" s="322" t="s">
        <v>182</v>
      </c>
      <c r="M36" s="168" t="str">
        <f t="shared" si="3"/>
        <v>--</v>
      </c>
      <c r="N36" s="573">
        <f t="shared" si="4"/>
        <v>40</v>
      </c>
      <c r="O36" s="574">
        <f t="shared" si="5"/>
        <v>1130.5152</v>
      </c>
      <c r="P36" s="575" t="str">
        <f t="shared" si="6"/>
        <v>--</v>
      </c>
      <c r="Q36" s="576" t="str">
        <f t="shared" si="7"/>
        <v>--</v>
      </c>
      <c r="R36" s="176" t="str">
        <f t="shared" si="8"/>
        <v>--</v>
      </c>
      <c r="S36" s="168" t="str">
        <f t="shared" si="9"/>
        <v>SI</v>
      </c>
      <c r="T36" s="577">
        <v>0</v>
      </c>
      <c r="U36" s="577">
        <f>T36*(1-$W$24)</f>
        <v>0</v>
      </c>
      <c r="V36" s="6"/>
    </row>
    <row r="37" spans="2:22" s="5" customFormat="1" ht="16.5" customHeight="1">
      <c r="B37" s="51"/>
      <c r="C37" s="408">
        <v>41</v>
      </c>
      <c r="D37" s="568" t="s">
        <v>210</v>
      </c>
      <c r="E37" s="568" t="s">
        <v>226</v>
      </c>
      <c r="F37" s="569">
        <v>132</v>
      </c>
      <c r="G37" s="140">
        <f t="shared" si="0"/>
        <v>39.254</v>
      </c>
      <c r="H37" s="570">
        <v>39337.37222222222</v>
      </c>
      <c r="I37" s="166">
        <v>39337.71111111111</v>
      </c>
      <c r="J37" s="571">
        <f t="shared" si="1"/>
        <v>8.13333333330229</v>
      </c>
      <c r="K37" s="572">
        <f t="shared" si="2"/>
        <v>488</v>
      </c>
      <c r="L37" s="322" t="s">
        <v>182</v>
      </c>
      <c r="M37" s="168" t="str">
        <f t="shared" si="3"/>
        <v>--</v>
      </c>
      <c r="N37" s="573">
        <f t="shared" si="4"/>
        <v>40</v>
      </c>
      <c r="O37" s="574">
        <f t="shared" si="5"/>
        <v>1276.54008</v>
      </c>
      <c r="P37" s="575" t="str">
        <f t="shared" si="6"/>
        <v>--</v>
      </c>
      <c r="Q37" s="576" t="str">
        <f t="shared" si="7"/>
        <v>--</v>
      </c>
      <c r="R37" s="176" t="str">
        <f t="shared" si="8"/>
        <v>--</v>
      </c>
      <c r="S37" s="168" t="str">
        <f t="shared" si="9"/>
        <v>SI</v>
      </c>
      <c r="T37" s="577">
        <f t="shared" si="11"/>
        <v>1276.54008</v>
      </c>
      <c r="U37" s="577">
        <f t="shared" si="10"/>
        <v>825.3279721064282</v>
      </c>
      <c r="V37" s="6"/>
    </row>
    <row r="38" spans="2:22" s="5" customFormat="1" ht="16.5" customHeight="1">
      <c r="B38" s="51"/>
      <c r="C38" s="408">
        <v>42</v>
      </c>
      <c r="D38" s="568" t="s">
        <v>227</v>
      </c>
      <c r="E38" s="568" t="s">
        <v>228</v>
      </c>
      <c r="F38" s="569">
        <v>500</v>
      </c>
      <c r="G38" s="140">
        <f t="shared" si="0"/>
        <v>49.065</v>
      </c>
      <c r="H38" s="570">
        <v>39341.029861111114</v>
      </c>
      <c r="I38" s="166">
        <v>39341.09652777778</v>
      </c>
      <c r="J38" s="571">
        <f t="shared" si="1"/>
        <v>1.599999999976717</v>
      </c>
      <c r="K38" s="572">
        <f t="shared" si="2"/>
        <v>96</v>
      </c>
      <c r="L38" s="322" t="s">
        <v>190</v>
      </c>
      <c r="M38" s="168" t="str">
        <f t="shared" si="3"/>
        <v>NO</v>
      </c>
      <c r="N38" s="573">
        <f t="shared" si="4"/>
        <v>200</v>
      </c>
      <c r="O38" s="574" t="str">
        <f t="shared" si="5"/>
        <v>--</v>
      </c>
      <c r="P38" s="575">
        <f t="shared" si="6"/>
        <v>9813</v>
      </c>
      <c r="Q38" s="576">
        <f t="shared" si="7"/>
        <v>15700.800000000001</v>
      </c>
      <c r="R38" s="176" t="str">
        <f t="shared" si="8"/>
        <v>--</v>
      </c>
      <c r="S38" s="168" t="str">
        <f t="shared" si="9"/>
        <v>SI</v>
      </c>
      <c r="T38" s="577">
        <f t="shared" si="11"/>
        <v>25513.800000000003</v>
      </c>
      <c r="U38" s="577">
        <f t="shared" si="10"/>
        <v>16495.5673109214</v>
      </c>
      <c r="V38" s="6"/>
    </row>
    <row r="39" spans="2:22" s="5" customFormat="1" ht="16.5" customHeight="1">
      <c r="B39" s="51"/>
      <c r="C39" s="408">
        <v>43</v>
      </c>
      <c r="D39" s="568" t="s">
        <v>214</v>
      </c>
      <c r="E39" s="568" t="s">
        <v>229</v>
      </c>
      <c r="F39" s="569">
        <v>132</v>
      </c>
      <c r="G39" s="140">
        <f t="shared" si="0"/>
        <v>39.254</v>
      </c>
      <c r="H39" s="570">
        <v>39341.336805555555</v>
      </c>
      <c r="I39" s="166">
        <v>39341.75277777778</v>
      </c>
      <c r="J39" s="571">
        <f t="shared" si="1"/>
        <v>9.983333333395422</v>
      </c>
      <c r="K39" s="572">
        <f t="shared" si="2"/>
        <v>599</v>
      </c>
      <c r="L39" s="322" t="s">
        <v>182</v>
      </c>
      <c r="M39" s="168" t="str">
        <f t="shared" si="3"/>
        <v>--</v>
      </c>
      <c r="N39" s="573">
        <f t="shared" si="4"/>
        <v>40</v>
      </c>
      <c r="O39" s="574">
        <f t="shared" si="5"/>
        <v>1567.01968</v>
      </c>
      <c r="P39" s="575" t="str">
        <f t="shared" si="6"/>
        <v>--</v>
      </c>
      <c r="Q39" s="576" t="str">
        <f t="shared" si="7"/>
        <v>--</v>
      </c>
      <c r="R39" s="176" t="str">
        <f t="shared" si="8"/>
        <v>--</v>
      </c>
      <c r="S39" s="168" t="str">
        <f t="shared" si="9"/>
        <v>SI</v>
      </c>
      <c r="T39" s="577">
        <f t="shared" si="11"/>
        <v>1567.01968</v>
      </c>
      <c r="U39" s="577">
        <f t="shared" si="10"/>
        <v>1013.133230211827</v>
      </c>
      <c r="V39" s="6"/>
    </row>
    <row r="40" spans="2:22" s="5" customFormat="1" ht="16.5" customHeight="1">
      <c r="B40" s="51"/>
      <c r="C40" s="408">
        <v>44</v>
      </c>
      <c r="D40" s="568" t="s">
        <v>223</v>
      </c>
      <c r="E40" s="568" t="s">
        <v>230</v>
      </c>
      <c r="F40" s="569">
        <v>132</v>
      </c>
      <c r="G40" s="140">
        <f t="shared" si="0"/>
        <v>39.254</v>
      </c>
      <c r="H40" s="570">
        <v>39341.35208333333</v>
      </c>
      <c r="I40" s="166">
        <v>39341.705555555556</v>
      </c>
      <c r="J40" s="571">
        <f t="shared" si="1"/>
        <v>8.483333333395422</v>
      </c>
      <c r="K40" s="572">
        <f t="shared" si="2"/>
        <v>509</v>
      </c>
      <c r="L40" s="322" t="s">
        <v>182</v>
      </c>
      <c r="M40" s="168" t="str">
        <f t="shared" si="3"/>
        <v>--</v>
      </c>
      <c r="N40" s="573">
        <f t="shared" si="4"/>
        <v>40</v>
      </c>
      <c r="O40" s="574">
        <f t="shared" si="5"/>
        <v>1331.49568</v>
      </c>
      <c r="P40" s="575" t="str">
        <f t="shared" si="6"/>
        <v>--</v>
      </c>
      <c r="Q40" s="576" t="str">
        <f t="shared" si="7"/>
        <v>--</v>
      </c>
      <c r="R40" s="176" t="str">
        <f t="shared" si="8"/>
        <v>--</v>
      </c>
      <c r="S40" s="168" t="str">
        <f t="shared" si="9"/>
        <v>SI</v>
      </c>
      <c r="T40" s="577">
        <f t="shared" si="11"/>
        <v>1331.49568</v>
      </c>
      <c r="U40" s="577">
        <f t="shared" si="10"/>
        <v>860.8586966128549</v>
      </c>
      <c r="V40" s="6"/>
    </row>
    <row r="41" spans="2:22" s="5" customFormat="1" ht="16.5" customHeight="1">
      <c r="B41" s="51"/>
      <c r="C41" s="408">
        <v>45</v>
      </c>
      <c r="D41" s="568" t="s">
        <v>231</v>
      </c>
      <c r="E41" s="568" t="s">
        <v>232</v>
      </c>
      <c r="F41" s="569">
        <v>132</v>
      </c>
      <c r="G41" s="140">
        <f t="shared" si="0"/>
        <v>39.254</v>
      </c>
      <c r="H41" s="570">
        <v>39342.36111111111</v>
      </c>
      <c r="I41" s="166">
        <v>39342.63680555556</v>
      </c>
      <c r="J41" s="571">
        <f t="shared" si="1"/>
        <v>6.616666666755918</v>
      </c>
      <c r="K41" s="572">
        <f t="shared" si="2"/>
        <v>397</v>
      </c>
      <c r="L41" s="322" t="s">
        <v>182</v>
      </c>
      <c r="M41" s="168" t="str">
        <f t="shared" si="3"/>
        <v>--</v>
      </c>
      <c r="N41" s="573">
        <f t="shared" si="4"/>
        <v>40</v>
      </c>
      <c r="O41" s="574">
        <f t="shared" si="5"/>
        <v>1039.44592</v>
      </c>
      <c r="P41" s="575" t="str">
        <f t="shared" si="6"/>
        <v>--</v>
      </c>
      <c r="Q41" s="576" t="str">
        <f t="shared" si="7"/>
        <v>--</v>
      </c>
      <c r="R41" s="176" t="str">
        <f t="shared" si="8"/>
        <v>--</v>
      </c>
      <c r="S41" s="168" t="str">
        <f t="shared" si="9"/>
        <v>SI</v>
      </c>
      <c r="T41" s="577">
        <v>0</v>
      </c>
      <c r="U41" s="577">
        <f t="shared" si="10"/>
        <v>0</v>
      </c>
      <c r="V41" s="6"/>
    </row>
    <row r="42" spans="2:22" s="5" customFormat="1" ht="16.5" customHeight="1">
      <c r="B42" s="51"/>
      <c r="C42" s="408">
        <v>46</v>
      </c>
      <c r="D42" s="568" t="s">
        <v>212</v>
      </c>
      <c r="E42" s="568" t="s">
        <v>233</v>
      </c>
      <c r="F42" s="569">
        <v>132</v>
      </c>
      <c r="G42" s="140">
        <f t="shared" si="0"/>
        <v>39.254</v>
      </c>
      <c r="H42" s="570">
        <v>39343.37222222222</v>
      </c>
      <c r="I42" s="166">
        <v>39343.597916666666</v>
      </c>
      <c r="J42" s="571">
        <f t="shared" si="1"/>
        <v>5.416666666686069</v>
      </c>
      <c r="K42" s="572">
        <f t="shared" si="2"/>
        <v>325</v>
      </c>
      <c r="L42" s="322" t="s">
        <v>182</v>
      </c>
      <c r="M42" s="168" t="str">
        <f t="shared" si="3"/>
        <v>--</v>
      </c>
      <c r="N42" s="573">
        <f t="shared" si="4"/>
        <v>40</v>
      </c>
      <c r="O42" s="574">
        <f t="shared" si="5"/>
        <v>851.0267199999998</v>
      </c>
      <c r="P42" s="575" t="str">
        <f t="shared" si="6"/>
        <v>--</v>
      </c>
      <c r="Q42" s="576" t="str">
        <f t="shared" si="7"/>
        <v>--</v>
      </c>
      <c r="R42" s="176" t="str">
        <f t="shared" si="8"/>
        <v>--</v>
      </c>
      <c r="S42" s="168" t="str">
        <f t="shared" si="9"/>
        <v>SI</v>
      </c>
      <c r="T42" s="577">
        <f t="shared" si="11"/>
        <v>851.0267199999998</v>
      </c>
      <c r="U42" s="577">
        <f t="shared" si="10"/>
        <v>550.218648070952</v>
      </c>
      <c r="V42" s="6"/>
    </row>
    <row r="43" spans="2:22" s="5" customFormat="1" ht="16.5" customHeight="1">
      <c r="B43" s="51"/>
      <c r="C43" s="408"/>
      <c r="D43" s="568"/>
      <c r="E43" s="568"/>
      <c r="F43" s="569"/>
      <c r="G43" s="140">
        <f t="shared" si="0"/>
        <v>39.254</v>
      </c>
      <c r="H43" s="570"/>
      <c r="I43" s="166"/>
      <c r="J43" s="571">
        <f t="shared" si="1"/>
      </c>
      <c r="K43" s="572">
        <f t="shared" si="2"/>
      </c>
      <c r="L43" s="322"/>
      <c r="M43" s="168">
        <f t="shared" si="3"/>
      </c>
      <c r="N43" s="573">
        <f t="shared" si="4"/>
        <v>40</v>
      </c>
      <c r="O43" s="574" t="str">
        <f t="shared" si="5"/>
        <v>--</v>
      </c>
      <c r="P43" s="575" t="str">
        <f t="shared" si="6"/>
        <v>--</v>
      </c>
      <c r="Q43" s="576" t="str">
        <f t="shared" si="7"/>
        <v>--</v>
      </c>
      <c r="R43" s="176" t="str">
        <f t="shared" si="8"/>
        <v>--</v>
      </c>
      <c r="S43" s="168">
        <f t="shared" si="9"/>
      </c>
      <c r="T43" s="577">
        <f t="shared" si="11"/>
      </c>
      <c r="U43" s="577"/>
      <c r="V43" s="6"/>
    </row>
    <row r="44" spans="2:22" s="5" customFormat="1" ht="16.5" customHeight="1" thickBot="1">
      <c r="B44" s="51"/>
      <c r="C44" s="171"/>
      <c r="D44" s="161"/>
      <c r="E44" s="161"/>
      <c r="F44" s="339"/>
      <c r="G44" s="141"/>
      <c r="H44" s="578"/>
      <c r="I44" s="578"/>
      <c r="J44" s="579"/>
      <c r="K44" s="579"/>
      <c r="L44" s="578"/>
      <c r="M44" s="167"/>
      <c r="N44" s="580"/>
      <c r="O44" s="581"/>
      <c r="P44" s="582"/>
      <c r="Q44" s="583"/>
      <c r="R44" s="178"/>
      <c r="S44" s="167"/>
      <c r="T44" s="584"/>
      <c r="U44" s="584"/>
      <c r="V44" s="6"/>
    </row>
    <row r="45" spans="2:22" s="5" customFormat="1" ht="16.5" customHeight="1" thickBot="1" thickTop="1">
      <c r="B45" s="51"/>
      <c r="C45" s="131" t="s">
        <v>25</v>
      </c>
      <c r="D45" s="132" t="s">
        <v>300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585">
        <f>SUM(O22:O44)</f>
        <v>27015.54296</v>
      </c>
      <c r="P45" s="586">
        <f>SUM(P22:P44)</f>
        <v>11383.16</v>
      </c>
      <c r="Q45" s="587">
        <f>SUM(Q22:Q44)</f>
        <v>16014.832</v>
      </c>
      <c r="R45" s="588">
        <f>SUM(R22:R44)</f>
        <v>0</v>
      </c>
      <c r="S45" s="589"/>
      <c r="T45" s="102">
        <f>ROUND(SUM(T22:T44),2)</f>
        <v>37307.27</v>
      </c>
      <c r="U45" s="102">
        <f>SUM(U24:U42)</f>
        <v>24120.46079000059</v>
      </c>
      <c r="V45" s="6"/>
    </row>
    <row r="46" spans="2:22" s="137" customFormat="1" ht="13.5" thickTop="1">
      <c r="B46" s="136"/>
      <c r="C46" s="133"/>
      <c r="D46" s="134" t="s">
        <v>308</v>
      </c>
      <c r="E46"/>
      <c r="F46" s="135"/>
      <c r="G46" s="135"/>
      <c r="H46" s="135"/>
      <c r="I46" s="135"/>
      <c r="J46" s="135"/>
      <c r="K46" s="135"/>
      <c r="L46" s="135"/>
      <c r="M46" s="135"/>
      <c r="N46" s="135"/>
      <c r="O46" s="469"/>
      <c r="P46" s="469"/>
      <c r="Q46" s="469"/>
      <c r="R46" s="469"/>
      <c r="S46" s="469"/>
      <c r="T46" s="253"/>
      <c r="U46" s="253"/>
      <c r="V46" s="590"/>
    </row>
    <row r="47" spans="2:22" s="5" customFormat="1" ht="16.5" customHeight="1" thickBot="1"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</row>
    <row r="48" spans="22:24" ht="16.5" customHeight="1" thickTop="1">
      <c r="V48" s="193"/>
      <c r="W48" s="193"/>
      <c r="X48" s="193"/>
    </row>
    <row r="49" spans="22:24" ht="16.5" customHeight="1">
      <c r="V49" s="193"/>
      <c r="W49" s="193"/>
      <c r="X49" s="193"/>
    </row>
    <row r="50" spans="22:24" ht="16.5" customHeight="1">
      <c r="V50" s="193"/>
      <c r="W50" s="193"/>
      <c r="X50" s="193"/>
    </row>
    <row r="51" spans="22:24" ht="16.5" customHeight="1">
      <c r="V51" s="193"/>
      <c r="W51" s="193"/>
      <c r="X51" s="193"/>
    </row>
    <row r="52" spans="22:24" ht="16.5" customHeight="1">
      <c r="V52" s="193"/>
      <c r="W52" s="193"/>
      <c r="X52" s="193"/>
    </row>
    <row r="53" spans="4:24" ht="16.5" customHeight="1"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</row>
    <row r="54" spans="4:24" ht="16.5" customHeight="1"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</row>
    <row r="55" spans="4:24" ht="16.5" customHeight="1"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</row>
    <row r="56" spans="4:24" ht="16.5" customHeight="1"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</row>
    <row r="57" spans="4:24" ht="16.5" customHeight="1"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</row>
    <row r="58" spans="4:24" ht="16.5" customHeight="1"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</row>
    <row r="59" spans="4:24" ht="16.5" customHeight="1"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</row>
    <row r="60" spans="4:24" ht="16.5" customHeight="1"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</row>
    <row r="61" spans="4:24" ht="16.5" customHeight="1"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</row>
    <row r="62" spans="4:24" ht="16.5" customHeight="1"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</row>
    <row r="63" spans="4:24" ht="16.5" customHeight="1"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</row>
    <row r="64" spans="4:24" ht="16.5" customHeight="1"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</row>
    <row r="65" spans="4:24" ht="16.5" customHeight="1"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</row>
    <row r="66" spans="4:24" ht="16.5" customHeight="1"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</row>
    <row r="67" spans="4:24" ht="16.5" customHeight="1"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4:24" ht="16.5" customHeight="1"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</row>
    <row r="69" spans="4:24" ht="16.5" customHeight="1"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</row>
    <row r="70" spans="4:24" ht="16.5" customHeight="1"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</row>
    <row r="71" spans="4:24" ht="16.5" customHeight="1"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</row>
    <row r="72" spans="4:24" ht="16.5" customHeight="1"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</row>
    <row r="73" spans="4:24" ht="16.5" customHeight="1"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</row>
    <row r="74" spans="4:24" ht="16.5" customHeight="1"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</row>
    <row r="75" spans="4:24" ht="16.5" customHeight="1"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</row>
    <row r="76" spans="4:24" ht="16.5" customHeight="1"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</row>
    <row r="77" spans="4:24" ht="16.5" customHeight="1"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</row>
    <row r="78" spans="4:24" ht="16.5" customHeight="1"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</row>
    <row r="79" spans="4:24" ht="16.5" customHeight="1"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</row>
    <row r="80" spans="4:24" ht="16.5" customHeight="1"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</row>
    <row r="81" spans="4:24" ht="16.5" customHeight="1"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</row>
    <row r="82" spans="4:24" ht="16.5" customHeight="1"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</row>
    <row r="83" spans="4:24" ht="16.5" customHeight="1"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</row>
    <row r="84" spans="4:24" ht="16.5" customHeight="1"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</row>
    <row r="85" spans="4:24" ht="16.5" customHeight="1"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</row>
    <row r="86" spans="4:24" ht="16.5" customHeight="1"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</row>
    <row r="87" spans="4:24" ht="16.5" customHeight="1"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</row>
    <row r="88" spans="4:24" ht="16.5" customHeight="1"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</row>
    <row r="89" spans="4:24" ht="16.5" customHeight="1"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</row>
    <row r="90" spans="4:24" ht="16.5" customHeight="1"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</row>
    <row r="91" spans="4:24" ht="16.5" customHeight="1"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</row>
    <row r="92" spans="4:24" ht="16.5" customHeight="1"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</row>
    <row r="93" spans="4:24" ht="16.5" customHeight="1"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</row>
    <row r="94" spans="4:24" ht="16.5" customHeight="1"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</row>
    <row r="95" spans="4:24" ht="16.5" customHeight="1"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</row>
    <row r="96" spans="4:24" ht="16.5" customHeight="1"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</row>
    <row r="97" spans="4:24" ht="16.5" customHeight="1"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</row>
    <row r="98" spans="4:24" ht="16.5" customHeight="1"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</row>
    <row r="99" spans="4:24" ht="16.5" customHeight="1"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</row>
    <row r="100" spans="4:24" ht="16.5" customHeight="1"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</row>
    <row r="101" spans="4:24" ht="16.5" customHeight="1"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</row>
    <row r="102" spans="4:24" ht="16.5" customHeight="1"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</row>
    <row r="103" spans="4:24" ht="16.5" customHeight="1"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</row>
    <row r="104" spans="4:24" ht="16.5" customHeight="1"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</row>
    <row r="105" spans="4:24" ht="16.5" customHeight="1"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</row>
    <row r="106" spans="4:24" ht="16.5" customHeight="1"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</row>
    <row r="107" spans="4:24" ht="16.5" customHeight="1"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</row>
    <row r="108" spans="4:24" ht="16.5" customHeight="1"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</row>
    <row r="109" spans="4:24" ht="16.5" customHeight="1"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</row>
    <row r="110" spans="4:24" ht="16.5" customHeight="1"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</row>
    <row r="111" spans="4:24" ht="16.5" customHeight="1"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</row>
    <row r="112" spans="4:24" ht="16.5" customHeight="1"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</row>
    <row r="113" spans="4:24" ht="16.5" customHeight="1"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</row>
    <row r="114" spans="4:24" ht="16.5" customHeight="1"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</row>
    <row r="115" spans="4:24" ht="16.5" customHeight="1"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</row>
    <row r="116" spans="4:24" ht="16.5" customHeight="1"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</row>
    <row r="117" spans="4:24" ht="16.5" customHeight="1"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</row>
    <row r="118" spans="4:24" ht="16.5" customHeight="1"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</row>
    <row r="119" spans="4:24" ht="16.5" customHeight="1"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</row>
    <row r="120" spans="4:24" ht="16.5" customHeight="1"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</row>
    <row r="121" spans="4:24" ht="16.5" customHeight="1"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</row>
    <row r="122" spans="4:24" ht="16.5" customHeight="1"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</row>
    <row r="123" spans="4:24" ht="16.5" customHeight="1"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</row>
    <row r="124" spans="4:24" ht="16.5" customHeight="1"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</row>
    <row r="125" spans="4:24" ht="16.5" customHeight="1"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</row>
    <row r="126" spans="4:24" ht="16.5" customHeight="1"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</row>
    <row r="127" spans="4:24" ht="16.5" customHeight="1"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</row>
    <row r="128" spans="4:24" ht="16.5" customHeight="1"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</row>
    <row r="129" spans="4:24" ht="16.5" customHeight="1"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</row>
    <row r="130" spans="4:24" ht="16.5" customHeight="1"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</row>
    <row r="131" spans="4:24" ht="16.5" customHeight="1"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</row>
    <row r="132" spans="4:24" ht="16.5" customHeight="1"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</row>
    <row r="133" spans="4:24" ht="16.5" customHeight="1"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</row>
    <row r="134" spans="4:24" ht="16.5" customHeight="1"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</row>
    <row r="135" spans="4:24" ht="16.5" customHeight="1"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</row>
    <row r="136" spans="4:24" ht="16.5" customHeight="1"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</row>
    <row r="137" spans="4:24" ht="16.5" customHeight="1"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</row>
    <row r="138" spans="4:24" ht="16.5" customHeight="1"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</row>
    <row r="139" spans="4:24" ht="16.5" customHeight="1"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</row>
    <row r="140" spans="4:24" ht="16.5" customHeight="1"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</row>
    <row r="141" spans="4:24" ht="16.5" customHeight="1"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</row>
    <row r="142" spans="4:24" ht="16.5" customHeight="1"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</row>
    <row r="143" spans="4:24" ht="16.5" customHeight="1"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</row>
    <row r="144" spans="4:24" ht="16.5" customHeight="1"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</row>
    <row r="145" spans="4:24" ht="16.5" customHeight="1"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</row>
    <row r="146" spans="4:24" ht="16.5" customHeight="1"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</row>
    <row r="147" spans="4:24" ht="16.5" customHeight="1"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</row>
    <row r="148" spans="4:24" ht="16.5" customHeight="1"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</row>
    <row r="149" spans="4:24" ht="16.5" customHeight="1"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</row>
    <row r="150" spans="4:24" ht="16.5" customHeight="1"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</row>
    <row r="151" spans="4:24" ht="16.5" customHeight="1"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</row>
    <row r="152" spans="4:24" ht="16.5" customHeight="1"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</row>
    <row r="153" spans="4:24" ht="16.5" customHeight="1"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</row>
    <row r="154" spans="4:24" ht="16.5" customHeight="1"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</row>
    <row r="155" spans="4:24" ht="16.5" customHeight="1"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</row>
    <row r="156" spans="4:24" ht="16.5" customHeight="1"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</row>
    <row r="157" spans="4:24" ht="16.5" customHeight="1"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</row>
    <row r="158" spans="4:24" ht="16.5" customHeight="1"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</row>
    <row r="159" spans="4:24" ht="16.5" customHeight="1"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</row>
    <row r="160" spans="4:24" ht="16.5" customHeight="1"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X160"/>
  <sheetViews>
    <sheetView zoomScale="75" zoomScaleNormal="75" workbookViewId="0" topLeftCell="D12">
      <selection activeCell="U24" sqref="U24:U40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2" width="15.7109375" style="0" customWidth="1"/>
  </cols>
  <sheetData>
    <row r="1" s="19" customFormat="1" ht="26.25">
      <c r="V1" s="158"/>
    </row>
    <row r="2" spans="1:22" s="19" customFormat="1" ht="26.25">
      <c r="A2" s="92"/>
      <c r="B2" s="20" t="str">
        <f>+'TOT-0907'!B2</f>
        <v>ANEXO IV al Memorandum D.T.E.E. N°  1955 /2009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="5" customFormat="1" ht="12.75">
      <c r="A3" s="91"/>
    </row>
    <row r="4" spans="1:2" s="26" customFormat="1" ht="11.25">
      <c r="A4" s="24" t="s">
        <v>2</v>
      </c>
      <c r="B4" s="128"/>
    </row>
    <row r="5" spans="1:2" s="26" customFormat="1" ht="11.25">
      <c r="A5" s="24" t="s">
        <v>3</v>
      </c>
      <c r="B5" s="128"/>
    </row>
    <row r="6" s="5" customFormat="1" ht="13.5" thickBot="1"/>
    <row r="7" spans="2:22" s="5" customFormat="1" ht="13.5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2"/>
    </row>
    <row r="8" spans="2:22" s="30" customFormat="1" ht="20.25">
      <c r="B8" s="80"/>
      <c r="C8" s="31"/>
      <c r="D8" s="12" t="s">
        <v>61</v>
      </c>
      <c r="L8" s="108"/>
      <c r="M8" s="108"/>
      <c r="N8" s="97"/>
      <c r="O8" s="31"/>
      <c r="P8" s="31"/>
      <c r="Q8" s="31"/>
      <c r="R8" s="31"/>
      <c r="S8" s="31"/>
      <c r="T8" s="31"/>
      <c r="U8" s="31"/>
      <c r="V8" s="81"/>
    </row>
    <row r="9" spans="2:22" s="5" customFormat="1" ht="12.75">
      <c r="B9" s="51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4"/>
      <c r="V9" s="6"/>
    </row>
    <row r="10" spans="2:22" s="30" customFormat="1" ht="20.25">
      <c r="B10" s="80"/>
      <c r="C10" s="31"/>
      <c r="D10" s="116" t="s">
        <v>84</v>
      </c>
      <c r="E10" s="525"/>
      <c r="F10" s="108"/>
      <c r="G10" s="111"/>
      <c r="I10" s="111"/>
      <c r="J10" s="111"/>
      <c r="K10" s="111"/>
      <c r="L10" s="111"/>
      <c r="M10" s="111"/>
      <c r="N10" s="111"/>
      <c r="O10" s="31"/>
      <c r="P10" s="31"/>
      <c r="Q10" s="31"/>
      <c r="R10" s="31"/>
      <c r="S10" s="31"/>
      <c r="T10" s="31"/>
      <c r="U10" s="31"/>
      <c r="V10" s="81"/>
    </row>
    <row r="11" spans="2:22" s="5" customFormat="1" ht="13.5">
      <c r="B11" s="51"/>
      <c r="C11" s="4"/>
      <c r="D11" s="526"/>
      <c r="E11" s="526"/>
      <c r="F11" s="91"/>
      <c r="G11" s="98"/>
      <c r="H11" s="53"/>
      <c r="I11" s="98"/>
      <c r="J11" s="98"/>
      <c r="K11" s="98"/>
      <c r="L11" s="98"/>
      <c r="M11" s="98"/>
      <c r="N11" s="98"/>
      <c r="O11" s="4"/>
      <c r="P11" s="4"/>
      <c r="Q11" s="4"/>
      <c r="R11" s="4"/>
      <c r="S11" s="4"/>
      <c r="T11" s="4"/>
      <c r="U11" s="4"/>
      <c r="V11" s="6"/>
    </row>
    <row r="12" spans="2:22" s="30" customFormat="1" ht="20.25">
      <c r="B12" s="80"/>
      <c r="C12" s="31"/>
      <c r="D12" s="116" t="s">
        <v>85</v>
      </c>
      <c r="E12" s="525"/>
      <c r="F12" s="108"/>
      <c r="G12" s="111"/>
      <c r="I12" s="111"/>
      <c r="J12" s="111"/>
      <c r="K12" s="111"/>
      <c r="L12" s="111"/>
      <c r="M12" s="111"/>
      <c r="N12" s="111"/>
      <c r="O12" s="31"/>
      <c r="P12" s="31"/>
      <c r="Q12" s="31"/>
      <c r="R12" s="31"/>
      <c r="S12" s="31"/>
      <c r="T12" s="31"/>
      <c r="U12" s="31"/>
      <c r="V12" s="81"/>
    </row>
    <row r="13" spans="2:22" s="5" customFormat="1" ht="13.5">
      <c r="B13" s="51"/>
      <c r="C13" s="4"/>
      <c r="D13" s="526"/>
      <c r="E13" s="526"/>
      <c r="F13" s="91"/>
      <c r="G13" s="98"/>
      <c r="H13" s="53"/>
      <c r="I13" s="98"/>
      <c r="J13" s="98"/>
      <c r="K13" s="98"/>
      <c r="L13" s="98"/>
      <c r="M13" s="98"/>
      <c r="N13" s="98"/>
      <c r="O13" s="4"/>
      <c r="P13" s="4"/>
      <c r="Q13" s="4"/>
      <c r="R13" s="4"/>
      <c r="S13" s="4"/>
      <c r="T13" s="4"/>
      <c r="U13" s="4"/>
      <c r="V13" s="6"/>
    </row>
    <row r="14" spans="2:22" s="5" customFormat="1" ht="19.5">
      <c r="B14" s="38" t="str">
        <f>'TOT-0907'!B14</f>
        <v>Desde el 01 al 30 de septiembre de 2007</v>
      </c>
      <c r="C14" s="41"/>
      <c r="D14" s="41"/>
      <c r="E14" s="41"/>
      <c r="F14" s="41"/>
      <c r="G14" s="527"/>
      <c r="H14" s="527"/>
      <c r="I14" s="527"/>
      <c r="J14" s="527"/>
      <c r="K14" s="527"/>
      <c r="L14" s="527"/>
      <c r="M14" s="527"/>
      <c r="N14" s="527"/>
      <c r="O14" s="41"/>
      <c r="P14" s="41"/>
      <c r="Q14" s="41"/>
      <c r="R14" s="41"/>
      <c r="S14" s="41"/>
      <c r="T14" s="41"/>
      <c r="U14" s="41"/>
      <c r="V14" s="528"/>
    </row>
    <row r="15" spans="2:22" s="5" customFormat="1" ht="14.25" thickBot="1">
      <c r="B15" s="529"/>
      <c r="C15" s="530"/>
      <c r="D15" s="530"/>
      <c r="E15" s="530"/>
      <c r="F15" s="530"/>
      <c r="G15" s="531"/>
      <c r="H15" s="531"/>
      <c r="I15" s="531"/>
      <c r="J15" s="531"/>
      <c r="K15" s="531"/>
      <c r="L15" s="531"/>
      <c r="M15" s="531"/>
      <c r="N15" s="531"/>
      <c r="O15" s="530"/>
      <c r="P15" s="530"/>
      <c r="Q15" s="530"/>
      <c r="R15" s="530"/>
      <c r="S15" s="530"/>
      <c r="T15" s="530"/>
      <c r="U15" s="530"/>
      <c r="V15" s="532"/>
    </row>
    <row r="16" spans="2:22" s="5" customFormat="1" ht="15" thickBot="1" thickTop="1">
      <c r="B16" s="51"/>
      <c r="C16" s="4"/>
      <c r="D16" s="533"/>
      <c r="E16" s="533"/>
      <c r="F16" s="121" t="s">
        <v>86</v>
      </c>
      <c r="G16" s="4"/>
      <c r="H16" s="5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</row>
    <row r="17" spans="2:22" s="5" customFormat="1" ht="16.5" customHeight="1" thickBot="1" thickTop="1">
      <c r="B17" s="51"/>
      <c r="C17" s="4"/>
      <c r="D17" s="534" t="s">
        <v>87</v>
      </c>
      <c r="E17" s="535">
        <v>49.065</v>
      </c>
      <c r="F17" s="536">
        <v>200</v>
      </c>
      <c r="T17" s="118"/>
      <c r="U17" s="118"/>
      <c r="V17" s="6"/>
    </row>
    <row r="18" spans="2:22" s="5" customFormat="1" ht="16.5" customHeight="1" thickBot="1" thickTop="1">
      <c r="B18" s="51"/>
      <c r="C18" s="4"/>
      <c r="D18" s="537" t="s">
        <v>88</v>
      </c>
      <c r="E18" s="538">
        <v>44.156</v>
      </c>
      <c r="F18" s="536">
        <v>100</v>
      </c>
      <c r="M18" s="4"/>
      <c r="N18" s="4"/>
      <c r="O18" s="4"/>
      <c r="P18" s="4"/>
      <c r="Q18" s="4"/>
      <c r="R18" s="4"/>
      <c r="S18" s="4"/>
      <c r="T18" s="4"/>
      <c r="U18" s="4"/>
      <c r="V18" s="6"/>
    </row>
    <row r="19" spans="2:22" s="5" customFormat="1" ht="16.5" customHeight="1" thickBot="1" thickTop="1">
      <c r="B19" s="51"/>
      <c r="C19" s="4"/>
      <c r="D19" s="539" t="s">
        <v>89</v>
      </c>
      <c r="E19" s="538">
        <v>39.254</v>
      </c>
      <c r="F19" s="536">
        <v>40</v>
      </c>
      <c r="I19" s="273"/>
      <c r="J19" s="274"/>
      <c r="K19" s="4"/>
      <c r="M19" s="4"/>
      <c r="O19" s="4"/>
      <c r="P19" s="4"/>
      <c r="Q19" s="4"/>
      <c r="R19" s="4"/>
      <c r="S19" s="4"/>
      <c r="T19" s="4"/>
      <c r="U19" s="4"/>
      <c r="V19" s="6"/>
    </row>
    <row r="20" spans="2:22" s="5" customFormat="1" ht="16.5" customHeight="1" thickBot="1" thickTop="1">
      <c r="B20" s="51"/>
      <c r="C20" s="540"/>
      <c r="D20" s="541"/>
      <c r="E20" s="541"/>
      <c r="F20" s="542"/>
      <c r="G20" s="543"/>
      <c r="H20" s="543"/>
      <c r="I20" s="543"/>
      <c r="J20" s="543"/>
      <c r="K20" s="543"/>
      <c r="L20" s="543"/>
      <c r="M20" s="543"/>
      <c r="N20" s="544"/>
      <c r="O20" s="545"/>
      <c r="P20" s="546"/>
      <c r="Q20" s="546"/>
      <c r="R20" s="546"/>
      <c r="S20" s="547"/>
      <c r="T20" s="548"/>
      <c r="U20" s="1148"/>
      <c r="V20" s="6"/>
    </row>
    <row r="21" spans="2:22" s="5" customFormat="1" ht="33.75" customHeight="1" thickBot="1" thickTop="1">
      <c r="B21" s="51"/>
      <c r="C21" s="85" t="s">
        <v>13</v>
      </c>
      <c r="D21" s="87" t="s">
        <v>28</v>
      </c>
      <c r="E21" s="549" t="s">
        <v>29</v>
      </c>
      <c r="F21" s="550" t="s">
        <v>14</v>
      </c>
      <c r="G21" s="139" t="s">
        <v>16</v>
      </c>
      <c r="H21" s="86" t="s">
        <v>17</v>
      </c>
      <c r="I21" s="549" t="s">
        <v>18</v>
      </c>
      <c r="J21" s="551" t="s">
        <v>37</v>
      </c>
      <c r="K21" s="551" t="s">
        <v>32</v>
      </c>
      <c r="L21" s="89" t="s">
        <v>19</v>
      </c>
      <c r="M21" s="209" t="s">
        <v>33</v>
      </c>
      <c r="N21" s="147" t="s">
        <v>38</v>
      </c>
      <c r="O21" s="552" t="s">
        <v>63</v>
      </c>
      <c r="P21" s="214" t="s">
        <v>36</v>
      </c>
      <c r="Q21" s="553"/>
      <c r="R21" s="146" t="s">
        <v>22</v>
      </c>
      <c r="S21" s="144" t="s">
        <v>76</v>
      </c>
      <c r="T21" s="125" t="s">
        <v>24</v>
      </c>
      <c r="U21" s="125" t="s">
        <v>319</v>
      </c>
      <c r="V21" s="6"/>
    </row>
    <row r="22" spans="2:22" s="5" customFormat="1" ht="16.5" customHeight="1" thickTop="1">
      <c r="B22" s="51"/>
      <c r="C22" s="7"/>
      <c r="D22" s="554"/>
      <c r="E22" s="554"/>
      <c r="F22" s="554"/>
      <c r="G22" s="319"/>
      <c r="H22" s="554"/>
      <c r="I22" s="554"/>
      <c r="J22" s="554"/>
      <c r="K22" s="554"/>
      <c r="L22" s="554"/>
      <c r="M22" s="554"/>
      <c r="N22" s="555"/>
      <c r="O22" s="556"/>
      <c r="P22" s="557"/>
      <c r="Q22" s="558"/>
      <c r="R22" s="559"/>
      <c r="S22" s="554"/>
      <c r="T22" s="560">
        <f>'SA-09 (1)'!T45</f>
        <v>37307.27</v>
      </c>
      <c r="U22" s="560">
        <f>'SA-09 (1)'!U45</f>
        <v>24120.46079000059</v>
      </c>
      <c r="V22" s="6"/>
    </row>
    <row r="23" spans="2:22" s="5" customFormat="1" ht="16.5" customHeight="1">
      <c r="B23" s="51"/>
      <c r="C23" s="408"/>
      <c r="D23" s="561"/>
      <c r="E23" s="561"/>
      <c r="F23" s="561"/>
      <c r="G23" s="562"/>
      <c r="H23" s="561"/>
      <c r="I23" s="561"/>
      <c r="J23" s="561"/>
      <c r="K23" s="561"/>
      <c r="L23" s="561"/>
      <c r="M23" s="561"/>
      <c r="N23" s="563"/>
      <c r="O23" s="564"/>
      <c r="P23" s="237"/>
      <c r="Q23" s="565"/>
      <c r="R23" s="566"/>
      <c r="S23" s="561"/>
      <c r="T23" s="567"/>
      <c r="U23" s="567"/>
      <c r="V23" s="6"/>
    </row>
    <row r="24" spans="2:23" s="5" customFormat="1" ht="16.5" customHeight="1">
      <c r="B24" s="51"/>
      <c r="C24" s="171">
        <v>47</v>
      </c>
      <c r="D24" s="568" t="s">
        <v>231</v>
      </c>
      <c r="E24" s="568" t="s">
        <v>232</v>
      </c>
      <c r="F24" s="569">
        <v>132</v>
      </c>
      <c r="G24" s="140">
        <f aca="true" t="shared" si="0" ref="G24:G43">IF(F24=500,$E$17,IF(F24=220,$E$18,$E$19))</f>
        <v>39.254</v>
      </c>
      <c r="H24" s="570">
        <v>39344.34583333333</v>
      </c>
      <c r="I24" s="166">
        <v>39344.65</v>
      </c>
      <c r="J24" s="571">
        <f aca="true" t="shared" si="1" ref="J24:J43">IF(D24="","",(I24-H24)*24)</f>
        <v>7.300000000046566</v>
      </c>
      <c r="K24" s="572">
        <f aca="true" t="shared" si="2" ref="K24:K43">IF(D24="","",ROUND((I24-H24)*24*60,0))</f>
        <v>438</v>
      </c>
      <c r="L24" s="322" t="s">
        <v>182</v>
      </c>
      <c r="M24" s="168" t="str">
        <f aca="true" t="shared" si="3" ref="M24:M43">IF(D24="","",IF(L24="P","--","NO"))</f>
        <v>--</v>
      </c>
      <c r="N24" s="573">
        <f aca="true" t="shared" si="4" ref="N24:N43">IF(F24=500,$F$17,IF(F24=220,$F$18,$F$19))</f>
        <v>40</v>
      </c>
      <c r="O24" s="574">
        <f aca="true" t="shared" si="5" ref="O24:O43">IF(L24="P",G24*N24*ROUND(K24/60,2)*0.1,"--")</f>
        <v>1146.2168</v>
      </c>
      <c r="P24" s="575" t="str">
        <f aca="true" t="shared" si="6" ref="P24:P43">IF(AND(L24="F",M24="NO"),G24*N24,"--")</f>
        <v>--</v>
      </c>
      <c r="Q24" s="576" t="str">
        <f aca="true" t="shared" si="7" ref="Q24:Q43">IF(L24="F",G24*N24*ROUND(K24/60,2),"--")</f>
        <v>--</v>
      </c>
      <c r="R24" s="176" t="str">
        <f aca="true" t="shared" si="8" ref="R24:R43">IF(L24="RF",G24*N24*ROUND(K24/60,2),"--")</f>
        <v>--</v>
      </c>
      <c r="S24" s="168" t="str">
        <f aca="true" t="shared" si="9" ref="S24:S43">IF(D24="","","SI")</f>
        <v>SI</v>
      </c>
      <c r="T24" s="577">
        <v>0</v>
      </c>
      <c r="U24" s="577">
        <f>T24*(1-$W$24)</f>
        <v>0</v>
      </c>
      <c r="V24" s="6"/>
      <c r="W24" s="1145">
        <v>0.353464897</v>
      </c>
    </row>
    <row r="25" spans="2:22" s="5" customFormat="1" ht="16.5" customHeight="1">
      <c r="B25" s="51"/>
      <c r="C25" s="408">
        <v>48</v>
      </c>
      <c r="D25" s="568" t="s">
        <v>210</v>
      </c>
      <c r="E25" s="568" t="s">
        <v>211</v>
      </c>
      <c r="F25" s="569">
        <v>132</v>
      </c>
      <c r="G25" s="140">
        <f t="shared" si="0"/>
        <v>39.254</v>
      </c>
      <c r="H25" s="570">
        <v>39344.381944444445</v>
      </c>
      <c r="I25" s="166">
        <v>39344.711805555555</v>
      </c>
      <c r="J25" s="571">
        <f t="shared" si="1"/>
        <v>7.916666666627862</v>
      </c>
      <c r="K25" s="572">
        <f t="shared" si="2"/>
        <v>475</v>
      </c>
      <c r="L25" s="322" t="s">
        <v>182</v>
      </c>
      <c r="M25" s="168" t="str">
        <f t="shared" si="3"/>
        <v>--</v>
      </c>
      <c r="N25" s="573">
        <f t="shared" si="4"/>
        <v>40</v>
      </c>
      <c r="O25" s="574">
        <f t="shared" si="5"/>
        <v>1243.5667199999998</v>
      </c>
      <c r="P25" s="575" t="str">
        <f t="shared" si="6"/>
        <v>--</v>
      </c>
      <c r="Q25" s="576" t="str">
        <f t="shared" si="7"/>
        <v>--</v>
      </c>
      <c r="R25" s="176" t="str">
        <f t="shared" si="8"/>
        <v>--</v>
      </c>
      <c r="S25" s="168" t="str">
        <f t="shared" si="9"/>
        <v>SI</v>
      </c>
      <c r="T25" s="577">
        <f aca="true" t="shared" si="10" ref="T25:T43">IF(D25="","",SUM(O25:R25)*IF(S25="SI",1,2))</f>
        <v>1243.5667199999998</v>
      </c>
      <c r="U25" s="577">
        <f aca="true" t="shared" si="11" ref="U25:U40">T25*(1-$W$24)</f>
        <v>804.0095374025719</v>
      </c>
      <c r="V25" s="6"/>
    </row>
    <row r="26" spans="2:22" s="5" customFormat="1" ht="16.5" customHeight="1">
      <c r="B26" s="51"/>
      <c r="C26" s="408">
        <v>49</v>
      </c>
      <c r="D26" s="568" t="s">
        <v>210</v>
      </c>
      <c r="E26" s="568" t="s">
        <v>226</v>
      </c>
      <c r="F26" s="569">
        <v>132</v>
      </c>
      <c r="G26" s="140">
        <f t="shared" si="0"/>
        <v>39.254</v>
      </c>
      <c r="H26" s="570">
        <v>39345.356944444444</v>
      </c>
      <c r="I26" s="166">
        <v>39345.73263888889</v>
      </c>
      <c r="J26" s="571">
        <f t="shared" si="1"/>
        <v>9.016666666720994</v>
      </c>
      <c r="K26" s="572">
        <f t="shared" si="2"/>
        <v>541</v>
      </c>
      <c r="L26" s="322" t="s">
        <v>182</v>
      </c>
      <c r="M26" s="168" t="str">
        <f t="shared" si="3"/>
        <v>--</v>
      </c>
      <c r="N26" s="573">
        <f t="shared" si="4"/>
        <v>40</v>
      </c>
      <c r="O26" s="574">
        <f t="shared" si="5"/>
        <v>1416.2843199999998</v>
      </c>
      <c r="P26" s="575" t="str">
        <f t="shared" si="6"/>
        <v>--</v>
      </c>
      <c r="Q26" s="576" t="str">
        <f t="shared" si="7"/>
        <v>--</v>
      </c>
      <c r="R26" s="176" t="str">
        <f t="shared" si="8"/>
        <v>--</v>
      </c>
      <c r="S26" s="168" t="str">
        <f t="shared" si="9"/>
        <v>SI</v>
      </c>
      <c r="T26" s="577">
        <f t="shared" si="10"/>
        <v>1416.2843199999998</v>
      </c>
      <c r="U26" s="577">
        <f t="shared" si="11"/>
        <v>915.6775287084847</v>
      </c>
      <c r="V26" s="6"/>
    </row>
    <row r="27" spans="2:22" s="5" customFormat="1" ht="16.5" customHeight="1">
      <c r="B27" s="51"/>
      <c r="C27" s="408">
        <v>50</v>
      </c>
      <c r="D27" s="568" t="s">
        <v>234</v>
      </c>
      <c r="E27" s="568" t="s">
        <v>235</v>
      </c>
      <c r="F27" s="569">
        <v>132</v>
      </c>
      <c r="G27" s="140">
        <f t="shared" si="0"/>
        <v>39.254</v>
      </c>
      <c r="H27" s="570">
        <v>39345.36041666667</v>
      </c>
      <c r="I27" s="166">
        <v>39345.66875</v>
      </c>
      <c r="J27" s="571">
        <f t="shared" si="1"/>
        <v>7.39999999984866</v>
      </c>
      <c r="K27" s="572">
        <f t="shared" si="2"/>
        <v>444</v>
      </c>
      <c r="L27" s="322" t="s">
        <v>182</v>
      </c>
      <c r="M27" s="168" t="str">
        <f t="shared" si="3"/>
        <v>--</v>
      </c>
      <c r="N27" s="573">
        <f t="shared" si="4"/>
        <v>40</v>
      </c>
      <c r="O27" s="574">
        <f t="shared" si="5"/>
        <v>1161.9184</v>
      </c>
      <c r="P27" s="575" t="str">
        <f t="shared" si="6"/>
        <v>--</v>
      </c>
      <c r="Q27" s="576" t="str">
        <f t="shared" si="7"/>
        <v>--</v>
      </c>
      <c r="R27" s="176" t="str">
        <f t="shared" si="8"/>
        <v>--</v>
      </c>
      <c r="S27" s="168" t="str">
        <f t="shared" si="9"/>
        <v>SI</v>
      </c>
      <c r="T27" s="577">
        <f t="shared" si="10"/>
        <v>1161.9184</v>
      </c>
      <c r="U27" s="577">
        <f t="shared" si="11"/>
        <v>751.2210324215952</v>
      </c>
      <c r="V27" s="6"/>
    </row>
    <row r="28" spans="2:22" s="5" customFormat="1" ht="16.5" customHeight="1">
      <c r="B28" s="51"/>
      <c r="C28" s="408">
        <v>51</v>
      </c>
      <c r="D28" s="568" t="s">
        <v>218</v>
      </c>
      <c r="E28" s="568" t="s">
        <v>219</v>
      </c>
      <c r="F28" s="569">
        <v>500</v>
      </c>
      <c r="G28" s="140">
        <f t="shared" si="0"/>
        <v>49.065</v>
      </c>
      <c r="H28" s="570">
        <v>39347.39097222222</v>
      </c>
      <c r="I28" s="166">
        <v>39347.63263888889</v>
      </c>
      <c r="J28" s="571">
        <f t="shared" si="1"/>
        <v>5.800000000046566</v>
      </c>
      <c r="K28" s="572">
        <f t="shared" si="2"/>
        <v>348</v>
      </c>
      <c r="L28" s="322" t="s">
        <v>182</v>
      </c>
      <c r="M28" s="168" t="str">
        <f t="shared" si="3"/>
        <v>--</v>
      </c>
      <c r="N28" s="573">
        <f t="shared" si="4"/>
        <v>200</v>
      </c>
      <c r="O28" s="574">
        <f t="shared" si="5"/>
        <v>5691.540000000001</v>
      </c>
      <c r="P28" s="575" t="str">
        <f t="shared" si="6"/>
        <v>--</v>
      </c>
      <c r="Q28" s="576" t="str">
        <f t="shared" si="7"/>
        <v>--</v>
      </c>
      <c r="R28" s="176" t="str">
        <f t="shared" si="8"/>
        <v>--</v>
      </c>
      <c r="S28" s="168" t="str">
        <f t="shared" si="9"/>
        <v>SI</v>
      </c>
      <c r="T28" s="577">
        <v>0</v>
      </c>
      <c r="U28" s="577">
        <f t="shared" si="11"/>
        <v>0</v>
      </c>
      <c r="V28" s="6"/>
    </row>
    <row r="29" spans="2:22" s="5" customFormat="1" ht="16.5" customHeight="1">
      <c r="B29" s="51"/>
      <c r="C29" s="408">
        <v>52</v>
      </c>
      <c r="D29" s="568" t="s">
        <v>231</v>
      </c>
      <c r="E29" s="568" t="s">
        <v>236</v>
      </c>
      <c r="F29" s="569">
        <v>132</v>
      </c>
      <c r="G29" s="140">
        <f t="shared" si="0"/>
        <v>39.254</v>
      </c>
      <c r="H29" s="570">
        <v>39348.279861111114</v>
      </c>
      <c r="I29" s="166">
        <v>39348.37708333333</v>
      </c>
      <c r="J29" s="571">
        <f t="shared" si="1"/>
        <v>2.333333333255723</v>
      </c>
      <c r="K29" s="572">
        <f t="shared" si="2"/>
        <v>140</v>
      </c>
      <c r="L29" s="322" t="s">
        <v>182</v>
      </c>
      <c r="M29" s="168" t="str">
        <f t="shared" si="3"/>
        <v>--</v>
      </c>
      <c r="N29" s="573">
        <f t="shared" si="4"/>
        <v>40</v>
      </c>
      <c r="O29" s="574">
        <f t="shared" si="5"/>
        <v>365.84727999999996</v>
      </c>
      <c r="P29" s="575" t="str">
        <f t="shared" si="6"/>
        <v>--</v>
      </c>
      <c r="Q29" s="576" t="str">
        <f t="shared" si="7"/>
        <v>--</v>
      </c>
      <c r="R29" s="176" t="str">
        <f t="shared" si="8"/>
        <v>--</v>
      </c>
      <c r="S29" s="168" t="str">
        <f t="shared" si="9"/>
        <v>SI</v>
      </c>
      <c r="T29" s="577">
        <f t="shared" si="10"/>
        <v>365.84727999999996</v>
      </c>
      <c r="U29" s="577">
        <f t="shared" si="11"/>
        <v>236.53310885706978</v>
      </c>
      <c r="V29" s="6"/>
    </row>
    <row r="30" spans="2:22" s="5" customFormat="1" ht="16.5" customHeight="1">
      <c r="B30" s="51"/>
      <c r="C30" s="408">
        <v>53</v>
      </c>
      <c r="D30" s="568" t="s">
        <v>216</v>
      </c>
      <c r="E30" s="568" t="s">
        <v>225</v>
      </c>
      <c r="F30" s="569">
        <v>132</v>
      </c>
      <c r="G30" s="140">
        <f t="shared" si="0"/>
        <v>39.254</v>
      </c>
      <c r="H30" s="570">
        <v>39348.30972222222</v>
      </c>
      <c r="I30" s="166">
        <v>39348.51597222222</v>
      </c>
      <c r="J30" s="571">
        <f t="shared" si="1"/>
        <v>4.950000000069849</v>
      </c>
      <c r="K30" s="572">
        <f t="shared" si="2"/>
        <v>297</v>
      </c>
      <c r="L30" s="322" t="s">
        <v>182</v>
      </c>
      <c r="M30" s="168" t="str">
        <f t="shared" si="3"/>
        <v>--</v>
      </c>
      <c r="N30" s="573">
        <f t="shared" si="4"/>
        <v>40</v>
      </c>
      <c r="O30" s="574">
        <f t="shared" si="5"/>
        <v>777.2292</v>
      </c>
      <c r="P30" s="575" t="str">
        <f t="shared" si="6"/>
        <v>--</v>
      </c>
      <c r="Q30" s="576" t="str">
        <f t="shared" si="7"/>
        <v>--</v>
      </c>
      <c r="R30" s="176" t="str">
        <f t="shared" si="8"/>
        <v>--</v>
      </c>
      <c r="S30" s="168" t="str">
        <f t="shared" si="9"/>
        <v>SI</v>
      </c>
      <c r="T30" s="577">
        <f t="shared" si="10"/>
        <v>777.2292</v>
      </c>
      <c r="U30" s="577">
        <f t="shared" si="11"/>
        <v>502.50596087660756</v>
      </c>
      <c r="V30" s="6"/>
    </row>
    <row r="31" spans="2:22" s="5" customFormat="1" ht="16.5" customHeight="1">
      <c r="B31" s="51"/>
      <c r="C31" s="408">
        <v>54</v>
      </c>
      <c r="D31" s="568" t="s">
        <v>214</v>
      </c>
      <c r="E31" s="568" t="s">
        <v>237</v>
      </c>
      <c r="F31" s="569">
        <v>132</v>
      </c>
      <c r="G31" s="140">
        <f t="shared" si="0"/>
        <v>39.254</v>
      </c>
      <c r="H31" s="570">
        <v>39348.34166666667</v>
      </c>
      <c r="I31" s="166">
        <v>39348.725</v>
      </c>
      <c r="J31" s="571">
        <f t="shared" si="1"/>
        <v>9.199999999953434</v>
      </c>
      <c r="K31" s="572">
        <f t="shared" si="2"/>
        <v>552</v>
      </c>
      <c r="L31" s="322" t="s">
        <v>182</v>
      </c>
      <c r="M31" s="168" t="str">
        <f t="shared" si="3"/>
        <v>--</v>
      </c>
      <c r="N31" s="573">
        <f t="shared" si="4"/>
        <v>40</v>
      </c>
      <c r="O31" s="574">
        <f t="shared" si="5"/>
        <v>1444.5472</v>
      </c>
      <c r="P31" s="575" t="str">
        <f t="shared" si="6"/>
        <v>--</v>
      </c>
      <c r="Q31" s="576" t="str">
        <f t="shared" si="7"/>
        <v>--</v>
      </c>
      <c r="R31" s="176" t="str">
        <f t="shared" si="8"/>
        <v>--</v>
      </c>
      <c r="S31" s="168" t="str">
        <f t="shared" si="9"/>
        <v>SI</v>
      </c>
      <c r="T31" s="577">
        <f t="shared" si="10"/>
        <v>1444.5472</v>
      </c>
      <c r="U31" s="577">
        <f t="shared" si="11"/>
        <v>933.9504727403615</v>
      </c>
      <c r="V31" s="6"/>
    </row>
    <row r="32" spans="2:22" s="5" customFormat="1" ht="16.5" customHeight="1">
      <c r="B32" s="51"/>
      <c r="C32" s="408">
        <v>55</v>
      </c>
      <c r="D32" s="568" t="s">
        <v>214</v>
      </c>
      <c r="E32" s="568" t="s">
        <v>238</v>
      </c>
      <c r="F32" s="569">
        <v>132</v>
      </c>
      <c r="G32" s="140">
        <f t="shared" si="0"/>
        <v>39.254</v>
      </c>
      <c r="H32" s="570">
        <v>39348.36736111111</v>
      </c>
      <c r="I32" s="166">
        <v>39348.66527777778</v>
      </c>
      <c r="J32" s="571">
        <f t="shared" si="1"/>
        <v>7.150000000081491</v>
      </c>
      <c r="K32" s="572">
        <f t="shared" si="2"/>
        <v>429</v>
      </c>
      <c r="L32" s="322" t="s">
        <v>182</v>
      </c>
      <c r="M32" s="168" t="str">
        <f t="shared" si="3"/>
        <v>--</v>
      </c>
      <c r="N32" s="573">
        <f t="shared" si="4"/>
        <v>40</v>
      </c>
      <c r="O32" s="574">
        <f t="shared" si="5"/>
        <v>1122.6644000000001</v>
      </c>
      <c r="P32" s="575" t="str">
        <f t="shared" si="6"/>
        <v>--</v>
      </c>
      <c r="Q32" s="576" t="str">
        <f t="shared" si="7"/>
        <v>--</v>
      </c>
      <c r="R32" s="176" t="str">
        <f t="shared" si="8"/>
        <v>--</v>
      </c>
      <c r="S32" s="168" t="str">
        <f t="shared" si="9"/>
        <v>SI</v>
      </c>
      <c r="T32" s="577">
        <f t="shared" si="10"/>
        <v>1122.6644000000001</v>
      </c>
      <c r="U32" s="577">
        <f t="shared" si="11"/>
        <v>725.8419434884332</v>
      </c>
      <c r="V32" s="6"/>
    </row>
    <row r="33" spans="2:22" s="5" customFormat="1" ht="16.5" customHeight="1">
      <c r="B33" s="51"/>
      <c r="C33" s="408">
        <v>56</v>
      </c>
      <c r="D33" s="568" t="s">
        <v>221</v>
      </c>
      <c r="E33" s="568" t="s">
        <v>239</v>
      </c>
      <c r="F33" s="569">
        <v>500</v>
      </c>
      <c r="G33" s="140">
        <f t="shared" si="0"/>
        <v>49.065</v>
      </c>
      <c r="H33" s="570">
        <v>39348.373611111114</v>
      </c>
      <c r="I33" s="166">
        <v>39348.67222222222</v>
      </c>
      <c r="J33" s="571">
        <f t="shared" si="1"/>
        <v>7.166666666627862</v>
      </c>
      <c r="K33" s="572">
        <f t="shared" si="2"/>
        <v>430</v>
      </c>
      <c r="L33" s="322" t="s">
        <v>182</v>
      </c>
      <c r="M33" s="168" t="str">
        <f t="shared" si="3"/>
        <v>--</v>
      </c>
      <c r="N33" s="573">
        <f t="shared" si="4"/>
        <v>200</v>
      </c>
      <c r="O33" s="574">
        <f t="shared" si="5"/>
        <v>7035.921000000001</v>
      </c>
      <c r="P33" s="575" t="str">
        <f t="shared" si="6"/>
        <v>--</v>
      </c>
      <c r="Q33" s="576" t="str">
        <f t="shared" si="7"/>
        <v>--</v>
      </c>
      <c r="R33" s="176" t="str">
        <f t="shared" si="8"/>
        <v>--</v>
      </c>
      <c r="S33" s="168" t="str">
        <f t="shared" si="9"/>
        <v>SI</v>
      </c>
      <c r="T33" s="577">
        <v>0</v>
      </c>
      <c r="U33" s="577">
        <f t="shared" si="11"/>
        <v>0</v>
      </c>
      <c r="V33" s="6"/>
    </row>
    <row r="34" spans="2:22" s="5" customFormat="1" ht="16.5" customHeight="1">
      <c r="B34" s="51"/>
      <c r="C34" s="408">
        <v>57</v>
      </c>
      <c r="D34" s="568" t="s">
        <v>214</v>
      </c>
      <c r="E34" s="568" t="s">
        <v>238</v>
      </c>
      <c r="F34" s="569">
        <v>132</v>
      </c>
      <c r="G34" s="140">
        <f t="shared" si="0"/>
        <v>39.254</v>
      </c>
      <c r="H34" s="570">
        <v>39348.72222222222</v>
      </c>
      <c r="I34" s="166">
        <v>39348.74166666667</v>
      </c>
      <c r="J34" s="571">
        <f t="shared" si="1"/>
        <v>0.466666666790843</v>
      </c>
      <c r="K34" s="572">
        <f t="shared" si="2"/>
        <v>28</v>
      </c>
      <c r="L34" s="322" t="s">
        <v>182</v>
      </c>
      <c r="M34" s="168" t="str">
        <f t="shared" si="3"/>
        <v>--</v>
      </c>
      <c r="N34" s="573">
        <f t="shared" si="4"/>
        <v>40</v>
      </c>
      <c r="O34" s="574">
        <f t="shared" si="5"/>
        <v>73.79751999999999</v>
      </c>
      <c r="P34" s="575" t="str">
        <f t="shared" si="6"/>
        <v>--</v>
      </c>
      <c r="Q34" s="576" t="str">
        <f t="shared" si="7"/>
        <v>--</v>
      </c>
      <c r="R34" s="176" t="str">
        <f t="shared" si="8"/>
        <v>--</v>
      </c>
      <c r="S34" s="168" t="str">
        <f t="shared" si="9"/>
        <v>SI</v>
      </c>
      <c r="T34" s="577">
        <v>0</v>
      </c>
      <c r="U34" s="577">
        <f t="shared" si="11"/>
        <v>0</v>
      </c>
      <c r="V34" s="6"/>
    </row>
    <row r="35" spans="2:22" s="5" customFormat="1" ht="16.5" customHeight="1">
      <c r="B35" s="51"/>
      <c r="C35" s="408">
        <v>58</v>
      </c>
      <c r="D35" s="568" t="s">
        <v>216</v>
      </c>
      <c r="E35" s="568" t="s">
        <v>240</v>
      </c>
      <c r="F35" s="569">
        <v>132</v>
      </c>
      <c r="G35" s="140">
        <f t="shared" si="0"/>
        <v>39.254</v>
      </c>
      <c r="H35" s="570">
        <v>39350.39513888889</v>
      </c>
      <c r="I35" s="166">
        <v>39350.63888888889</v>
      </c>
      <c r="J35" s="571">
        <f t="shared" si="1"/>
        <v>5.850000000034925</v>
      </c>
      <c r="K35" s="572">
        <f t="shared" si="2"/>
        <v>351</v>
      </c>
      <c r="L35" s="322" t="s">
        <v>182</v>
      </c>
      <c r="M35" s="168" t="str">
        <f t="shared" si="3"/>
        <v>--</v>
      </c>
      <c r="N35" s="573">
        <f t="shared" si="4"/>
        <v>40</v>
      </c>
      <c r="O35" s="574">
        <f t="shared" si="5"/>
        <v>918.5435999999999</v>
      </c>
      <c r="P35" s="575" t="str">
        <f t="shared" si="6"/>
        <v>--</v>
      </c>
      <c r="Q35" s="576" t="str">
        <f t="shared" si="7"/>
        <v>--</v>
      </c>
      <c r="R35" s="176" t="str">
        <f t="shared" si="8"/>
        <v>--</v>
      </c>
      <c r="S35" s="168" t="str">
        <f t="shared" si="9"/>
        <v>SI</v>
      </c>
      <c r="T35" s="577">
        <v>0</v>
      </c>
      <c r="U35" s="577">
        <f t="shared" si="11"/>
        <v>0</v>
      </c>
      <c r="V35" s="6"/>
    </row>
    <row r="36" spans="2:22" s="5" customFormat="1" ht="16.5" customHeight="1">
      <c r="B36" s="51"/>
      <c r="C36" s="408">
        <v>59</v>
      </c>
      <c r="D36" s="568" t="s">
        <v>241</v>
      </c>
      <c r="E36" s="568" t="s">
        <v>242</v>
      </c>
      <c r="F36" s="569">
        <v>500</v>
      </c>
      <c r="G36" s="140">
        <f t="shared" si="0"/>
        <v>49.065</v>
      </c>
      <c r="H36" s="570">
        <v>39350.58125</v>
      </c>
      <c r="I36" s="166">
        <v>39353.70972222222</v>
      </c>
      <c r="J36" s="571">
        <f t="shared" si="1"/>
        <v>75.08333333325572</v>
      </c>
      <c r="K36" s="572">
        <f t="shared" si="2"/>
        <v>4505</v>
      </c>
      <c r="L36" s="322" t="s">
        <v>182</v>
      </c>
      <c r="M36" s="168" t="str">
        <f t="shared" si="3"/>
        <v>--</v>
      </c>
      <c r="N36" s="573">
        <f t="shared" si="4"/>
        <v>200</v>
      </c>
      <c r="O36" s="574">
        <f t="shared" si="5"/>
        <v>73676.004</v>
      </c>
      <c r="P36" s="575" t="str">
        <f t="shared" si="6"/>
        <v>--</v>
      </c>
      <c r="Q36" s="576" t="str">
        <f t="shared" si="7"/>
        <v>--</v>
      </c>
      <c r="R36" s="176" t="str">
        <f t="shared" si="8"/>
        <v>--</v>
      </c>
      <c r="S36" s="168" t="str">
        <f t="shared" si="9"/>
        <v>SI</v>
      </c>
      <c r="T36" s="577">
        <f t="shared" si="10"/>
        <v>73676.004</v>
      </c>
      <c r="U36" s="577">
        <f t="shared" si="11"/>
        <v>47634.12283476841</v>
      </c>
      <c r="V36" s="6"/>
    </row>
    <row r="37" spans="2:22" s="5" customFormat="1" ht="16.5" customHeight="1">
      <c r="B37" s="51"/>
      <c r="C37" s="408">
        <v>60</v>
      </c>
      <c r="D37" s="568" t="s">
        <v>243</v>
      </c>
      <c r="E37" s="568" t="s">
        <v>219</v>
      </c>
      <c r="F37" s="569">
        <v>500</v>
      </c>
      <c r="G37" s="140">
        <f t="shared" si="0"/>
        <v>49.065</v>
      </c>
      <c r="H37" s="570">
        <v>39352.356944444444</v>
      </c>
      <c r="I37" s="166">
        <v>39352.77361111111</v>
      </c>
      <c r="J37" s="571">
        <f t="shared" si="1"/>
        <v>9.999999999941792</v>
      </c>
      <c r="K37" s="572">
        <f t="shared" si="2"/>
        <v>600</v>
      </c>
      <c r="L37" s="322" t="s">
        <v>182</v>
      </c>
      <c r="M37" s="168" t="str">
        <f t="shared" si="3"/>
        <v>--</v>
      </c>
      <c r="N37" s="573">
        <f t="shared" si="4"/>
        <v>200</v>
      </c>
      <c r="O37" s="574">
        <f t="shared" si="5"/>
        <v>9813</v>
      </c>
      <c r="P37" s="575" t="str">
        <f t="shared" si="6"/>
        <v>--</v>
      </c>
      <c r="Q37" s="576" t="str">
        <f t="shared" si="7"/>
        <v>--</v>
      </c>
      <c r="R37" s="176" t="str">
        <f t="shared" si="8"/>
        <v>--</v>
      </c>
      <c r="S37" s="168" t="str">
        <f t="shared" si="9"/>
        <v>SI</v>
      </c>
      <c r="T37" s="577">
        <v>0</v>
      </c>
      <c r="U37" s="577">
        <f t="shared" si="11"/>
        <v>0</v>
      </c>
      <c r="V37" s="6"/>
    </row>
    <row r="38" spans="2:22" s="5" customFormat="1" ht="16.5" customHeight="1">
      <c r="B38" s="51"/>
      <c r="C38" s="408">
        <v>61</v>
      </c>
      <c r="D38" s="568" t="s">
        <v>216</v>
      </c>
      <c r="E38" s="568" t="s">
        <v>244</v>
      </c>
      <c r="F38" s="569">
        <v>132</v>
      </c>
      <c r="G38" s="140">
        <f t="shared" si="0"/>
        <v>39.254</v>
      </c>
      <c r="H38" s="570">
        <v>39355.30138888889</v>
      </c>
      <c r="I38" s="166">
        <v>39355.64722222222</v>
      </c>
      <c r="J38" s="571">
        <f t="shared" si="1"/>
        <v>8.299999999988358</v>
      </c>
      <c r="K38" s="572">
        <f t="shared" si="2"/>
        <v>498</v>
      </c>
      <c r="L38" s="322" t="s">
        <v>182</v>
      </c>
      <c r="M38" s="168" t="str">
        <f t="shared" si="3"/>
        <v>--</v>
      </c>
      <c r="N38" s="573">
        <f t="shared" si="4"/>
        <v>40</v>
      </c>
      <c r="O38" s="574">
        <f t="shared" si="5"/>
        <v>1303.2328</v>
      </c>
      <c r="P38" s="575" t="str">
        <f t="shared" si="6"/>
        <v>--</v>
      </c>
      <c r="Q38" s="576" t="str">
        <f t="shared" si="7"/>
        <v>--</v>
      </c>
      <c r="R38" s="176" t="str">
        <f t="shared" si="8"/>
        <v>--</v>
      </c>
      <c r="S38" s="168" t="str">
        <f t="shared" si="9"/>
        <v>SI</v>
      </c>
      <c r="T38" s="577">
        <f t="shared" si="10"/>
        <v>1303.2328</v>
      </c>
      <c r="U38" s="577">
        <f t="shared" si="11"/>
        <v>842.5857525809784</v>
      </c>
      <c r="V38" s="6"/>
    </row>
    <row r="39" spans="2:22" s="5" customFormat="1" ht="16.5" customHeight="1">
      <c r="B39" s="51"/>
      <c r="C39" s="408">
        <v>62</v>
      </c>
      <c r="D39" s="568" t="s">
        <v>206</v>
      </c>
      <c r="E39" s="568" t="s">
        <v>245</v>
      </c>
      <c r="F39" s="569">
        <v>132</v>
      </c>
      <c r="G39" s="140">
        <f t="shared" si="0"/>
        <v>39.254</v>
      </c>
      <c r="H39" s="570">
        <v>39355.30625</v>
      </c>
      <c r="I39" s="166">
        <v>39355.62430555555</v>
      </c>
      <c r="J39" s="571">
        <f t="shared" si="1"/>
        <v>7.633333333244082</v>
      </c>
      <c r="K39" s="572">
        <f t="shared" si="2"/>
        <v>458</v>
      </c>
      <c r="L39" s="322" t="s">
        <v>182</v>
      </c>
      <c r="M39" s="168" t="str">
        <f t="shared" si="3"/>
        <v>--</v>
      </c>
      <c r="N39" s="573">
        <f t="shared" si="4"/>
        <v>40</v>
      </c>
      <c r="O39" s="574">
        <f t="shared" si="5"/>
        <v>1198.03208</v>
      </c>
      <c r="P39" s="575" t="str">
        <f t="shared" si="6"/>
        <v>--</v>
      </c>
      <c r="Q39" s="576" t="str">
        <f t="shared" si="7"/>
        <v>--</v>
      </c>
      <c r="R39" s="176" t="str">
        <f t="shared" si="8"/>
        <v>--</v>
      </c>
      <c r="S39" s="168" t="str">
        <f t="shared" si="9"/>
        <v>SI</v>
      </c>
      <c r="T39" s="577">
        <f t="shared" si="10"/>
        <v>1198.03208</v>
      </c>
      <c r="U39" s="577">
        <f t="shared" si="11"/>
        <v>774.5697942401041</v>
      </c>
      <c r="V39" s="6"/>
    </row>
    <row r="40" spans="2:22" s="5" customFormat="1" ht="16.5" customHeight="1">
      <c r="B40" s="51"/>
      <c r="C40" s="408">
        <v>63</v>
      </c>
      <c r="D40" s="568" t="s">
        <v>216</v>
      </c>
      <c r="E40" s="568" t="s">
        <v>217</v>
      </c>
      <c r="F40" s="569">
        <v>132</v>
      </c>
      <c r="G40" s="140">
        <f t="shared" si="0"/>
        <v>39.254</v>
      </c>
      <c r="H40" s="570">
        <v>39355.33263888889</v>
      </c>
      <c r="I40" s="166">
        <v>39355.59305555555</v>
      </c>
      <c r="J40" s="571">
        <f t="shared" si="1"/>
        <v>6.249999999941792</v>
      </c>
      <c r="K40" s="572">
        <f t="shared" si="2"/>
        <v>375</v>
      </c>
      <c r="L40" s="322" t="s">
        <v>182</v>
      </c>
      <c r="M40" s="168" t="str">
        <f t="shared" si="3"/>
        <v>--</v>
      </c>
      <c r="N40" s="573">
        <f t="shared" si="4"/>
        <v>40</v>
      </c>
      <c r="O40" s="574">
        <f t="shared" si="5"/>
        <v>981.35</v>
      </c>
      <c r="P40" s="575" t="str">
        <f t="shared" si="6"/>
        <v>--</v>
      </c>
      <c r="Q40" s="576" t="str">
        <f t="shared" si="7"/>
        <v>--</v>
      </c>
      <c r="R40" s="176" t="str">
        <f t="shared" si="8"/>
        <v>--</v>
      </c>
      <c r="S40" s="168" t="str">
        <f t="shared" si="9"/>
        <v>SI</v>
      </c>
      <c r="T40" s="577">
        <v>0</v>
      </c>
      <c r="U40" s="577">
        <f t="shared" si="11"/>
        <v>0</v>
      </c>
      <c r="V40" s="6"/>
    </row>
    <row r="41" spans="2:22" s="5" customFormat="1" ht="16.5" customHeight="1">
      <c r="B41" s="51"/>
      <c r="C41" s="408"/>
      <c r="D41" s="568"/>
      <c r="E41" s="568"/>
      <c r="F41" s="569"/>
      <c r="G41" s="140">
        <f t="shared" si="0"/>
        <v>39.254</v>
      </c>
      <c r="H41" s="570"/>
      <c r="I41" s="166"/>
      <c r="J41" s="571">
        <f t="shared" si="1"/>
      </c>
      <c r="K41" s="572">
        <f t="shared" si="2"/>
      </c>
      <c r="L41" s="322"/>
      <c r="M41" s="168">
        <f t="shared" si="3"/>
      </c>
      <c r="N41" s="573">
        <f t="shared" si="4"/>
        <v>40</v>
      </c>
      <c r="O41" s="574" t="str">
        <f t="shared" si="5"/>
        <v>--</v>
      </c>
      <c r="P41" s="575" t="str">
        <f t="shared" si="6"/>
        <v>--</v>
      </c>
      <c r="Q41" s="576" t="str">
        <f t="shared" si="7"/>
        <v>--</v>
      </c>
      <c r="R41" s="176" t="str">
        <f t="shared" si="8"/>
        <v>--</v>
      </c>
      <c r="S41" s="168">
        <f t="shared" si="9"/>
      </c>
      <c r="T41" s="577">
        <f t="shared" si="10"/>
      </c>
      <c r="U41" s="577"/>
      <c r="V41" s="6"/>
    </row>
    <row r="42" spans="2:22" s="5" customFormat="1" ht="16.5" customHeight="1">
      <c r="B42" s="51"/>
      <c r="C42" s="171"/>
      <c r="D42" s="568"/>
      <c r="E42" s="568"/>
      <c r="F42" s="569"/>
      <c r="G42" s="140">
        <f t="shared" si="0"/>
        <v>39.254</v>
      </c>
      <c r="H42" s="570"/>
      <c r="I42" s="166"/>
      <c r="J42" s="571">
        <f t="shared" si="1"/>
      </c>
      <c r="K42" s="572">
        <f t="shared" si="2"/>
      </c>
      <c r="L42" s="322"/>
      <c r="M42" s="168">
        <f t="shared" si="3"/>
      </c>
      <c r="N42" s="573">
        <f t="shared" si="4"/>
        <v>40</v>
      </c>
      <c r="O42" s="574" t="str">
        <f t="shared" si="5"/>
        <v>--</v>
      </c>
      <c r="P42" s="575" t="str">
        <f t="shared" si="6"/>
        <v>--</v>
      </c>
      <c r="Q42" s="576" t="str">
        <f t="shared" si="7"/>
        <v>--</v>
      </c>
      <c r="R42" s="176" t="str">
        <f t="shared" si="8"/>
        <v>--</v>
      </c>
      <c r="S42" s="168">
        <f t="shared" si="9"/>
      </c>
      <c r="T42" s="577">
        <f t="shared" si="10"/>
      </c>
      <c r="U42" s="577"/>
      <c r="V42" s="6"/>
    </row>
    <row r="43" spans="2:22" s="5" customFormat="1" ht="16.5" customHeight="1">
      <c r="B43" s="51"/>
      <c r="C43" s="408"/>
      <c r="D43" s="568"/>
      <c r="E43" s="568"/>
      <c r="F43" s="569"/>
      <c r="G43" s="140">
        <f t="shared" si="0"/>
        <v>39.254</v>
      </c>
      <c r="H43" s="570"/>
      <c r="I43" s="166"/>
      <c r="J43" s="571">
        <f t="shared" si="1"/>
      </c>
      <c r="K43" s="572">
        <f t="shared" si="2"/>
      </c>
      <c r="L43" s="322"/>
      <c r="M43" s="168">
        <f t="shared" si="3"/>
      </c>
      <c r="N43" s="573">
        <f t="shared" si="4"/>
        <v>40</v>
      </c>
      <c r="O43" s="574" t="str">
        <f t="shared" si="5"/>
        <v>--</v>
      </c>
      <c r="P43" s="575" t="str">
        <f t="shared" si="6"/>
        <v>--</v>
      </c>
      <c r="Q43" s="576" t="str">
        <f t="shared" si="7"/>
        <v>--</v>
      </c>
      <c r="R43" s="176" t="str">
        <f t="shared" si="8"/>
        <v>--</v>
      </c>
      <c r="S43" s="168">
        <f t="shared" si="9"/>
      </c>
      <c r="T43" s="577">
        <f t="shared" si="10"/>
      </c>
      <c r="U43" s="577"/>
      <c r="V43" s="6"/>
    </row>
    <row r="44" spans="2:22" s="5" customFormat="1" ht="16.5" customHeight="1" thickBot="1">
      <c r="B44" s="51"/>
      <c r="C44" s="171"/>
      <c r="D44" s="161"/>
      <c r="E44" s="161"/>
      <c r="F44" s="339"/>
      <c r="G44" s="141"/>
      <c r="H44" s="578"/>
      <c r="I44" s="578"/>
      <c r="J44" s="579"/>
      <c r="K44" s="579"/>
      <c r="L44" s="578"/>
      <c r="M44" s="167"/>
      <c r="N44" s="580"/>
      <c r="O44" s="581"/>
      <c r="P44" s="582"/>
      <c r="Q44" s="583"/>
      <c r="R44" s="178"/>
      <c r="S44" s="167"/>
      <c r="T44" s="584"/>
      <c r="U44" s="584"/>
      <c r="V44" s="6"/>
    </row>
    <row r="45" spans="2:22" s="5" customFormat="1" ht="16.5" customHeight="1" thickBot="1" thickTop="1">
      <c r="B45" s="51"/>
      <c r="C45" s="131" t="s">
        <v>25</v>
      </c>
      <c r="D45" s="132" t="s">
        <v>298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585">
        <f>SUM(O22:O44)</f>
        <v>109369.69532000001</v>
      </c>
      <c r="P45" s="586">
        <f>SUM(P22:P44)</f>
        <v>0</v>
      </c>
      <c r="Q45" s="587">
        <f>SUM(Q22:Q44)</f>
        <v>0</v>
      </c>
      <c r="R45" s="588">
        <f>SUM(R22:R44)</f>
        <v>0</v>
      </c>
      <c r="S45" s="589"/>
      <c r="T45" s="102">
        <f>ROUND(SUM(T22:T44),2)</f>
        <v>121016.6</v>
      </c>
      <c r="U45" s="102">
        <f>SUM(U22:U40)</f>
        <v>78241.47875608521</v>
      </c>
      <c r="V45" s="6"/>
    </row>
    <row r="46" spans="2:22" s="137" customFormat="1" ht="13.5" thickTop="1">
      <c r="B46" s="136"/>
      <c r="C46" s="133"/>
      <c r="D46" s="134"/>
      <c r="E46"/>
      <c r="F46" s="135"/>
      <c r="G46" s="135"/>
      <c r="H46" s="135"/>
      <c r="I46" s="135"/>
      <c r="J46" s="135"/>
      <c r="K46" s="135"/>
      <c r="L46" s="135"/>
      <c r="M46" s="135"/>
      <c r="N46" s="135"/>
      <c r="O46" s="469"/>
      <c r="P46" s="469"/>
      <c r="Q46" s="469"/>
      <c r="R46" s="469"/>
      <c r="S46" s="469"/>
      <c r="T46" s="253"/>
      <c r="U46" s="253"/>
      <c r="V46" s="590"/>
    </row>
    <row r="47" spans="2:22" s="5" customFormat="1" ht="16.5" customHeight="1" thickBot="1"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</row>
    <row r="48" spans="22:24" ht="16.5" customHeight="1" thickTop="1">
      <c r="V48" s="193"/>
      <c r="W48" s="193"/>
      <c r="X48" s="193"/>
    </row>
    <row r="49" spans="22:24" ht="16.5" customHeight="1">
      <c r="V49" s="193"/>
      <c r="W49" s="193"/>
      <c r="X49" s="193"/>
    </row>
    <row r="50" spans="22:24" ht="16.5" customHeight="1">
      <c r="V50" s="193"/>
      <c r="W50" s="193"/>
      <c r="X50" s="193"/>
    </row>
    <row r="51" spans="22:24" ht="16.5" customHeight="1">
      <c r="V51" s="193"/>
      <c r="W51" s="193"/>
      <c r="X51" s="193"/>
    </row>
    <row r="52" spans="22:24" ht="16.5" customHeight="1">
      <c r="V52" s="193"/>
      <c r="W52" s="193"/>
      <c r="X52" s="193"/>
    </row>
    <row r="53" spans="4:24" ht="16.5" customHeight="1"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</row>
    <row r="54" spans="4:24" ht="16.5" customHeight="1"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</row>
    <row r="55" spans="4:24" ht="16.5" customHeight="1"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</row>
    <row r="56" spans="4:24" ht="16.5" customHeight="1"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</row>
    <row r="57" spans="4:24" ht="16.5" customHeight="1"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</row>
    <row r="58" spans="4:24" ht="16.5" customHeight="1"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</row>
    <row r="59" spans="4:24" ht="16.5" customHeight="1"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</row>
    <row r="60" spans="4:24" ht="16.5" customHeight="1"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</row>
    <row r="61" spans="4:24" ht="16.5" customHeight="1"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</row>
    <row r="62" spans="4:24" ht="16.5" customHeight="1"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</row>
    <row r="63" spans="4:24" ht="16.5" customHeight="1"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</row>
    <row r="64" spans="4:24" ht="16.5" customHeight="1"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</row>
    <row r="65" spans="4:24" ht="16.5" customHeight="1"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</row>
    <row r="66" spans="4:24" ht="16.5" customHeight="1"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</row>
    <row r="67" spans="4:24" ht="16.5" customHeight="1"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4:24" ht="16.5" customHeight="1"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</row>
    <row r="69" spans="4:24" ht="16.5" customHeight="1"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</row>
    <row r="70" spans="4:24" ht="16.5" customHeight="1"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</row>
    <row r="71" spans="4:24" ht="16.5" customHeight="1"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</row>
    <row r="72" spans="4:24" ht="16.5" customHeight="1"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</row>
    <row r="73" spans="4:24" ht="16.5" customHeight="1"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</row>
    <row r="74" spans="4:24" ht="16.5" customHeight="1"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</row>
    <row r="75" spans="4:24" ht="16.5" customHeight="1"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</row>
    <row r="76" spans="4:24" ht="16.5" customHeight="1"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</row>
    <row r="77" spans="4:24" ht="16.5" customHeight="1"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</row>
    <row r="78" spans="4:24" ht="16.5" customHeight="1"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</row>
    <row r="79" spans="4:24" ht="16.5" customHeight="1"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</row>
    <row r="80" spans="4:24" ht="16.5" customHeight="1"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</row>
    <row r="81" spans="4:24" ht="16.5" customHeight="1"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</row>
    <row r="82" spans="4:24" ht="16.5" customHeight="1"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</row>
    <row r="83" spans="4:24" ht="16.5" customHeight="1"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</row>
    <row r="84" spans="4:24" ht="16.5" customHeight="1"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</row>
    <row r="85" spans="4:24" ht="16.5" customHeight="1"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</row>
    <row r="86" spans="4:24" ht="16.5" customHeight="1"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</row>
    <row r="87" spans="4:24" ht="16.5" customHeight="1"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</row>
    <row r="88" spans="4:24" ht="16.5" customHeight="1"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</row>
    <row r="89" spans="4:24" ht="16.5" customHeight="1"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</row>
    <row r="90" spans="4:24" ht="16.5" customHeight="1"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</row>
    <row r="91" spans="4:24" ht="16.5" customHeight="1"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</row>
    <row r="92" spans="4:24" ht="16.5" customHeight="1"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</row>
    <row r="93" spans="4:24" ht="16.5" customHeight="1"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</row>
    <row r="94" spans="4:24" ht="16.5" customHeight="1"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</row>
    <row r="95" spans="4:24" ht="16.5" customHeight="1"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</row>
    <row r="96" spans="4:24" ht="16.5" customHeight="1"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</row>
    <row r="97" spans="4:24" ht="16.5" customHeight="1"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</row>
    <row r="98" spans="4:24" ht="16.5" customHeight="1"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</row>
    <row r="99" spans="4:24" ht="16.5" customHeight="1"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</row>
    <row r="100" spans="4:24" ht="16.5" customHeight="1"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</row>
    <row r="101" spans="4:24" ht="16.5" customHeight="1"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</row>
    <row r="102" spans="4:24" ht="16.5" customHeight="1"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</row>
    <row r="103" spans="4:24" ht="16.5" customHeight="1"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</row>
    <row r="104" spans="4:24" ht="16.5" customHeight="1"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</row>
    <row r="105" spans="4:24" ht="16.5" customHeight="1"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</row>
    <row r="106" spans="4:24" ht="16.5" customHeight="1"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</row>
    <row r="107" spans="4:24" ht="16.5" customHeight="1"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</row>
    <row r="108" spans="4:24" ht="16.5" customHeight="1"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</row>
    <row r="109" spans="4:24" ht="16.5" customHeight="1"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</row>
    <row r="110" spans="4:24" ht="16.5" customHeight="1"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</row>
    <row r="111" spans="4:24" ht="16.5" customHeight="1"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</row>
    <row r="112" spans="4:24" ht="16.5" customHeight="1"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</row>
    <row r="113" spans="4:24" ht="16.5" customHeight="1"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</row>
    <row r="114" spans="4:24" ht="16.5" customHeight="1"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</row>
    <row r="115" spans="4:24" ht="16.5" customHeight="1"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</row>
    <row r="116" spans="4:24" ht="16.5" customHeight="1"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</row>
    <row r="117" spans="4:24" ht="16.5" customHeight="1"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</row>
    <row r="118" spans="4:24" ht="16.5" customHeight="1"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</row>
    <row r="119" spans="4:24" ht="16.5" customHeight="1"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</row>
    <row r="120" spans="4:24" ht="16.5" customHeight="1"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</row>
    <row r="121" spans="4:24" ht="16.5" customHeight="1"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</row>
    <row r="122" spans="4:24" ht="16.5" customHeight="1"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</row>
    <row r="123" spans="4:24" ht="16.5" customHeight="1"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</row>
    <row r="124" spans="4:24" ht="16.5" customHeight="1"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</row>
    <row r="125" spans="4:24" ht="16.5" customHeight="1"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</row>
    <row r="126" spans="4:24" ht="16.5" customHeight="1"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</row>
    <row r="127" spans="4:24" ht="16.5" customHeight="1"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</row>
    <row r="128" spans="4:24" ht="16.5" customHeight="1"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</row>
    <row r="129" spans="4:24" ht="16.5" customHeight="1"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</row>
    <row r="130" spans="4:24" ht="16.5" customHeight="1"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</row>
    <row r="131" spans="4:24" ht="16.5" customHeight="1"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</row>
    <row r="132" spans="4:24" ht="16.5" customHeight="1"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</row>
    <row r="133" spans="4:24" ht="16.5" customHeight="1"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</row>
    <row r="134" spans="4:24" ht="16.5" customHeight="1"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</row>
    <row r="135" spans="4:24" ht="16.5" customHeight="1"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</row>
    <row r="136" spans="4:24" ht="16.5" customHeight="1"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</row>
    <row r="137" spans="4:24" ht="16.5" customHeight="1"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</row>
    <row r="138" spans="4:24" ht="16.5" customHeight="1"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</row>
    <row r="139" spans="4:24" ht="16.5" customHeight="1"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</row>
    <row r="140" spans="4:24" ht="16.5" customHeight="1"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</row>
    <row r="141" spans="4:24" ht="16.5" customHeight="1"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</row>
    <row r="142" spans="4:24" ht="16.5" customHeight="1"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</row>
    <row r="143" spans="4:24" ht="16.5" customHeight="1"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</row>
    <row r="144" spans="4:24" ht="16.5" customHeight="1"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</row>
    <row r="145" spans="4:24" ht="16.5" customHeight="1"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</row>
    <row r="146" spans="4:24" ht="16.5" customHeight="1"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</row>
    <row r="147" spans="4:24" ht="16.5" customHeight="1"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</row>
    <row r="148" spans="4:24" ht="16.5" customHeight="1"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</row>
    <row r="149" spans="4:24" ht="16.5" customHeight="1"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</row>
    <row r="150" spans="4:24" ht="16.5" customHeight="1"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</row>
    <row r="151" spans="4:24" ht="16.5" customHeight="1"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</row>
    <row r="152" spans="4:24" ht="16.5" customHeight="1"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</row>
    <row r="153" spans="4:24" ht="16.5" customHeight="1"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</row>
    <row r="154" spans="4:24" ht="16.5" customHeight="1"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</row>
    <row r="155" spans="4:24" ht="16.5" customHeight="1"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</row>
    <row r="156" spans="4:24" ht="16.5" customHeight="1"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</row>
    <row r="157" spans="4:24" ht="16.5" customHeight="1"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</row>
    <row r="158" spans="4:24" ht="16.5" customHeight="1"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</row>
    <row r="159" spans="4:24" ht="16.5" customHeight="1"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</row>
    <row r="160" spans="4:24" ht="16.5" customHeight="1"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6"/>
  <dimension ref="A1:Z158"/>
  <sheetViews>
    <sheetView zoomScale="75" zoomScaleNormal="75" workbookViewId="0" topLeftCell="D1">
      <selection activeCell="W21" sqref="W21:W41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1" width="9.7109375" style="0" customWidth="1"/>
    <col min="12" max="12" width="10.8515625" style="0" customWidth="1"/>
    <col min="13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20" width="15.140625" style="0" hidden="1" customWidth="1"/>
    <col min="21" max="21" width="9.7109375" style="0" customWidth="1"/>
    <col min="22" max="24" width="15.7109375" style="0" customWidth="1"/>
  </cols>
  <sheetData>
    <row r="1" s="19" customFormat="1" ht="26.25">
      <c r="X1" s="158"/>
    </row>
    <row r="2" spans="1:24" s="19" customFormat="1" ht="26.25">
      <c r="A2" s="92"/>
      <c r="B2" s="592" t="str">
        <f>+'[1]TOT-0907'!B2</f>
        <v>ANEXO a la Resolución D.T.E.E. N°          /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</row>
    <row r="3" s="5" customFormat="1" ht="12.75">
      <c r="A3" s="91"/>
    </row>
    <row r="4" spans="1:2" s="26" customFormat="1" ht="11.25">
      <c r="A4" s="24" t="s">
        <v>2</v>
      </c>
      <c r="B4" s="128"/>
    </row>
    <row r="5" spans="1:2" s="26" customFormat="1" ht="11.25">
      <c r="A5" s="24" t="s">
        <v>3</v>
      </c>
      <c r="B5" s="128"/>
    </row>
    <row r="6" s="5" customFormat="1" ht="13.5" thickBot="1"/>
    <row r="7" spans="2:24" s="5" customFormat="1" ht="13.5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</row>
    <row r="8" spans="2:24" s="30" customFormat="1" ht="20.25">
      <c r="B8" s="80"/>
      <c r="D8" s="192" t="s">
        <v>92</v>
      </c>
      <c r="E8" s="593"/>
      <c r="F8" s="189"/>
      <c r="G8" s="188"/>
      <c r="H8" s="188"/>
      <c r="I8" s="188"/>
      <c r="J8" s="188"/>
      <c r="K8" s="188"/>
      <c r="L8" s="188"/>
      <c r="M8" s="188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594"/>
    </row>
    <row r="9" spans="2:24" s="5" customFormat="1" ht="12.75">
      <c r="B9" s="5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6"/>
    </row>
    <row r="10" spans="2:24" s="30" customFormat="1" ht="20.25">
      <c r="B10" s="80"/>
      <c r="D10" s="11" t="s">
        <v>93</v>
      </c>
      <c r="F10" s="595"/>
      <c r="G10" s="82"/>
      <c r="H10" s="82"/>
      <c r="I10" s="82"/>
      <c r="J10" s="82"/>
      <c r="K10" s="82"/>
      <c r="L10" s="82"/>
      <c r="M10" s="82"/>
      <c r="N10" s="82"/>
      <c r="O10" s="82"/>
      <c r="P10" s="31"/>
      <c r="Q10" s="31"/>
      <c r="R10" s="31"/>
      <c r="S10" s="31"/>
      <c r="T10" s="31"/>
      <c r="U10" s="31"/>
      <c r="V10" s="31"/>
      <c r="W10" s="31"/>
      <c r="X10" s="81"/>
    </row>
    <row r="11" spans="2:24" s="5" customFormat="1" ht="16.5" customHeight="1">
      <c r="B11" s="51"/>
      <c r="C11" s="4"/>
      <c r="D11" s="79"/>
      <c r="F11" s="32"/>
      <c r="G11" s="73"/>
      <c r="H11" s="73"/>
      <c r="I11" s="73"/>
      <c r="J11" s="73"/>
      <c r="K11" s="73"/>
      <c r="L11" s="73"/>
      <c r="M11" s="73"/>
      <c r="N11" s="73"/>
      <c r="O11" s="73"/>
      <c r="P11" s="4"/>
      <c r="Q11" s="4"/>
      <c r="R11" s="4"/>
      <c r="S11" s="4"/>
      <c r="T11" s="4"/>
      <c r="U11" s="4"/>
      <c r="V11" s="4"/>
      <c r="W11" s="4"/>
      <c r="X11" s="6"/>
    </row>
    <row r="12" spans="2:24" s="30" customFormat="1" ht="20.25">
      <c r="B12" s="80"/>
      <c r="D12" s="11" t="s">
        <v>94</v>
      </c>
      <c r="F12" s="595"/>
      <c r="G12" s="82"/>
      <c r="H12" s="82"/>
      <c r="I12" s="82"/>
      <c r="J12" s="82"/>
      <c r="K12" s="82"/>
      <c r="L12" s="82"/>
      <c r="M12" s="82"/>
      <c r="N12" s="82"/>
      <c r="O12" s="82"/>
      <c r="P12" s="31"/>
      <c r="Q12" s="31"/>
      <c r="R12" s="31"/>
      <c r="S12" s="31"/>
      <c r="T12" s="31"/>
      <c r="U12" s="31"/>
      <c r="V12" s="31"/>
      <c r="W12" s="31"/>
      <c r="X12" s="81"/>
    </row>
    <row r="13" spans="2:24" s="5" customFormat="1" ht="16.5" customHeight="1">
      <c r="B13" s="51"/>
      <c r="C13" s="4"/>
      <c r="D13" s="79"/>
      <c r="F13" s="32"/>
      <c r="G13" s="73"/>
      <c r="H13" s="73"/>
      <c r="I13" s="73"/>
      <c r="J13" s="73"/>
      <c r="K13" s="73"/>
      <c r="L13" s="73"/>
      <c r="M13" s="73"/>
      <c r="N13" s="73"/>
      <c r="O13" s="73"/>
      <c r="P13" s="4"/>
      <c r="Q13" s="4"/>
      <c r="R13" s="4"/>
      <c r="S13" s="4"/>
      <c r="T13" s="4"/>
      <c r="U13" s="4"/>
      <c r="V13" s="4"/>
      <c r="W13" s="4"/>
      <c r="X13" s="6"/>
    </row>
    <row r="14" spans="2:24" s="37" customFormat="1" ht="16.5" customHeight="1">
      <c r="B14" s="38" t="str">
        <f>'[1]TOT-0907'!B14</f>
        <v>Desde el 01 al 30 de septiembre de 2007</v>
      </c>
      <c r="C14" s="596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6"/>
      <c r="Q14" s="596"/>
      <c r="R14" s="596"/>
      <c r="S14" s="596"/>
      <c r="T14" s="596"/>
      <c r="U14" s="596"/>
      <c r="V14" s="596"/>
      <c r="W14" s="596"/>
      <c r="X14" s="598"/>
    </row>
    <row r="15" spans="2:24" s="5" customFormat="1" ht="16.5" customHeight="1" thickBot="1">
      <c r="B15" s="51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6"/>
    </row>
    <row r="16" spans="2:24" s="5" customFormat="1" ht="16.5" customHeight="1" thickBot="1" thickTop="1">
      <c r="B16" s="51"/>
      <c r="C16" s="4"/>
      <c r="D16" s="120" t="s">
        <v>78</v>
      </c>
      <c r="E16" s="599"/>
      <c r="F16" s="1046">
        <v>0.245</v>
      </c>
      <c r="G16" s="533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6"/>
    </row>
    <row r="17" spans="2:24" s="5" customFormat="1" ht="16.5" customHeight="1" thickBot="1" thickTop="1">
      <c r="B17" s="51"/>
      <c r="C17" s="4"/>
      <c r="D17" s="600" t="s">
        <v>27</v>
      </c>
      <c r="E17" s="601"/>
      <c r="F17" s="1047">
        <v>20</v>
      </c>
      <c r="G17" s="533"/>
      <c r="H17"/>
      <c r="I17" s="273"/>
      <c r="J17" s="274"/>
      <c r="K17" s="4"/>
      <c r="L17" s="4"/>
      <c r="M17" s="4"/>
      <c r="O17" s="4"/>
      <c r="P17" s="4"/>
      <c r="Q17" s="4"/>
      <c r="R17" s="118"/>
      <c r="S17" s="118"/>
      <c r="T17" s="118"/>
      <c r="U17" s="118"/>
      <c r="V17" s="118"/>
      <c r="W17" s="118"/>
      <c r="X17" s="6"/>
    </row>
    <row r="18" spans="2:24" s="5" customFormat="1" ht="16.5" customHeight="1" thickBot="1" thickTop="1">
      <c r="B18" s="51"/>
      <c r="C18" s="67"/>
      <c r="D18" s="602"/>
      <c r="E18" s="603"/>
      <c r="F18" s="603"/>
      <c r="G18" s="242"/>
      <c r="H18" s="242"/>
      <c r="I18" s="242"/>
      <c r="J18" s="242"/>
      <c r="K18" s="242"/>
      <c r="L18" s="242"/>
      <c r="M18" s="242"/>
      <c r="N18" s="242"/>
      <c r="O18" s="604"/>
      <c r="P18" s="605"/>
      <c r="Q18" s="606"/>
      <c r="R18" s="606"/>
      <c r="S18" s="606"/>
      <c r="T18" s="606"/>
      <c r="U18" s="607"/>
      <c r="V18" s="608"/>
      <c r="W18" s="608"/>
      <c r="X18" s="6"/>
    </row>
    <row r="19" spans="2:24" s="5" customFormat="1" ht="33.75" customHeight="1" thickBot="1" thickTop="1">
      <c r="B19" s="51"/>
      <c r="C19" s="85" t="s">
        <v>13</v>
      </c>
      <c r="D19" s="87" t="s">
        <v>28</v>
      </c>
      <c r="E19" s="86" t="s">
        <v>29</v>
      </c>
      <c r="F19" s="609" t="s">
        <v>30</v>
      </c>
      <c r="G19" s="139" t="s">
        <v>16</v>
      </c>
      <c r="H19" s="86" t="s">
        <v>17</v>
      </c>
      <c r="I19" s="86" t="s">
        <v>18</v>
      </c>
      <c r="J19" s="87" t="s">
        <v>37</v>
      </c>
      <c r="K19" s="87" t="s">
        <v>32</v>
      </c>
      <c r="L19" s="89" t="s">
        <v>19</v>
      </c>
      <c r="M19" s="89" t="s">
        <v>47</v>
      </c>
      <c r="N19" s="86" t="s">
        <v>33</v>
      </c>
      <c r="O19" s="139" t="s">
        <v>38</v>
      </c>
      <c r="P19" s="610" t="s">
        <v>63</v>
      </c>
      <c r="Q19" s="611" t="s">
        <v>95</v>
      </c>
      <c r="R19" s="612"/>
      <c r="S19" s="613" t="s">
        <v>22</v>
      </c>
      <c r="T19" s="389" t="s">
        <v>21</v>
      </c>
      <c r="U19" s="144" t="s">
        <v>76</v>
      </c>
      <c r="V19" s="614" t="s">
        <v>24</v>
      </c>
      <c r="W19" s="614" t="s">
        <v>319</v>
      </c>
      <c r="X19" s="6"/>
    </row>
    <row r="20" spans="2:25" s="5" customFormat="1" ht="16.5" customHeight="1" thickTop="1">
      <c r="B20" s="51"/>
      <c r="C20" s="615"/>
      <c r="D20" s="616"/>
      <c r="E20" s="616"/>
      <c r="F20" s="616"/>
      <c r="G20" s="483"/>
      <c r="H20" s="617"/>
      <c r="I20" s="617"/>
      <c r="J20" s="615"/>
      <c r="K20" s="615"/>
      <c r="L20" s="225"/>
      <c r="M20" s="7"/>
      <c r="N20" s="615"/>
      <c r="O20" s="618"/>
      <c r="P20" s="619"/>
      <c r="Q20" s="1142"/>
      <c r="R20" s="1143"/>
      <c r="S20" s="622"/>
      <c r="T20" s="622"/>
      <c r="U20" s="623"/>
      <c r="V20" s="624"/>
      <c r="W20" s="624"/>
      <c r="X20" s="6"/>
      <c r="Y20" s="1145">
        <v>0.353464897</v>
      </c>
    </row>
    <row r="21" spans="2:24" s="5" customFormat="1" ht="16.5" customHeight="1">
      <c r="B21" s="51"/>
      <c r="C21" s="171">
        <v>64</v>
      </c>
      <c r="D21" s="809" t="s">
        <v>195</v>
      </c>
      <c r="E21" s="1071" t="s">
        <v>246</v>
      </c>
      <c r="F21" s="160">
        <v>245</v>
      </c>
      <c r="G21" s="425">
        <f aca="true" t="shared" si="0" ref="G21:G41">F21*$F$16</f>
        <v>60.025</v>
      </c>
      <c r="H21" s="629">
        <v>39326</v>
      </c>
      <c r="I21" s="630">
        <v>39330.270833333336</v>
      </c>
      <c r="J21" s="571">
        <f aca="true" t="shared" si="1" ref="J21:J41">IF(D21="","",(I21-H21)*24)</f>
        <v>102.50000000005821</v>
      </c>
      <c r="K21" s="572">
        <f aca="true" t="shared" si="2" ref="K21:K41">IF(D21="","",ROUND((I21-H21)*24*60,0))</f>
        <v>6150</v>
      </c>
      <c r="L21" s="323" t="s">
        <v>182</v>
      </c>
      <c r="M21" s="227">
        <v>95.92</v>
      </c>
      <c r="N21" s="496" t="str">
        <f>IF(D21="","",IF(OR(L21="P",L21="RP"),"--","NO"))</f>
        <v>--</v>
      </c>
      <c r="O21" s="1144">
        <f aca="true" t="shared" si="3" ref="O21:O41">IF(OR(L21="P",L21="RP"),$F$17/10,$F$17)</f>
        <v>2</v>
      </c>
      <c r="P21" s="1146">
        <f aca="true" t="shared" si="4" ref="P21:P41">IF(L21="P",G21*O21*ROUND(K21/60,2),"--")</f>
        <v>12305.125</v>
      </c>
      <c r="Q21" s="642" t="str">
        <f aca="true" t="shared" si="5" ref="Q21:Q41">IF(AND(L21="F",N21="NO"),G21*O21,"--")</f>
        <v>--</v>
      </c>
      <c r="R21" s="643" t="str">
        <f aca="true" t="shared" si="6" ref="R21:R41">IF(L21="F",G21*O21*ROUND(K21/60,2),"--")</f>
        <v>--</v>
      </c>
      <c r="S21" s="644" t="str">
        <f aca="true" t="shared" si="7" ref="S21:S41">IF(L21="RF",G21*O21*ROUND(K21/60,2),"--")</f>
        <v>--</v>
      </c>
      <c r="T21" s="1147"/>
      <c r="U21" s="496" t="str">
        <f aca="true" t="shared" si="8" ref="U21:U41">IF(D21="","","SI")</f>
        <v>SI</v>
      </c>
      <c r="V21" s="508">
        <f>IF(D21="","",SUM(P21:T21)*IF(U21="SI",1,2))*M21/100</f>
        <v>11803.075900000002</v>
      </c>
      <c r="W21" s="508">
        <f>V21*(1-$Y$20)</f>
        <v>7631.102892723318</v>
      </c>
      <c r="X21" s="6"/>
    </row>
    <row r="22" spans="2:24" s="5" customFormat="1" ht="16.5" customHeight="1">
      <c r="B22" s="51"/>
      <c r="C22" s="408">
        <v>65</v>
      </c>
      <c r="D22" s="809" t="s">
        <v>216</v>
      </c>
      <c r="E22" s="1071" t="s">
        <v>275</v>
      </c>
      <c r="F22" s="160">
        <v>25</v>
      </c>
      <c r="G22" s="425">
        <f t="shared" si="0"/>
        <v>6.125</v>
      </c>
      <c r="H22" s="629">
        <v>39328.40833333333</v>
      </c>
      <c r="I22" s="630">
        <v>39328.61597222222</v>
      </c>
      <c r="J22" s="571">
        <f t="shared" si="1"/>
        <v>4.983333333337214</v>
      </c>
      <c r="K22" s="572">
        <f t="shared" si="2"/>
        <v>299</v>
      </c>
      <c r="L22" s="323" t="s">
        <v>190</v>
      </c>
      <c r="M22" s="227" t="str">
        <f>IF(D22="","","--")</f>
        <v>--</v>
      </c>
      <c r="N22" s="168" t="s">
        <v>183</v>
      </c>
      <c r="O22" s="640">
        <f t="shared" si="3"/>
        <v>20</v>
      </c>
      <c r="P22" s="641" t="str">
        <f t="shared" si="4"/>
        <v>--</v>
      </c>
      <c r="Q22" s="642" t="str">
        <f t="shared" si="5"/>
        <v>--</v>
      </c>
      <c r="R22" s="643">
        <f t="shared" si="6"/>
        <v>610.0500000000001</v>
      </c>
      <c r="S22" s="644" t="str">
        <f t="shared" si="7"/>
        <v>--</v>
      </c>
      <c r="T22" s="429"/>
      <c r="U22" s="168" t="str">
        <f t="shared" si="8"/>
        <v>SI</v>
      </c>
      <c r="V22" s="577">
        <f>IF(D22="","",SUM(P22:T22)*IF(U22="SI",1,2))</f>
        <v>610.0500000000001</v>
      </c>
      <c r="W22" s="508">
        <f aca="true" t="shared" si="9" ref="W22:W41">V22*(1-$Y$20)</f>
        <v>394.41873958515004</v>
      </c>
      <c r="X22" s="6"/>
    </row>
    <row r="23" spans="2:24" s="5" customFormat="1" ht="16.5" customHeight="1">
      <c r="B23" s="51"/>
      <c r="C23" s="408">
        <v>66</v>
      </c>
      <c r="D23" s="809" t="s">
        <v>195</v>
      </c>
      <c r="E23" s="1071" t="s">
        <v>246</v>
      </c>
      <c r="F23" s="160">
        <v>245</v>
      </c>
      <c r="G23" s="425">
        <f t="shared" si="0"/>
        <v>60.025</v>
      </c>
      <c r="H23" s="629">
        <v>39330.271527777775</v>
      </c>
      <c r="I23" s="630">
        <v>39330.75277777778</v>
      </c>
      <c r="J23" s="571">
        <f t="shared" si="1"/>
        <v>11.550000000104774</v>
      </c>
      <c r="K23" s="572">
        <f t="shared" si="2"/>
        <v>693</v>
      </c>
      <c r="L23" s="323" t="s">
        <v>182</v>
      </c>
      <c r="M23" s="227" t="str">
        <f>IF(D23="","","--")</f>
        <v>--</v>
      </c>
      <c r="N23" s="168" t="str">
        <f aca="true" t="shared" si="10" ref="N23:N41">IF(D23="","",IF(OR(L23="P",L23="RP"),"--","NO"))</f>
        <v>--</v>
      </c>
      <c r="O23" s="640">
        <f t="shared" si="3"/>
        <v>2</v>
      </c>
      <c r="P23" s="641">
        <f t="shared" si="4"/>
        <v>1386.5775</v>
      </c>
      <c r="Q23" s="642" t="str">
        <f t="shared" si="5"/>
        <v>--</v>
      </c>
      <c r="R23" s="643" t="str">
        <f t="shared" si="6"/>
        <v>--</v>
      </c>
      <c r="S23" s="644" t="str">
        <f t="shared" si="7"/>
        <v>--</v>
      </c>
      <c r="T23" s="429"/>
      <c r="U23" s="168" t="str">
        <f t="shared" si="8"/>
        <v>SI</v>
      </c>
      <c r="V23" s="577">
        <f>IF(D23="","",SUM(P23:T23)*IF(U23="SI",1,2))</f>
        <v>1386.5775</v>
      </c>
      <c r="W23" s="508">
        <f t="shared" si="9"/>
        <v>896.4710267799825</v>
      </c>
      <c r="X23" s="645"/>
    </row>
    <row r="24" spans="2:24" s="5" customFormat="1" ht="16.5" customHeight="1">
      <c r="B24" s="51"/>
      <c r="C24" s="408">
        <v>67</v>
      </c>
      <c r="D24" s="809" t="s">
        <v>274</v>
      </c>
      <c r="E24" s="1071" t="s">
        <v>264</v>
      </c>
      <c r="F24" s="160">
        <v>140</v>
      </c>
      <c r="G24" s="425">
        <f t="shared" si="0"/>
        <v>34.3</v>
      </c>
      <c r="H24" s="629">
        <v>39330.45347222222</v>
      </c>
      <c r="I24" s="630">
        <v>39330.48541666667</v>
      </c>
      <c r="J24" s="571">
        <f t="shared" si="1"/>
        <v>0.7666666667209938</v>
      </c>
      <c r="K24" s="572">
        <f t="shared" si="2"/>
        <v>46</v>
      </c>
      <c r="L24" s="323" t="s">
        <v>190</v>
      </c>
      <c r="M24" s="227" t="str">
        <f>IF(D24="","","--")</f>
        <v>--</v>
      </c>
      <c r="N24" s="168" t="str">
        <f t="shared" si="10"/>
        <v>NO</v>
      </c>
      <c r="O24" s="640">
        <f t="shared" si="3"/>
        <v>20</v>
      </c>
      <c r="P24" s="641" t="str">
        <f t="shared" si="4"/>
        <v>--</v>
      </c>
      <c r="Q24" s="642">
        <f t="shared" si="5"/>
        <v>686</v>
      </c>
      <c r="R24" s="643">
        <f t="shared" si="6"/>
        <v>528.22</v>
      </c>
      <c r="S24" s="644" t="str">
        <f t="shared" si="7"/>
        <v>--</v>
      </c>
      <c r="T24" s="429"/>
      <c r="U24" s="168" t="str">
        <f t="shared" si="8"/>
        <v>SI</v>
      </c>
      <c r="V24" s="577">
        <f>IF(D24="","",SUM(P24:T24)*IF(U24="SI",1,2))</f>
        <v>1214.22</v>
      </c>
      <c r="W24" s="508">
        <f t="shared" si="9"/>
        <v>785.0358527646599</v>
      </c>
      <c r="X24" s="6"/>
    </row>
    <row r="25" spans="2:24" s="5" customFormat="1" ht="16.5" customHeight="1">
      <c r="B25" s="51"/>
      <c r="C25" s="408">
        <v>68</v>
      </c>
      <c r="D25" s="809" t="s">
        <v>195</v>
      </c>
      <c r="E25" s="1071" t="s">
        <v>246</v>
      </c>
      <c r="F25" s="160">
        <v>245</v>
      </c>
      <c r="G25" s="425">
        <f t="shared" si="0"/>
        <v>60.025</v>
      </c>
      <c r="H25" s="629">
        <v>39330.75347222222</v>
      </c>
      <c r="I25" s="630">
        <v>39331.354166666664</v>
      </c>
      <c r="J25" s="571">
        <f t="shared" si="1"/>
        <v>14.41666666668607</v>
      </c>
      <c r="K25" s="572">
        <f t="shared" si="2"/>
        <v>865</v>
      </c>
      <c r="L25" s="323" t="s">
        <v>182</v>
      </c>
      <c r="M25" s="227">
        <v>100</v>
      </c>
      <c r="N25" s="168" t="str">
        <f t="shared" si="10"/>
        <v>--</v>
      </c>
      <c r="O25" s="640">
        <f t="shared" si="3"/>
        <v>2</v>
      </c>
      <c r="P25" s="641">
        <f t="shared" si="4"/>
        <v>1731.1209999999999</v>
      </c>
      <c r="Q25" s="642" t="str">
        <f t="shared" si="5"/>
        <v>--</v>
      </c>
      <c r="R25" s="643" t="str">
        <f t="shared" si="6"/>
        <v>--</v>
      </c>
      <c r="S25" s="644" t="str">
        <f t="shared" si="7"/>
        <v>--</v>
      </c>
      <c r="T25" s="429"/>
      <c r="U25" s="168" t="str">
        <f t="shared" si="8"/>
        <v>SI</v>
      </c>
      <c r="V25" s="577">
        <f>IF(D25="","",SUM(P25:T25)*IF(U25="SI",1,2))*M25/100</f>
        <v>1731.1209999999999</v>
      </c>
      <c r="W25" s="508">
        <f t="shared" si="9"/>
        <v>1119.2304940404629</v>
      </c>
      <c r="X25" s="6"/>
    </row>
    <row r="26" spans="2:24" s="5" customFormat="1" ht="16.5" customHeight="1">
      <c r="B26" s="51"/>
      <c r="C26" s="408">
        <v>69</v>
      </c>
      <c r="D26" s="809" t="s">
        <v>195</v>
      </c>
      <c r="E26" s="1071" t="s">
        <v>246</v>
      </c>
      <c r="F26" s="160">
        <v>245</v>
      </c>
      <c r="G26" s="425">
        <f t="shared" si="0"/>
        <v>60.025</v>
      </c>
      <c r="H26" s="629">
        <v>39331.35486111111</v>
      </c>
      <c r="I26" s="630">
        <v>39331.44861111111</v>
      </c>
      <c r="J26" s="571">
        <f t="shared" si="1"/>
        <v>2.25</v>
      </c>
      <c r="K26" s="572">
        <f t="shared" si="2"/>
        <v>135</v>
      </c>
      <c r="L26" s="323" t="s">
        <v>182</v>
      </c>
      <c r="M26" s="227" t="str">
        <f>IF(D26="","","--")</f>
        <v>--</v>
      </c>
      <c r="N26" s="168" t="str">
        <f t="shared" si="10"/>
        <v>--</v>
      </c>
      <c r="O26" s="640">
        <f t="shared" si="3"/>
        <v>2</v>
      </c>
      <c r="P26" s="641">
        <f t="shared" si="4"/>
        <v>270.1125</v>
      </c>
      <c r="Q26" s="642" t="str">
        <f t="shared" si="5"/>
        <v>--</v>
      </c>
      <c r="R26" s="643" t="str">
        <f t="shared" si="6"/>
        <v>--</v>
      </c>
      <c r="S26" s="644" t="str">
        <f t="shared" si="7"/>
        <v>--</v>
      </c>
      <c r="T26" s="429"/>
      <c r="U26" s="168" t="str">
        <f t="shared" si="8"/>
        <v>SI</v>
      </c>
      <c r="V26" s="577">
        <f>IF(D26="","",SUM(P26:T26)*IF(U26="SI",1,2))</f>
        <v>270.1125</v>
      </c>
      <c r="W26" s="508">
        <f t="shared" si="9"/>
        <v>174.6372130090875</v>
      </c>
      <c r="X26" s="6"/>
    </row>
    <row r="27" spans="2:24" s="5" customFormat="1" ht="16.5" customHeight="1">
      <c r="B27" s="51"/>
      <c r="C27" s="408">
        <v>70</v>
      </c>
      <c r="D27" s="809" t="s">
        <v>195</v>
      </c>
      <c r="E27" s="1071" t="s">
        <v>246</v>
      </c>
      <c r="F27" s="160">
        <v>245</v>
      </c>
      <c r="G27" s="425">
        <f t="shared" si="0"/>
        <v>60.025</v>
      </c>
      <c r="H27" s="629">
        <v>39331.44930555556</v>
      </c>
      <c r="I27" s="630">
        <v>39331.67638888889</v>
      </c>
      <c r="J27" s="571">
        <f t="shared" si="1"/>
        <v>5.449999999953434</v>
      </c>
      <c r="K27" s="572">
        <f t="shared" si="2"/>
        <v>327</v>
      </c>
      <c r="L27" s="323" t="s">
        <v>182</v>
      </c>
      <c r="M27" s="227">
        <v>75.51</v>
      </c>
      <c r="N27" s="168" t="str">
        <f t="shared" si="10"/>
        <v>--</v>
      </c>
      <c r="O27" s="640">
        <f t="shared" si="3"/>
        <v>2</v>
      </c>
      <c r="P27" s="641">
        <f t="shared" si="4"/>
        <v>654.2725</v>
      </c>
      <c r="Q27" s="642" t="str">
        <f t="shared" si="5"/>
        <v>--</v>
      </c>
      <c r="R27" s="643" t="str">
        <f t="shared" si="6"/>
        <v>--</v>
      </c>
      <c r="S27" s="644" t="str">
        <f t="shared" si="7"/>
        <v>--</v>
      </c>
      <c r="T27" s="429"/>
      <c r="U27" s="168" t="str">
        <f t="shared" si="8"/>
        <v>SI</v>
      </c>
      <c r="V27" s="577">
        <f>IF(D27="","",SUM(P27:T27)*IF(U27="SI",1,2))*M27/100</f>
        <v>494.04116475</v>
      </c>
      <c r="W27" s="508">
        <f t="shared" si="9"/>
        <v>319.4149553378812</v>
      </c>
      <c r="X27" s="6"/>
    </row>
    <row r="28" spans="2:24" s="5" customFormat="1" ht="16.5" customHeight="1">
      <c r="B28" s="51"/>
      <c r="C28" s="408">
        <v>71</v>
      </c>
      <c r="D28" s="809" t="s">
        <v>195</v>
      </c>
      <c r="E28" s="1071" t="s">
        <v>246</v>
      </c>
      <c r="F28" s="160">
        <v>245</v>
      </c>
      <c r="G28" s="425">
        <f t="shared" si="0"/>
        <v>60.025</v>
      </c>
      <c r="H28" s="629">
        <v>39331.677083333336</v>
      </c>
      <c r="I28" s="630">
        <v>39331.760416666664</v>
      </c>
      <c r="J28" s="571">
        <f t="shared" si="1"/>
        <v>1.9999999998835847</v>
      </c>
      <c r="K28" s="572">
        <f t="shared" si="2"/>
        <v>120</v>
      </c>
      <c r="L28" s="323" t="s">
        <v>182</v>
      </c>
      <c r="M28" s="227" t="str">
        <f>IF(D28="","","--")</f>
        <v>--</v>
      </c>
      <c r="N28" s="168" t="str">
        <f t="shared" si="10"/>
        <v>--</v>
      </c>
      <c r="O28" s="640">
        <f t="shared" si="3"/>
        <v>2</v>
      </c>
      <c r="P28" s="641">
        <f t="shared" si="4"/>
        <v>240.1</v>
      </c>
      <c r="Q28" s="642" t="str">
        <f t="shared" si="5"/>
        <v>--</v>
      </c>
      <c r="R28" s="643" t="str">
        <f t="shared" si="6"/>
        <v>--</v>
      </c>
      <c r="S28" s="644" t="str">
        <f t="shared" si="7"/>
        <v>--</v>
      </c>
      <c r="T28" s="429"/>
      <c r="U28" s="168" t="str">
        <f t="shared" si="8"/>
        <v>SI</v>
      </c>
      <c r="V28" s="577">
        <f>IF(D28="","",SUM(P28:T28)*IF(U28="SI",1,2))</f>
        <v>240.1</v>
      </c>
      <c r="W28" s="508">
        <f t="shared" si="9"/>
        <v>155.23307823029998</v>
      </c>
      <c r="X28" s="6"/>
    </row>
    <row r="29" spans="2:24" s="5" customFormat="1" ht="16.5" customHeight="1">
      <c r="B29" s="51"/>
      <c r="C29" s="408">
        <v>72</v>
      </c>
      <c r="D29" s="809" t="s">
        <v>195</v>
      </c>
      <c r="E29" s="1071" t="s">
        <v>246</v>
      </c>
      <c r="F29" s="160">
        <v>245</v>
      </c>
      <c r="G29" s="425">
        <f t="shared" si="0"/>
        <v>60.025</v>
      </c>
      <c r="H29" s="629">
        <v>39331.76111111111</v>
      </c>
      <c r="I29" s="630">
        <v>39332.379166666666</v>
      </c>
      <c r="J29" s="571">
        <f t="shared" si="1"/>
        <v>14.83333333331393</v>
      </c>
      <c r="K29" s="572">
        <f t="shared" si="2"/>
        <v>890</v>
      </c>
      <c r="L29" s="323" t="s">
        <v>182</v>
      </c>
      <c r="M29" s="227">
        <v>95.92</v>
      </c>
      <c r="N29" s="168" t="str">
        <f t="shared" si="10"/>
        <v>--</v>
      </c>
      <c r="O29" s="640">
        <f t="shared" si="3"/>
        <v>2</v>
      </c>
      <c r="P29" s="641">
        <f t="shared" si="4"/>
        <v>1780.3415</v>
      </c>
      <c r="Q29" s="642" t="str">
        <f t="shared" si="5"/>
        <v>--</v>
      </c>
      <c r="R29" s="643" t="str">
        <f t="shared" si="6"/>
        <v>--</v>
      </c>
      <c r="S29" s="644" t="str">
        <f t="shared" si="7"/>
        <v>--</v>
      </c>
      <c r="T29" s="429"/>
      <c r="U29" s="168" t="str">
        <f t="shared" si="8"/>
        <v>SI</v>
      </c>
      <c r="V29" s="577">
        <f>IF(D29="","",SUM(P29:T29)*IF(U29="SI",1,2))*M29/100</f>
        <v>1707.7035667999999</v>
      </c>
      <c r="W29" s="508">
        <f t="shared" si="9"/>
        <v>1104.0903014545052</v>
      </c>
      <c r="X29" s="6"/>
    </row>
    <row r="30" spans="2:24" s="5" customFormat="1" ht="16.5" customHeight="1">
      <c r="B30" s="51"/>
      <c r="C30" s="408">
        <v>73</v>
      </c>
      <c r="D30" s="809" t="s">
        <v>198</v>
      </c>
      <c r="E30" s="1071" t="s">
        <v>265</v>
      </c>
      <c r="F30" s="160">
        <v>150</v>
      </c>
      <c r="G30" s="425">
        <f t="shared" si="0"/>
        <v>36.75</v>
      </c>
      <c r="H30" s="629">
        <v>39332.34722222222</v>
      </c>
      <c r="I30" s="630">
        <v>39332.68402777778</v>
      </c>
      <c r="J30" s="571">
        <f t="shared" si="1"/>
        <v>8.083333333488554</v>
      </c>
      <c r="K30" s="572">
        <f t="shared" si="2"/>
        <v>485</v>
      </c>
      <c r="L30" s="323" t="s">
        <v>182</v>
      </c>
      <c r="M30" s="227" t="str">
        <f>IF(D30="","","--")</f>
        <v>--</v>
      </c>
      <c r="N30" s="168" t="str">
        <f t="shared" si="10"/>
        <v>--</v>
      </c>
      <c r="O30" s="640">
        <f t="shared" si="3"/>
        <v>2</v>
      </c>
      <c r="P30" s="641">
        <f t="shared" si="4"/>
        <v>593.88</v>
      </c>
      <c r="Q30" s="642" t="str">
        <f t="shared" si="5"/>
        <v>--</v>
      </c>
      <c r="R30" s="643" t="str">
        <f t="shared" si="6"/>
        <v>--</v>
      </c>
      <c r="S30" s="644" t="str">
        <f t="shared" si="7"/>
        <v>--</v>
      </c>
      <c r="T30" s="429"/>
      <c r="U30" s="168" t="str">
        <f t="shared" si="8"/>
        <v>SI</v>
      </c>
      <c r="V30" s="577">
        <f>IF(D30="","",SUM(P30:T30)*IF(U30="SI",1,2))</f>
        <v>593.88</v>
      </c>
      <c r="W30" s="508">
        <f t="shared" si="9"/>
        <v>383.96426696963994</v>
      </c>
      <c r="X30" s="6"/>
    </row>
    <row r="31" spans="2:24" s="5" customFormat="1" ht="16.5" customHeight="1">
      <c r="B31" s="51"/>
      <c r="C31" s="408">
        <v>74</v>
      </c>
      <c r="D31" s="809" t="s">
        <v>195</v>
      </c>
      <c r="E31" s="1071" t="s">
        <v>246</v>
      </c>
      <c r="F31" s="160">
        <v>245</v>
      </c>
      <c r="G31" s="425">
        <f t="shared" si="0"/>
        <v>60.025</v>
      </c>
      <c r="H31" s="629">
        <v>39332.37986111111</v>
      </c>
      <c r="I31" s="630">
        <v>39332.67569444444</v>
      </c>
      <c r="J31" s="571">
        <f t="shared" si="1"/>
        <v>7.099999999918509</v>
      </c>
      <c r="K31" s="572">
        <f t="shared" si="2"/>
        <v>426</v>
      </c>
      <c r="L31" s="323" t="s">
        <v>182</v>
      </c>
      <c r="M31" s="227" t="str">
        <f>IF(D31="","","--")</f>
        <v>--</v>
      </c>
      <c r="N31" s="168" t="str">
        <f t="shared" si="10"/>
        <v>--</v>
      </c>
      <c r="O31" s="640">
        <f t="shared" si="3"/>
        <v>2</v>
      </c>
      <c r="P31" s="641">
        <f t="shared" si="4"/>
        <v>852.3549999999999</v>
      </c>
      <c r="Q31" s="642" t="str">
        <f t="shared" si="5"/>
        <v>--</v>
      </c>
      <c r="R31" s="643" t="str">
        <f t="shared" si="6"/>
        <v>--</v>
      </c>
      <c r="S31" s="644" t="str">
        <f t="shared" si="7"/>
        <v>--</v>
      </c>
      <c r="T31" s="429"/>
      <c r="U31" s="168" t="str">
        <f t="shared" si="8"/>
        <v>SI</v>
      </c>
      <c r="V31" s="577">
        <f>IF(D31="","",SUM(P31:T31)*IF(U31="SI",1,2))</f>
        <v>852.3549999999999</v>
      </c>
      <c r="W31" s="508">
        <f t="shared" si="9"/>
        <v>551.0774277175649</v>
      </c>
      <c r="X31" s="6"/>
    </row>
    <row r="32" spans="2:24" s="5" customFormat="1" ht="16.5" customHeight="1">
      <c r="B32" s="51"/>
      <c r="C32" s="408">
        <v>75</v>
      </c>
      <c r="D32" s="809" t="s">
        <v>195</v>
      </c>
      <c r="E32" s="1071" t="s">
        <v>246</v>
      </c>
      <c r="F32" s="160">
        <v>245</v>
      </c>
      <c r="G32" s="425">
        <f t="shared" si="0"/>
        <v>60.025</v>
      </c>
      <c r="H32" s="629">
        <v>39332.67638888889</v>
      </c>
      <c r="I32" s="630">
        <v>39333.3625</v>
      </c>
      <c r="J32" s="571">
        <f t="shared" si="1"/>
        <v>16.466666666732635</v>
      </c>
      <c r="K32" s="572">
        <f t="shared" si="2"/>
        <v>988</v>
      </c>
      <c r="L32" s="323" t="s">
        <v>182</v>
      </c>
      <c r="M32" s="227">
        <v>100</v>
      </c>
      <c r="N32" s="168" t="str">
        <f t="shared" si="10"/>
        <v>--</v>
      </c>
      <c r="O32" s="640">
        <f t="shared" si="3"/>
        <v>2</v>
      </c>
      <c r="P32" s="641">
        <f t="shared" si="4"/>
        <v>1977.2234999999998</v>
      </c>
      <c r="Q32" s="642" t="str">
        <f t="shared" si="5"/>
        <v>--</v>
      </c>
      <c r="R32" s="643" t="str">
        <f t="shared" si="6"/>
        <v>--</v>
      </c>
      <c r="S32" s="644" t="str">
        <f t="shared" si="7"/>
        <v>--</v>
      </c>
      <c r="T32" s="429"/>
      <c r="U32" s="168" t="str">
        <f t="shared" si="8"/>
        <v>SI</v>
      </c>
      <c r="V32" s="577">
        <f>IF(D32="","",SUM(P32:T32)*IF(U32="SI",1,2))*M32/100</f>
        <v>1977.2234999999998</v>
      </c>
      <c r="W32" s="508">
        <f t="shared" si="9"/>
        <v>1278.3443992265202</v>
      </c>
      <c r="X32" s="6"/>
    </row>
    <row r="33" spans="2:24" s="5" customFormat="1" ht="16.5" customHeight="1">
      <c r="B33" s="51"/>
      <c r="C33" s="408">
        <v>76</v>
      </c>
      <c r="D33" s="809" t="s">
        <v>195</v>
      </c>
      <c r="E33" s="1071" t="s">
        <v>246</v>
      </c>
      <c r="F33" s="160">
        <v>245</v>
      </c>
      <c r="G33" s="425">
        <f t="shared" si="0"/>
        <v>60.025</v>
      </c>
      <c r="H33" s="629">
        <v>39333.36319444444</v>
      </c>
      <c r="I33" s="630">
        <v>39333.46527777778</v>
      </c>
      <c r="J33" s="571">
        <f t="shared" si="1"/>
        <v>2.450000000128057</v>
      </c>
      <c r="K33" s="572">
        <f t="shared" si="2"/>
        <v>147</v>
      </c>
      <c r="L33" s="323" t="s">
        <v>182</v>
      </c>
      <c r="M33" s="227" t="str">
        <f>IF(D33="","","--")</f>
        <v>--</v>
      </c>
      <c r="N33" s="168" t="str">
        <f t="shared" si="10"/>
        <v>--</v>
      </c>
      <c r="O33" s="640">
        <f t="shared" si="3"/>
        <v>2</v>
      </c>
      <c r="P33" s="641">
        <f t="shared" si="4"/>
        <v>294.1225</v>
      </c>
      <c r="Q33" s="642" t="str">
        <f t="shared" si="5"/>
        <v>--</v>
      </c>
      <c r="R33" s="643" t="str">
        <f t="shared" si="6"/>
        <v>--</v>
      </c>
      <c r="S33" s="644" t="str">
        <f t="shared" si="7"/>
        <v>--</v>
      </c>
      <c r="T33" s="429"/>
      <c r="U33" s="168" t="str">
        <f t="shared" si="8"/>
        <v>SI</v>
      </c>
      <c r="V33" s="577">
        <f>IF(D33="","",SUM(P33:T33)*IF(U33="SI",1,2))</f>
        <v>294.1225</v>
      </c>
      <c r="W33" s="508">
        <f t="shared" si="9"/>
        <v>190.1605208321175</v>
      </c>
      <c r="X33" s="6"/>
    </row>
    <row r="34" spans="2:24" s="5" customFormat="1" ht="16.5" customHeight="1">
      <c r="B34" s="51"/>
      <c r="C34" s="408">
        <v>77</v>
      </c>
      <c r="D34" s="809" t="s">
        <v>195</v>
      </c>
      <c r="E34" s="1071" t="s">
        <v>246</v>
      </c>
      <c r="F34" s="160">
        <v>245</v>
      </c>
      <c r="G34" s="425">
        <f t="shared" si="0"/>
        <v>60.025</v>
      </c>
      <c r="H34" s="629">
        <v>39333.46597222222</v>
      </c>
      <c r="I34" s="630">
        <v>39333.50347222222</v>
      </c>
      <c r="J34" s="571">
        <f t="shared" si="1"/>
        <v>0.8999999999650754</v>
      </c>
      <c r="K34" s="572">
        <f t="shared" si="2"/>
        <v>54</v>
      </c>
      <c r="L34" s="323" t="s">
        <v>182</v>
      </c>
      <c r="M34" s="227">
        <v>95.92</v>
      </c>
      <c r="N34" s="168" t="str">
        <f t="shared" si="10"/>
        <v>--</v>
      </c>
      <c r="O34" s="640">
        <f t="shared" si="3"/>
        <v>2</v>
      </c>
      <c r="P34" s="641">
        <f t="shared" si="4"/>
        <v>108.045</v>
      </c>
      <c r="Q34" s="642" t="str">
        <f t="shared" si="5"/>
        <v>--</v>
      </c>
      <c r="R34" s="643" t="str">
        <f t="shared" si="6"/>
        <v>--</v>
      </c>
      <c r="S34" s="644" t="str">
        <f t="shared" si="7"/>
        <v>--</v>
      </c>
      <c r="T34" s="429"/>
      <c r="U34" s="168" t="str">
        <f t="shared" si="8"/>
        <v>SI</v>
      </c>
      <c r="V34" s="577">
        <f>IF(D34="","",SUM(P34:T34)*IF(U34="SI",1,2))*M34/100</f>
        <v>103.636764</v>
      </c>
      <c r="W34" s="508">
        <f t="shared" si="9"/>
        <v>67.00480588732668</v>
      </c>
      <c r="X34" s="6"/>
    </row>
    <row r="35" spans="2:24" s="5" customFormat="1" ht="16.5" customHeight="1">
      <c r="B35" s="51"/>
      <c r="C35" s="408">
        <v>78</v>
      </c>
      <c r="D35" s="809" t="s">
        <v>195</v>
      </c>
      <c r="E35" s="1071" t="s">
        <v>246</v>
      </c>
      <c r="F35" s="160">
        <v>245</v>
      </c>
      <c r="G35" s="425">
        <f t="shared" si="0"/>
        <v>60.025</v>
      </c>
      <c r="H35" s="629">
        <v>39333.504166666666</v>
      </c>
      <c r="I35" s="630">
        <v>39333.68541666667</v>
      </c>
      <c r="J35" s="571">
        <f t="shared" si="1"/>
        <v>4.350000000034925</v>
      </c>
      <c r="K35" s="572">
        <f t="shared" si="2"/>
        <v>261</v>
      </c>
      <c r="L35" s="323" t="s">
        <v>182</v>
      </c>
      <c r="M35" s="227" t="str">
        <f>IF(D35="","","--")</f>
        <v>--</v>
      </c>
      <c r="N35" s="168" t="str">
        <f t="shared" si="10"/>
        <v>--</v>
      </c>
      <c r="O35" s="640">
        <f t="shared" si="3"/>
        <v>2</v>
      </c>
      <c r="P35" s="641">
        <f t="shared" si="4"/>
        <v>522.2175</v>
      </c>
      <c r="Q35" s="642" t="str">
        <f t="shared" si="5"/>
        <v>--</v>
      </c>
      <c r="R35" s="643" t="str">
        <f t="shared" si="6"/>
        <v>--</v>
      </c>
      <c r="S35" s="644" t="str">
        <f t="shared" si="7"/>
        <v>--</v>
      </c>
      <c r="T35" s="429"/>
      <c r="U35" s="168" t="str">
        <f t="shared" si="8"/>
        <v>SI</v>
      </c>
      <c r="V35" s="577">
        <f>IF(D35="","",SUM(P35:T35)*IF(U35="SI",1,2))</f>
        <v>522.2175</v>
      </c>
      <c r="W35" s="508">
        <f t="shared" si="9"/>
        <v>337.6319451509025</v>
      </c>
      <c r="X35" s="6"/>
    </row>
    <row r="36" spans="2:24" s="5" customFormat="1" ht="16.5" customHeight="1">
      <c r="B36" s="51"/>
      <c r="C36" s="408">
        <v>79</v>
      </c>
      <c r="D36" s="809" t="s">
        <v>195</v>
      </c>
      <c r="E36" s="1071" t="s">
        <v>246</v>
      </c>
      <c r="F36" s="160">
        <v>245</v>
      </c>
      <c r="G36" s="425">
        <f t="shared" si="0"/>
        <v>60.025</v>
      </c>
      <c r="H36" s="629">
        <v>39333.686111111114</v>
      </c>
      <c r="I36" s="630">
        <v>39335.49652777778</v>
      </c>
      <c r="J36" s="571">
        <f t="shared" si="1"/>
        <v>43.45000000001164</v>
      </c>
      <c r="K36" s="572">
        <f t="shared" si="2"/>
        <v>2607</v>
      </c>
      <c r="L36" s="323" t="s">
        <v>182</v>
      </c>
      <c r="M36" s="227">
        <v>95.92</v>
      </c>
      <c r="N36" s="168" t="str">
        <f t="shared" si="10"/>
        <v>--</v>
      </c>
      <c r="O36" s="640">
        <f t="shared" si="3"/>
        <v>2</v>
      </c>
      <c r="P36" s="641">
        <f t="shared" si="4"/>
        <v>5216.172500000001</v>
      </c>
      <c r="Q36" s="642" t="str">
        <f t="shared" si="5"/>
        <v>--</v>
      </c>
      <c r="R36" s="643" t="str">
        <f t="shared" si="6"/>
        <v>--</v>
      </c>
      <c r="S36" s="644" t="str">
        <f t="shared" si="7"/>
        <v>--</v>
      </c>
      <c r="T36" s="429"/>
      <c r="U36" s="168" t="str">
        <f t="shared" si="8"/>
        <v>SI</v>
      </c>
      <c r="V36" s="577">
        <f>IF(D36="","",SUM(P36:T36)*IF(U36="SI",1,2))*M36/100</f>
        <v>5003.352662000001</v>
      </c>
      <c r="W36" s="508">
        <f t="shared" si="9"/>
        <v>3234.8431286714945</v>
      </c>
      <c r="X36" s="6"/>
    </row>
    <row r="37" spans="2:24" s="5" customFormat="1" ht="16.5" customHeight="1">
      <c r="B37" s="51"/>
      <c r="C37" s="408">
        <v>80</v>
      </c>
      <c r="D37" s="809" t="s">
        <v>195</v>
      </c>
      <c r="E37" s="1071" t="s">
        <v>246</v>
      </c>
      <c r="F37" s="160">
        <v>245</v>
      </c>
      <c r="G37" s="425">
        <f t="shared" si="0"/>
        <v>60.025</v>
      </c>
      <c r="H37" s="629">
        <v>39335.49722222222</v>
      </c>
      <c r="I37" s="630">
        <v>39337.56041666667</v>
      </c>
      <c r="J37" s="571">
        <f t="shared" si="1"/>
        <v>49.516666666720994</v>
      </c>
      <c r="K37" s="572">
        <f t="shared" si="2"/>
        <v>2971</v>
      </c>
      <c r="L37" s="323" t="s">
        <v>182</v>
      </c>
      <c r="M37" s="227" t="str">
        <f>IF(D37="","","--")</f>
        <v>--</v>
      </c>
      <c r="N37" s="168" t="str">
        <f t="shared" si="10"/>
        <v>--</v>
      </c>
      <c r="O37" s="640">
        <f t="shared" si="3"/>
        <v>2</v>
      </c>
      <c r="P37" s="641">
        <f t="shared" si="4"/>
        <v>5944.876</v>
      </c>
      <c r="Q37" s="642" t="str">
        <f t="shared" si="5"/>
        <v>--</v>
      </c>
      <c r="R37" s="643" t="str">
        <f t="shared" si="6"/>
        <v>--</v>
      </c>
      <c r="S37" s="644" t="str">
        <f t="shared" si="7"/>
        <v>--</v>
      </c>
      <c r="T37" s="429"/>
      <c r="U37" s="168" t="str">
        <f t="shared" si="8"/>
        <v>SI</v>
      </c>
      <c r="V37" s="577">
        <f>IF(D37="","",SUM(P37:T37)*IF(U37="SI",1,2))</f>
        <v>5944.876</v>
      </c>
      <c r="W37" s="508">
        <f t="shared" si="9"/>
        <v>3843.571016982228</v>
      </c>
      <c r="X37" s="6"/>
    </row>
    <row r="38" spans="2:24" s="5" customFormat="1" ht="16.5" customHeight="1">
      <c r="B38" s="51"/>
      <c r="C38" s="408">
        <v>81</v>
      </c>
      <c r="D38" s="809" t="s">
        <v>195</v>
      </c>
      <c r="E38" s="1071" t="s">
        <v>246</v>
      </c>
      <c r="F38" s="160">
        <v>245</v>
      </c>
      <c r="G38" s="425">
        <f t="shared" si="0"/>
        <v>60.025</v>
      </c>
      <c r="H38" s="629">
        <v>39337.75763888889</v>
      </c>
      <c r="I38" s="630">
        <v>39345.2625</v>
      </c>
      <c r="J38" s="571">
        <f t="shared" si="1"/>
        <v>180.1166666665231</v>
      </c>
      <c r="K38" s="572">
        <f t="shared" si="2"/>
        <v>10807</v>
      </c>
      <c r="L38" s="323" t="s">
        <v>190</v>
      </c>
      <c r="M38" s="227">
        <v>51.02</v>
      </c>
      <c r="N38" s="168" t="str">
        <f t="shared" si="10"/>
        <v>NO</v>
      </c>
      <c r="O38" s="640">
        <f t="shared" si="3"/>
        <v>20</v>
      </c>
      <c r="P38" s="641" t="str">
        <f t="shared" si="4"/>
        <v>--</v>
      </c>
      <c r="Q38" s="642">
        <f t="shared" si="5"/>
        <v>1200.5</v>
      </c>
      <c r="R38" s="643">
        <f t="shared" si="6"/>
        <v>216234.06</v>
      </c>
      <c r="S38" s="644" t="str">
        <f t="shared" si="7"/>
        <v>--</v>
      </c>
      <c r="T38" s="429"/>
      <c r="U38" s="168" t="str">
        <f t="shared" si="8"/>
        <v>SI</v>
      </c>
      <c r="V38" s="577">
        <v>0</v>
      </c>
      <c r="W38" s="508">
        <f t="shared" si="9"/>
        <v>0</v>
      </c>
      <c r="X38" s="6"/>
    </row>
    <row r="39" spans="2:24" s="5" customFormat="1" ht="16.5" customHeight="1">
      <c r="B39" s="51"/>
      <c r="C39" s="408">
        <v>82</v>
      </c>
      <c r="D39" s="809" t="s">
        <v>195</v>
      </c>
      <c r="E39" s="1071" t="s">
        <v>247</v>
      </c>
      <c r="F39" s="160">
        <v>245</v>
      </c>
      <c r="G39" s="425">
        <f t="shared" si="0"/>
        <v>60.025</v>
      </c>
      <c r="H39" s="629">
        <v>39337.75763888889</v>
      </c>
      <c r="I39" s="630">
        <v>39345.2625</v>
      </c>
      <c r="J39" s="571">
        <f t="shared" si="1"/>
        <v>180.1166666665231</v>
      </c>
      <c r="K39" s="572">
        <f t="shared" si="2"/>
        <v>10807</v>
      </c>
      <c r="L39" s="323" t="s">
        <v>190</v>
      </c>
      <c r="M39" s="227">
        <v>51.02</v>
      </c>
      <c r="N39" s="168" t="str">
        <f t="shared" si="10"/>
        <v>NO</v>
      </c>
      <c r="O39" s="640">
        <f t="shared" si="3"/>
        <v>20</v>
      </c>
      <c r="P39" s="641" t="str">
        <f t="shared" si="4"/>
        <v>--</v>
      </c>
      <c r="Q39" s="642">
        <f t="shared" si="5"/>
        <v>1200.5</v>
      </c>
      <c r="R39" s="643">
        <f t="shared" si="6"/>
        <v>216234.06</v>
      </c>
      <c r="S39" s="644" t="str">
        <f t="shared" si="7"/>
        <v>--</v>
      </c>
      <c r="T39" s="429"/>
      <c r="U39" s="168" t="str">
        <f t="shared" si="8"/>
        <v>SI</v>
      </c>
      <c r="V39" s="577">
        <v>0</v>
      </c>
      <c r="W39" s="508">
        <f t="shared" si="9"/>
        <v>0</v>
      </c>
      <c r="X39" s="6"/>
    </row>
    <row r="40" spans="2:24" s="5" customFormat="1" ht="16.5" customHeight="1">
      <c r="B40" s="51"/>
      <c r="C40" s="408">
        <v>83</v>
      </c>
      <c r="D40" s="809" t="s">
        <v>195</v>
      </c>
      <c r="E40" s="1071" t="s">
        <v>248</v>
      </c>
      <c r="F40" s="160">
        <v>245</v>
      </c>
      <c r="G40" s="425">
        <f t="shared" si="0"/>
        <v>60.025</v>
      </c>
      <c r="H40" s="629">
        <v>39339.35486111111</v>
      </c>
      <c r="I40" s="630">
        <v>39339.677083333336</v>
      </c>
      <c r="J40" s="571">
        <f t="shared" si="1"/>
        <v>7.7333333333954215</v>
      </c>
      <c r="K40" s="572">
        <f t="shared" si="2"/>
        <v>464</v>
      </c>
      <c r="L40" s="323" t="s">
        <v>182</v>
      </c>
      <c r="M40" s="227" t="str">
        <f>IF(D40="","","--")</f>
        <v>--</v>
      </c>
      <c r="N40" s="168" t="str">
        <f t="shared" si="10"/>
        <v>--</v>
      </c>
      <c r="O40" s="640">
        <f t="shared" si="3"/>
        <v>2</v>
      </c>
      <c r="P40" s="641">
        <f t="shared" si="4"/>
        <v>927.9865</v>
      </c>
      <c r="Q40" s="642" t="str">
        <f t="shared" si="5"/>
        <v>--</v>
      </c>
      <c r="R40" s="643" t="str">
        <f t="shared" si="6"/>
        <v>--</v>
      </c>
      <c r="S40" s="644" t="str">
        <f t="shared" si="7"/>
        <v>--</v>
      </c>
      <c r="T40" s="429"/>
      <c r="U40" s="168" t="str">
        <f t="shared" si="8"/>
        <v>SI</v>
      </c>
      <c r="V40" s="577">
        <f>IF(D40="","",SUM(P40:T40)*IF(U40="SI",1,2))</f>
        <v>927.9865</v>
      </c>
      <c r="W40" s="508">
        <f t="shared" si="9"/>
        <v>599.9758473601095</v>
      </c>
      <c r="X40" s="6"/>
    </row>
    <row r="41" spans="2:24" s="5" customFormat="1" ht="16.5" customHeight="1">
      <c r="B41" s="51"/>
      <c r="C41" s="408">
        <v>84</v>
      </c>
      <c r="D41" s="809" t="s">
        <v>249</v>
      </c>
      <c r="E41" s="1071" t="s">
        <v>250</v>
      </c>
      <c r="F41" s="160">
        <v>150</v>
      </c>
      <c r="G41" s="425">
        <f t="shared" si="0"/>
        <v>36.75</v>
      </c>
      <c r="H41" s="629">
        <v>39341.029861111114</v>
      </c>
      <c r="I41" s="630">
        <v>39342.61111111111</v>
      </c>
      <c r="J41" s="571">
        <f t="shared" si="1"/>
        <v>37.949999999895226</v>
      </c>
      <c r="K41" s="572">
        <f t="shared" si="2"/>
        <v>2277</v>
      </c>
      <c r="L41" s="323" t="s">
        <v>190</v>
      </c>
      <c r="M41" s="227" t="str">
        <f>IF(D41="","","--")</f>
        <v>--</v>
      </c>
      <c r="N41" s="168" t="str">
        <f t="shared" si="10"/>
        <v>NO</v>
      </c>
      <c r="O41" s="640">
        <f t="shared" si="3"/>
        <v>20</v>
      </c>
      <c r="P41" s="641" t="str">
        <f t="shared" si="4"/>
        <v>--</v>
      </c>
      <c r="Q41" s="642">
        <f t="shared" si="5"/>
        <v>735</v>
      </c>
      <c r="R41" s="643">
        <f t="shared" si="6"/>
        <v>27893.250000000004</v>
      </c>
      <c r="S41" s="644" t="str">
        <f t="shared" si="7"/>
        <v>--</v>
      </c>
      <c r="T41" s="429"/>
      <c r="U41" s="168" t="str">
        <f t="shared" si="8"/>
        <v>SI</v>
      </c>
      <c r="V41" s="577">
        <f>IF(D41="","",SUM(P41:T41)*IF(U41="SI",1,2))</f>
        <v>28628.250000000004</v>
      </c>
      <c r="W41" s="508">
        <f t="shared" si="9"/>
        <v>18509.168562459752</v>
      </c>
      <c r="X41" s="6"/>
    </row>
    <row r="42" spans="2:24" s="5" customFormat="1" ht="16.5" customHeight="1" thickBot="1">
      <c r="B42" s="51"/>
      <c r="C42" s="1133"/>
      <c r="D42" s="646"/>
      <c r="E42" s="161"/>
      <c r="F42" s="647"/>
      <c r="G42" s="141"/>
      <c r="H42" s="578"/>
      <c r="I42" s="578"/>
      <c r="J42" s="579"/>
      <c r="K42" s="579"/>
      <c r="L42" s="241"/>
      <c r="M42" s="241"/>
      <c r="N42" s="167"/>
      <c r="O42" s="648"/>
      <c r="P42" s="649"/>
      <c r="Q42" s="650"/>
      <c r="R42" s="651"/>
      <c r="S42" s="652"/>
      <c r="T42" s="652"/>
      <c r="U42" s="167"/>
      <c r="V42" s="653"/>
      <c r="W42" s="653"/>
      <c r="X42" s="6"/>
    </row>
    <row r="43" spans="2:24" s="5" customFormat="1" ht="16.5" customHeight="1" thickBot="1" thickTop="1">
      <c r="B43" s="51"/>
      <c r="C43" s="133"/>
      <c r="D43" s="132" t="s">
        <v>304</v>
      </c>
      <c r="G43" s="4"/>
      <c r="H43" s="4"/>
      <c r="I43" s="4"/>
      <c r="J43" s="4"/>
      <c r="K43" s="4"/>
      <c r="L43" s="4"/>
      <c r="M43" s="67"/>
      <c r="N43" s="4"/>
      <c r="O43" s="4"/>
      <c r="P43" s="654">
        <f>SUM(P20:P42)</f>
        <v>34804.52849999999</v>
      </c>
      <c r="Q43" s="655">
        <f>SUM(Q20:Q42)</f>
        <v>3822</v>
      </c>
      <c r="R43" s="656">
        <f>SUM(R20:R42)</f>
        <v>461499.64</v>
      </c>
      <c r="S43" s="657">
        <f>SUM(S20:S42)</f>
        <v>0</v>
      </c>
      <c r="T43" s="657">
        <f>SUM(T20:T42)</f>
        <v>0</v>
      </c>
      <c r="V43" s="102">
        <f>ROUND(SUM(V20:V42),2)</f>
        <v>64304.9</v>
      </c>
      <c r="W43" s="102">
        <f>SUM(W21:W41)</f>
        <v>41575.376475183</v>
      </c>
      <c r="X43" s="658"/>
    </row>
    <row r="44" spans="2:24" s="137" customFormat="1" ht="9.75" thickTop="1">
      <c r="B44" s="136"/>
      <c r="C44" s="133"/>
      <c r="D44" s="134" t="s">
        <v>309</v>
      </c>
      <c r="G44" s="135"/>
      <c r="H44" s="135"/>
      <c r="I44" s="135"/>
      <c r="J44" s="135"/>
      <c r="K44" s="135"/>
      <c r="L44" s="135"/>
      <c r="M44" s="133"/>
      <c r="N44" s="135"/>
      <c r="O44" s="135"/>
      <c r="P44" s="469"/>
      <c r="Q44" s="469"/>
      <c r="R44" s="469"/>
      <c r="S44" s="469"/>
      <c r="T44" s="469"/>
      <c r="V44" s="253"/>
      <c r="W44" s="253"/>
      <c r="X44" s="590"/>
    </row>
    <row r="45" spans="2:24" s="5" customFormat="1" ht="16.5" customHeight="1" thickBot="1"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1072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7"/>
    </row>
    <row r="46" spans="4:26" ht="16.5" customHeight="1" thickTop="1">
      <c r="D46" s="203"/>
      <c r="E46" s="203"/>
      <c r="F46" s="203"/>
      <c r="G46" s="193"/>
      <c r="H46" s="193"/>
      <c r="I46" s="193"/>
      <c r="J46" s="193"/>
      <c r="K46" s="193"/>
      <c r="L46" s="193"/>
      <c r="M46" s="107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</row>
    <row r="47" spans="4:26" ht="16.5" customHeight="1">
      <c r="D47" s="203"/>
      <c r="E47" s="203"/>
      <c r="F47" s="203"/>
      <c r="G47" s="193"/>
      <c r="H47" s="193"/>
      <c r="I47" s="193"/>
      <c r="J47" s="193"/>
      <c r="K47" s="193"/>
      <c r="L47" s="193"/>
      <c r="M47" s="107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</row>
    <row r="48" spans="4:26" ht="16.5" customHeight="1">
      <c r="D48" s="203"/>
      <c r="E48" s="203"/>
      <c r="F48" s="203"/>
      <c r="G48" s="193"/>
      <c r="H48" s="193"/>
      <c r="I48" s="193"/>
      <c r="J48" s="193"/>
      <c r="K48" s="193"/>
      <c r="L48" s="193"/>
      <c r="M48" s="107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</row>
    <row r="49" spans="4:26" ht="16.5" customHeight="1">
      <c r="D49" s="203"/>
      <c r="E49" s="203"/>
      <c r="F49" s="203"/>
      <c r="G49" s="193"/>
      <c r="H49" s="193"/>
      <c r="I49" s="193"/>
      <c r="J49" s="193"/>
      <c r="K49" s="193"/>
      <c r="L49" s="193"/>
      <c r="M49" s="107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</row>
    <row r="50" spans="4:26" ht="16.5" customHeight="1">
      <c r="D50" s="203"/>
      <c r="E50" s="203"/>
      <c r="F50" s="203"/>
      <c r="G50" s="193"/>
      <c r="H50" s="193"/>
      <c r="I50" s="193"/>
      <c r="J50" s="193"/>
      <c r="K50" s="193"/>
      <c r="L50" s="193"/>
      <c r="M50" s="107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</row>
    <row r="51" spans="4:26" ht="16.5" customHeight="1">
      <c r="D51" s="203"/>
      <c r="E51" s="203"/>
      <c r="F51" s="203"/>
      <c r="G51" s="193"/>
      <c r="H51" s="193"/>
      <c r="I51" s="193"/>
      <c r="J51" s="193"/>
      <c r="K51" s="193"/>
      <c r="L51" s="193"/>
      <c r="M51" s="107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</row>
    <row r="52" spans="4:26" ht="16.5" customHeight="1">
      <c r="D52" s="193"/>
      <c r="E52" s="193"/>
      <c r="F52" s="193"/>
      <c r="G52" s="193"/>
      <c r="H52" s="193"/>
      <c r="I52" s="193"/>
      <c r="J52" s="193"/>
      <c r="K52" s="193"/>
      <c r="L52" s="193"/>
      <c r="M52" s="107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</row>
    <row r="53" spans="4:26" ht="16.5" customHeight="1">
      <c r="D53" s="193"/>
      <c r="E53" s="193"/>
      <c r="F53" s="193"/>
      <c r="G53" s="193"/>
      <c r="H53" s="193"/>
      <c r="I53" s="193"/>
      <c r="J53" s="193"/>
      <c r="K53" s="193"/>
      <c r="L53" s="193"/>
      <c r="M53" s="107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</row>
    <row r="54" spans="4:26" ht="16.5" customHeight="1">
      <c r="D54" s="193"/>
      <c r="E54" s="193"/>
      <c r="F54" s="193"/>
      <c r="G54" s="193"/>
      <c r="H54" s="193"/>
      <c r="I54" s="193"/>
      <c r="J54" s="193"/>
      <c r="K54" s="193"/>
      <c r="L54" s="193"/>
      <c r="M54" s="107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</row>
    <row r="55" spans="4:26" ht="16.5" customHeight="1">
      <c r="D55" s="193"/>
      <c r="E55" s="193"/>
      <c r="F55" s="193"/>
      <c r="G55" s="193"/>
      <c r="H55" s="193"/>
      <c r="I55" s="193"/>
      <c r="J55" s="193"/>
      <c r="K55" s="193"/>
      <c r="L55" s="193"/>
      <c r="M55" s="107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</row>
    <row r="56" spans="4:26" ht="16.5" customHeight="1">
      <c r="D56" s="193"/>
      <c r="E56" s="193"/>
      <c r="F56" s="193"/>
      <c r="G56" s="193"/>
      <c r="H56" s="193"/>
      <c r="I56" s="193"/>
      <c r="J56" s="193"/>
      <c r="K56" s="193"/>
      <c r="L56" s="193"/>
      <c r="M56" s="107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</row>
    <row r="57" spans="4:26" ht="16.5" customHeight="1">
      <c r="D57" s="193"/>
      <c r="E57" s="193"/>
      <c r="F57" s="193"/>
      <c r="G57" s="193"/>
      <c r="H57" s="193"/>
      <c r="I57" s="193"/>
      <c r="J57" s="193"/>
      <c r="K57" s="193"/>
      <c r="L57" s="193"/>
      <c r="M57" s="107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</row>
    <row r="58" spans="4:26" ht="16.5" customHeight="1">
      <c r="D58" s="193"/>
      <c r="E58" s="193"/>
      <c r="F58" s="193"/>
      <c r="G58" s="193"/>
      <c r="H58" s="193"/>
      <c r="I58" s="193"/>
      <c r="J58" s="193"/>
      <c r="K58" s="193"/>
      <c r="L58" s="193"/>
      <c r="M58" s="107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</row>
    <row r="59" spans="4:26" ht="16.5" customHeight="1">
      <c r="D59" s="193"/>
      <c r="E59" s="193"/>
      <c r="F59" s="193"/>
      <c r="G59" s="193"/>
      <c r="H59" s="193"/>
      <c r="I59" s="193"/>
      <c r="J59" s="193"/>
      <c r="K59" s="193"/>
      <c r="L59" s="193"/>
      <c r="M59" s="107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</row>
    <row r="60" spans="4:26" ht="16.5" customHeight="1">
      <c r="D60" s="193"/>
      <c r="E60" s="193"/>
      <c r="F60" s="193"/>
      <c r="G60" s="193"/>
      <c r="H60" s="193"/>
      <c r="I60" s="193"/>
      <c r="J60" s="193"/>
      <c r="K60" s="193"/>
      <c r="L60" s="193"/>
      <c r="M60" s="107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</row>
    <row r="61" spans="4:26" ht="16.5" customHeight="1"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</row>
    <row r="62" spans="4:26" ht="16.5" customHeight="1"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</row>
    <row r="63" spans="4:26" ht="16.5" customHeight="1"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</row>
    <row r="64" spans="4:26" ht="16.5" customHeight="1"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</row>
    <row r="65" spans="4:26" ht="16.5" customHeight="1"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</row>
    <row r="66" spans="4:26" ht="16.5" customHeight="1"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</row>
    <row r="67" spans="4:26" ht="16.5" customHeight="1"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</row>
    <row r="68" spans="4:26" ht="16.5" customHeight="1"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</row>
    <row r="69" spans="4:26" ht="16.5" customHeight="1"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</row>
    <row r="70" spans="4:26" ht="16.5" customHeight="1"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</row>
    <row r="71" spans="4:26" ht="16.5" customHeight="1"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</row>
    <row r="72" spans="4:26" ht="16.5" customHeight="1"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</row>
    <row r="73" spans="4:26" ht="16.5" customHeight="1"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</row>
    <row r="74" spans="4:26" ht="16.5" customHeight="1"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</row>
    <row r="75" spans="4:26" ht="16.5" customHeight="1"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</row>
    <row r="76" spans="4:26" ht="16.5" customHeight="1"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</row>
    <row r="77" spans="4:26" ht="16.5" customHeight="1"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</row>
    <row r="78" spans="4:26" ht="16.5" customHeight="1"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</row>
    <row r="79" spans="4:26" ht="16.5" customHeight="1"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</row>
    <row r="80" spans="4:26" ht="16.5" customHeight="1"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</row>
    <row r="81" spans="4:26" ht="16.5" customHeight="1"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</row>
    <row r="82" spans="4:26" ht="16.5" customHeight="1"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</row>
    <row r="83" spans="4:26" ht="16.5" customHeight="1"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</row>
    <row r="84" spans="4:26" ht="16.5" customHeight="1"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</row>
    <row r="85" spans="4:26" ht="16.5" customHeight="1"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</row>
    <row r="86" spans="4:26" ht="16.5" customHeight="1"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</row>
    <row r="87" spans="4:26" ht="16.5" customHeight="1"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</row>
    <row r="88" spans="4:26" ht="16.5" customHeight="1"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</row>
    <row r="89" spans="4:26" ht="16.5" customHeight="1"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</row>
    <row r="90" spans="4:26" ht="16.5" customHeight="1"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</row>
    <row r="91" spans="4:26" ht="16.5" customHeight="1"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</row>
    <row r="92" spans="4:26" ht="16.5" customHeight="1"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</row>
    <row r="93" spans="4:26" ht="16.5" customHeight="1"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</row>
    <row r="94" spans="4:26" ht="16.5" customHeight="1"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</row>
    <row r="95" spans="4:26" ht="16.5" customHeight="1"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</row>
    <row r="96" spans="4:26" ht="16.5" customHeight="1"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</row>
    <row r="97" spans="4:26" ht="16.5" customHeight="1"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</row>
    <row r="98" spans="4:26" ht="16.5" customHeight="1"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</row>
    <row r="99" spans="4:26" ht="16.5" customHeight="1"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</row>
    <row r="100" spans="4:26" ht="16.5" customHeight="1"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</row>
    <row r="101" spans="4:26" ht="16.5" customHeight="1"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</row>
    <row r="102" spans="4:26" ht="16.5" customHeight="1"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</row>
    <row r="103" spans="4:26" ht="16.5" customHeight="1"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</row>
    <row r="104" spans="4:26" ht="16.5" customHeight="1"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</row>
    <row r="105" spans="4:26" ht="16.5" customHeight="1"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</row>
    <row r="106" spans="4:26" ht="16.5" customHeight="1"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</row>
    <row r="107" spans="4:26" ht="16.5" customHeight="1"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</row>
    <row r="108" spans="4:26" ht="16.5" customHeight="1"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</row>
    <row r="109" spans="4:26" ht="16.5" customHeight="1"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</row>
    <row r="110" spans="4:26" ht="16.5" customHeight="1"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</row>
    <row r="111" spans="4:26" ht="16.5" customHeight="1"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</row>
    <row r="112" spans="4:26" ht="16.5" customHeight="1"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</row>
    <row r="113" spans="4:26" ht="16.5" customHeight="1"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</row>
    <row r="114" spans="4:26" ht="16.5" customHeight="1"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</row>
    <row r="115" spans="4:26" ht="16.5" customHeight="1"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</row>
    <row r="116" spans="4:26" ht="16.5" customHeight="1"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</row>
    <row r="117" spans="4:26" ht="16.5" customHeight="1"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</row>
    <row r="118" spans="4:26" ht="16.5" customHeight="1"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</row>
    <row r="119" spans="4:26" ht="16.5" customHeight="1"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</row>
    <row r="120" spans="4:26" ht="16.5" customHeight="1"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</row>
    <row r="121" spans="4:26" ht="16.5" customHeight="1"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</row>
    <row r="122" spans="4:26" ht="16.5" customHeight="1"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</row>
    <row r="123" spans="4:26" ht="16.5" customHeight="1"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</row>
    <row r="124" spans="4:26" ht="16.5" customHeight="1"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</row>
    <row r="125" spans="4:26" ht="16.5" customHeight="1"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</row>
    <row r="126" spans="4:26" ht="16.5" customHeight="1"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</row>
    <row r="127" spans="4:26" ht="16.5" customHeight="1"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</row>
    <row r="128" spans="4:26" ht="16.5" customHeight="1"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</row>
    <row r="129" spans="4:26" ht="16.5" customHeight="1"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</row>
    <row r="130" spans="4:26" ht="16.5" customHeight="1"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</row>
    <row r="131" spans="4:26" ht="16.5" customHeight="1"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</row>
    <row r="132" spans="4:26" ht="16.5" customHeight="1"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</row>
    <row r="133" spans="4:26" ht="16.5" customHeight="1"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</row>
    <row r="134" spans="4:26" ht="16.5" customHeight="1"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</row>
    <row r="135" spans="4:26" ht="16.5" customHeight="1"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</row>
    <row r="136" spans="4:26" ht="16.5" customHeight="1"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</row>
    <row r="137" spans="4:26" ht="16.5" customHeight="1"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</row>
    <row r="138" spans="4:26" ht="16.5" customHeight="1"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</row>
    <row r="139" spans="4:26" ht="16.5" customHeight="1"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</row>
    <row r="140" spans="4:26" ht="16.5" customHeight="1"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</row>
    <row r="141" spans="4:26" ht="16.5" customHeight="1"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</row>
    <row r="142" spans="4:26" ht="16.5" customHeight="1"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</row>
    <row r="143" spans="4:26" ht="16.5" customHeight="1"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</row>
    <row r="144" spans="4:26" ht="16.5" customHeight="1"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</row>
    <row r="145" spans="4:26" ht="16.5" customHeight="1"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</row>
    <row r="146" spans="4:26" ht="16.5" customHeight="1"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</row>
    <row r="147" spans="4:26" ht="16.5" customHeight="1"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</row>
    <row r="148" spans="4:26" ht="16.5" customHeight="1"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</row>
    <row r="149" spans="4:26" ht="16.5" customHeight="1"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</row>
    <row r="150" spans="4:26" ht="16.5" customHeight="1"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</row>
    <row r="151" spans="4:26" ht="16.5" customHeight="1"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</row>
    <row r="152" spans="4:26" ht="16.5" customHeight="1"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</row>
    <row r="153" spans="4:26" ht="16.5" customHeight="1">
      <c r="D153" s="193"/>
      <c r="E153" s="193"/>
      <c r="F153" s="193"/>
      <c r="Y153" s="193"/>
      <c r="Z153" s="193"/>
    </row>
    <row r="154" spans="4:6" ht="16.5" customHeight="1">
      <c r="D154" s="193"/>
      <c r="E154" s="193"/>
      <c r="F154" s="193"/>
    </row>
    <row r="155" spans="4:6" ht="16.5" customHeight="1">
      <c r="D155" s="193"/>
      <c r="E155" s="193"/>
      <c r="F155" s="193"/>
    </row>
    <row r="156" spans="4:6" ht="16.5" customHeight="1">
      <c r="D156" s="193"/>
      <c r="E156" s="193"/>
      <c r="F156" s="193"/>
    </row>
    <row r="157" spans="4:6" ht="16.5" customHeight="1">
      <c r="D157" s="193"/>
      <c r="E157" s="193"/>
      <c r="F157" s="193"/>
    </row>
    <row r="158" spans="4:6" ht="16.5" customHeight="1">
      <c r="D158" s="193"/>
      <c r="E158" s="193"/>
      <c r="F158" s="193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orientation="landscape" paperSize="9" scale="45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Z166"/>
  <sheetViews>
    <sheetView zoomScale="75" zoomScaleNormal="75" workbookViewId="0" topLeftCell="J12">
      <selection activeCell="Y22" sqref="Y2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1" width="9.7109375" style="0" customWidth="1"/>
    <col min="12" max="12" width="10.8515625" style="0" customWidth="1"/>
    <col min="13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20" width="15.140625" style="0" hidden="1" customWidth="1"/>
    <col min="21" max="21" width="9.7109375" style="0" customWidth="1"/>
    <col min="22" max="24" width="15.7109375" style="0" customWidth="1"/>
  </cols>
  <sheetData>
    <row r="1" s="19" customFormat="1" ht="26.25">
      <c r="X1" s="158"/>
    </row>
    <row r="2" spans="1:24" s="19" customFormat="1" ht="26.25">
      <c r="A2" s="92"/>
      <c r="B2" s="592" t="str">
        <f>+'[1]TOT-0907'!B2</f>
        <v>ANEXO a la Resolución D.T.E.E. N°          /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</row>
    <row r="3" s="5" customFormat="1" ht="12.75">
      <c r="A3" s="91"/>
    </row>
    <row r="4" spans="1:2" s="26" customFormat="1" ht="11.25">
      <c r="A4" s="24" t="s">
        <v>2</v>
      </c>
      <c r="B4" s="128"/>
    </row>
    <row r="5" spans="1:2" s="26" customFormat="1" ht="11.25">
      <c r="A5" s="24" t="s">
        <v>3</v>
      </c>
      <c r="B5" s="128"/>
    </row>
    <row r="6" s="5" customFormat="1" ht="13.5" thickBot="1"/>
    <row r="7" spans="2:24" s="5" customFormat="1" ht="13.5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</row>
    <row r="8" spans="2:24" s="30" customFormat="1" ht="20.25">
      <c r="B8" s="80"/>
      <c r="D8" s="192" t="s">
        <v>92</v>
      </c>
      <c r="E8" s="593"/>
      <c r="F8" s="189"/>
      <c r="G8" s="188"/>
      <c r="H8" s="188"/>
      <c r="I8" s="188"/>
      <c r="J8" s="188"/>
      <c r="K8" s="188"/>
      <c r="L8" s="188"/>
      <c r="M8" s="188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594"/>
    </row>
    <row r="9" spans="2:24" s="5" customFormat="1" ht="12.75">
      <c r="B9" s="5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6"/>
    </row>
    <row r="10" spans="2:24" s="30" customFormat="1" ht="20.25">
      <c r="B10" s="80"/>
      <c r="D10" s="11" t="s">
        <v>93</v>
      </c>
      <c r="F10" s="595"/>
      <c r="G10" s="82"/>
      <c r="H10" s="82"/>
      <c r="I10" s="82"/>
      <c r="J10" s="82"/>
      <c r="K10" s="82"/>
      <c r="L10" s="82"/>
      <c r="M10" s="82"/>
      <c r="N10" s="82"/>
      <c r="O10" s="82"/>
      <c r="P10" s="31"/>
      <c r="Q10" s="31"/>
      <c r="R10" s="31"/>
      <c r="S10" s="31"/>
      <c r="T10" s="31"/>
      <c r="U10" s="31"/>
      <c r="V10" s="31"/>
      <c r="W10" s="31"/>
      <c r="X10" s="81"/>
    </row>
    <row r="11" spans="2:24" s="5" customFormat="1" ht="16.5" customHeight="1">
      <c r="B11" s="51"/>
      <c r="C11" s="4"/>
      <c r="D11" s="79"/>
      <c r="F11" s="32"/>
      <c r="G11" s="73"/>
      <c r="H11" s="73"/>
      <c r="I11" s="73"/>
      <c r="J11" s="73"/>
      <c r="K11" s="73"/>
      <c r="L11" s="73"/>
      <c r="M11" s="73"/>
      <c r="N11" s="73"/>
      <c r="O11" s="73"/>
      <c r="P11" s="4"/>
      <c r="Q11" s="4"/>
      <c r="R11" s="4"/>
      <c r="S11" s="4"/>
      <c r="T11" s="4"/>
      <c r="U11" s="4"/>
      <c r="V11" s="4"/>
      <c r="W11" s="4"/>
      <c r="X11" s="6"/>
    </row>
    <row r="12" spans="2:24" s="30" customFormat="1" ht="20.25">
      <c r="B12" s="80"/>
      <c r="D12" s="11" t="s">
        <v>94</v>
      </c>
      <c r="F12" s="595"/>
      <c r="G12" s="82"/>
      <c r="H12" s="82"/>
      <c r="I12" s="82"/>
      <c r="J12" s="82"/>
      <c r="K12" s="82"/>
      <c r="L12" s="82"/>
      <c r="M12" s="82"/>
      <c r="N12" s="82"/>
      <c r="O12" s="82"/>
      <c r="P12" s="31"/>
      <c r="Q12" s="31"/>
      <c r="R12" s="31"/>
      <c r="S12" s="31"/>
      <c r="T12" s="31"/>
      <c r="U12" s="31"/>
      <c r="V12" s="31"/>
      <c r="W12" s="31"/>
      <c r="X12" s="81"/>
    </row>
    <row r="13" spans="2:24" s="5" customFormat="1" ht="16.5" customHeight="1">
      <c r="B13" s="51"/>
      <c r="C13" s="4"/>
      <c r="D13" s="79"/>
      <c r="F13" s="32"/>
      <c r="G13" s="73"/>
      <c r="H13" s="73"/>
      <c r="I13" s="73"/>
      <c r="J13" s="73"/>
      <c r="K13" s="73"/>
      <c r="L13" s="73"/>
      <c r="M13" s="73"/>
      <c r="N13" s="73"/>
      <c r="O13" s="73"/>
      <c r="P13" s="4"/>
      <c r="Q13" s="4"/>
      <c r="R13" s="4"/>
      <c r="S13" s="4"/>
      <c r="T13" s="4"/>
      <c r="U13" s="4"/>
      <c r="V13" s="4"/>
      <c r="W13" s="4"/>
      <c r="X13" s="6"/>
    </row>
    <row r="14" spans="2:24" s="37" customFormat="1" ht="16.5" customHeight="1">
      <c r="B14" s="38" t="str">
        <f>'[1]TOT-0907'!B14</f>
        <v>Desde el 01 al 30 de septiembre de 2007</v>
      </c>
      <c r="C14" s="596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6"/>
      <c r="Q14" s="596"/>
      <c r="R14" s="596"/>
      <c r="S14" s="596"/>
      <c r="T14" s="596"/>
      <c r="U14" s="596"/>
      <c r="V14" s="596"/>
      <c r="W14" s="596"/>
      <c r="X14" s="598"/>
    </row>
    <row r="15" spans="2:24" s="5" customFormat="1" ht="16.5" customHeight="1" thickBot="1">
      <c r="B15" s="51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6"/>
    </row>
    <row r="16" spans="2:24" s="5" customFormat="1" ht="16.5" customHeight="1" thickBot="1" thickTop="1">
      <c r="B16" s="51"/>
      <c r="C16" s="4"/>
      <c r="D16" s="120" t="s">
        <v>78</v>
      </c>
      <c r="E16" s="599"/>
      <c r="F16" s="1046">
        <v>0.245</v>
      </c>
      <c r="G16" s="533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6"/>
    </row>
    <row r="17" spans="2:24" s="5" customFormat="1" ht="16.5" customHeight="1" thickBot="1" thickTop="1">
      <c r="B17" s="51"/>
      <c r="C17" s="4"/>
      <c r="D17" s="600" t="s">
        <v>27</v>
      </c>
      <c r="E17" s="601"/>
      <c r="F17" s="1047">
        <v>20</v>
      </c>
      <c r="G17" s="533"/>
      <c r="H17"/>
      <c r="I17" s="273"/>
      <c r="J17" s="274"/>
      <c r="K17" s="4"/>
      <c r="L17" s="4"/>
      <c r="M17" s="4"/>
      <c r="O17" s="4"/>
      <c r="P17" s="4"/>
      <c r="Q17" s="4"/>
      <c r="R17" s="118"/>
      <c r="S17" s="118"/>
      <c r="T17" s="118"/>
      <c r="U17" s="118"/>
      <c r="V17" s="118"/>
      <c r="W17" s="118"/>
      <c r="X17" s="6"/>
    </row>
    <row r="18" spans="2:24" s="5" customFormat="1" ht="16.5" customHeight="1" thickBot="1" thickTop="1">
      <c r="B18" s="51"/>
      <c r="C18" s="67"/>
      <c r="D18" s="602"/>
      <c r="E18" s="603"/>
      <c r="F18" s="603"/>
      <c r="G18" s="242"/>
      <c r="H18" s="242"/>
      <c r="I18" s="242"/>
      <c r="J18" s="242"/>
      <c r="K18" s="242"/>
      <c r="L18" s="242"/>
      <c r="M18" s="242"/>
      <c r="N18" s="242"/>
      <c r="O18" s="604"/>
      <c r="P18" s="605"/>
      <c r="Q18" s="606"/>
      <c r="R18" s="606"/>
      <c r="S18" s="606"/>
      <c r="T18" s="606"/>
      <c r="U18" s="607"/>
      <c r="V18" s="608"/>
      <c r="W18" s="608"/>
      <c r="X18" s="6"/>
    </row>
    <row r="19" spans="2:24" s="5" customFormat="1" ht="33.75" customHeight="1" thickBot="1" thickTop="1">
      <c r="B19" s="51"/>
      <c r="C19" s="85" t="s">
        <v>13</v>
      </c>
      <c r="D19" s="87" t="s">
        <v>28</v>
      </c>
      <c r="E19" s="86" t="s">
        <v>29</v>
      </c>
      <c r="F19" s="609" t="s">
        <v>30</v>
      </c>
      <c r="G19" s="139" t="s">
        <v>16</v>
      </c>
      <c r="H19" s="86" t="s">
        <v>17</v>
      </c>
      <c r="I19" s="86" t="s">
        <v>18</v>
      </c>
      <c r="J19" s="87" t="s">
        <v>37</v>
      </c>
      <c r="K19" s="87" t="s">
        <v>32</v>
      </c>
      <c r="L19" s="89" t="s">
        <v>19</v>
      </c>
      <c r="M19" s="89" t="s">
        <v>47</v>
      </c>
      <c r="N19" s="86" t="s">
        <v>33</v>
      </c>
      <c r="O19" s="139" t="s">
        <v>38</v>
      </c>
      <c r="P19" s="610" t="s">
        <v>63</v>
      </c>
      <c r="Q19" s="611" t="s">
        <v>95</v>
      </c>
      <c r="R19" s="612"/>
      <c r="S19" s="613" t="s">
        <v>22</v>
      </c>
      <c r="T19" s="389" t="s">
        <v>21</v>
      </c>
      <c r="U19" s="144" t="s">
        <v>76</v>
      </c>
      <c r="V19" s="614" t="s">
        <v>24</v>
      </c>
      <c r="W19" s="614" t="s">
        <v>319</v>
      </c>
      <c r="X19" s="6"/>
    </row>
    <row r="20" spans="2:24" s="5" customFormat="1" ht="16.5" customHeight="1" thickTop="1">
      <c r="B20" s="51"/>
      <c r="C20" s="615"/>
      <c r="D20" s="616"/>
      <c r="E20" s="616"/>
      <c r="F20" s="616"/>
      <c r="G20" s="483"/>
      <c r="H20" s="617"/>
      <c r="I20" s="617"/>
      <c r="J20" s="615"/>
      <c r="K20" s="615"/>
      <c r="L20" s="225"/>
      <c r="M20" s="7"/>
      <c r="N20" s="615"/>
      <c r="O20" s="618"/>
      <c r="P20" s="619"/>
      <c r="Q20" s="620"/>
      <c r="R20" s="621"/>
      <c r="S20" s="622"/>
      <c r="T20" s="622"/>
      <c r="U20" s="623"/>
      <c r="V20" s="624"/>
      <c r="W20" s="624"/>
      <c r="X20" s="6"/>
    </row>
    <row r="21" spans="2:24" s="5" customFormat="1" ht="16.5" customHeight="1">
      <c r="B21" s="51"/>
      <c r="C21" s="408"/>
      <c r="D21" s="625"/>
      <c r="E21" s="626"/>
      <c r="F21" s="627"/>
      <c r="G21" s="628"/>
      <c r="H21" s="629"/>
      <c r="I21" s="630"/>
      <c r="J21" s="631"/>
      <c r="K21" s="632"/>
      <c r="L21" s="226"/>
      <c r="M21" s="227"/>
      <c r="N21" s="634"/>
      <c r="O21" s="635"/>
      <c r="P21" s="636"/>
      <c r="Q21" s="637"/>
      <c r="R21" s="638"/>
      <c r="S21" s="639"/>
      <c r="T21" s="639"/>
      <c r="U21" s="634"/>
      <c r="V21" s="508">
        <f>'RE-09 (1)'!V43</f>
        <v>64304.9</v>
      </c>
      <c r="W21" s="508">
        <f>'RE-09 (1)'!W43</f>
        <v>41575.376475183</v>
      </c>
      <c r="X21" s="6"/>
    </row>
    <row r="22" spans="2:25" s="5" customFormat="1" ht="16.5" customHeight="1">
      <c r="B22" s="51"/>
      <c r="C22" s="10">
        <v>85</v>
      </c>
      <c r="D22" s="809" t="s">
        <v>195</v>
      </c>
      <c r="E22" s="1071" t="s">
        <v>251</v>
      </c>
      <c r="F22" s="160">
        <v>245</v>
      </c>
      <c r="G22" s="425">
        <f aca="true" t="shared" si="0" ref="G22:G32">F22*$F$16</f>
        <v>60.025</v>
      </c>
      <c r="H22" s="629">
        <v>39344.25069444445</v>
      </c>
      <c r="I22" s="630">
        <v>39344.55347222222</v>
      </c>
      <c r="J22" s="571">
        <f aca="true" t="shared" si="1" ref="J22:J32">IF(D22="","",(I22-H22)*24)</f>
        <v>7.2666666666045785</v>
      </c>
      <c r="K22" s="572">
        <f aca="true" t="shared" si="2" ref="K22:K32">IF(D22="","",ROUND((I22-H22)*24*60,0))</f>
        <v>436</v>
      </c>
      <c r="L22" s="323" t="s">
        <v>182</v>
      </c>
      <c r="M22" s="227" t="str">
        <f>IF(D22="","","--")</f>
        <v>--</v>
      </c>
      <c r="N22" s="168" t="str">
        <f aca="true" t="shared" si="3" ref="N22:N49">IF(D22="","",IF(OR(L22="P",L22="RP"),"--","NO"))</f>
        <v>--</v>
      </c>
      <c r="O22" s="640">
        <f aca="true" t="shared" si="4" ref="O22:O32">IF(OR(L22="P",L22="RP"),$F$17/10,$F$17)</f>
        <v>2</v>
      </c>
      <c r="P22" s="641">
        <f aca="true" t="shared" si="5" ref="P22:P32">IF(L22="P",G22*O22*ROUND(K22/60,2),"--")</f>
        <v>872.7634999999999</v>
      </c>
      <c r="Q22" s="642" t="str">
        <f aca="true" t="shared" si="6" ref="Q22:Q32">IF(AND(L22="F",N22="NO"),G22*O22,"--")</f>
        <v>--</v>
      </c>
      <c r="R22" s="643" t="str">
        <f aca="true" t="shared" si="7" ref="R22:R32">IF(L22="F",G22*O22*ROUND(K22/60,2),"--")</f>
        <v>--</v>
      </c>
      <c r="S22" s="644" t="str">
        <f aca="true" t="shared" si="8" ref="S22:S32">IF(L22="RF",G22*O22*ROUND(K22/60,2),"--")</f>
        <v>--</v>
      </c>
      <c r="T22" s="429"/>
      <c r="U22" s="168" t="str">
        <f aca="true" t="shared" si="9" ref="U22:U32">IF(D22="","","SI")</f>
        <v>SI</v>
      </c>
      <c r="V22" s="577">
        <f>IF(D22="","",SUM(P22:T22)*IF(U22="SI",1,2))</f>
        <v>872.7634999999999</v>
      </c>
      <c r="W22" s="577">
        <f>V22*(1-$Y$22)</f>
        <v>564.2722393671404</v>
      </c>
      <c r="X22" s="6"/>
      <c r="Y22" s="1145">
        <v>0.353464897</v>
      </c>
    </row>
    <row r="23" spans="2:24" s="5" customFormat="1" ht="16.5" customHeight="1">
      <c r="B23" s="51"/>
      <c r="C23" s="408">
        <v>86</v>
      </c>
      <c r="D23" s="809" t="s">
        <v>195</v>
      </c>
      <c r="E23" s="1071" t="s">
        <v>246</v>
      </c>
      <c r="F23" s="160">
        <v>245</v>
      </c>
      <c r="G23" s="425">
        <f t="shared" si="0"/>
        <v>60.025</v>
      </c>
      <c r="H23" s="629">
        <v>39345.263194444444</v>
      </c>
      <c r="I23" s="630">
        <v>39345.74236111111</v>
      </c>
      <c r="J23" s="571">
        <f t="shared" si="1"/>
        <v>11.499999999941792</v>
      </c>
      <c r="K23" s="572">
        <f t="shared" si="2"/>
        <v>690</v>
      </c>
      <c r="L23" s="323" t="s">
        <v>182</v>
      </c>
      <c r="M23" s="227" t="str">
        <f>IF(D23="","","--")</f>
        <v>--</v>
      </c>
      <c r="N23" s="168" t="str">
        <f t="shared" si="3"/>
        <v>--</v>
      </c>
      <c r="O23" s="640">
        <f t="shared" si="4"/>
        <v>2</v>
      </c>
      <c r="P23" s="641">
        <f t="shared" si="5"/>
        <v>1380.575</v>
      </c>
      <c r="Q23" s="642" t="str">
        <f t="shared" si="6"/>
        <v>--</v>
      </c>
      <c r="R23" s="643" t="str">
        <f t="shared" si="7"/>
        <v>--</v>
      </c>
      <c r="S23" s="644" t="str">
        <f t="shared" si="8"/>
        <v>--</v>
      </c>
      <c r="T23" s="429"/>
      <c r="U23" s="168" t="str">
        <f t="shared" si="9"/>
        <v>SI</v>
      </c>
      <c r="V23" s="577">
        <f>IF(D23="","",SUM(P23:T23)*IF(U23="SI",1,2))</f>
        <v>1380.575</v>
      </c>
      <c r="W23" s="577">
        <f aca="true" t="shared" si="10" ref="W23:W49">V23*(1-$Y$22)</f>
        <v>892.5901998242249</v>
      </c>
      <c r="X23" s="6"/>
    </row>
    <row r="24" spans="2:24" s="5" customFormat="1" ht="16.5" customHeight="1">
      <c r="B24" s="51"/>
      <c r="C24" s="408">
        <v>87</v>
      </c>
      <c r="D24" s="809" t="s">
        <v>195</v>
      </c>
      <c r="E24" s="1071" t="s">
        <v>247</v>
      </c>
      <c r="F24" s="160">
        <v>245</v>
      </c>
      <c r="G24" s="425">
        <f t="shared" si="0"/>
        <v>60.025</v>
      </c>
      <c r="H24" s="629">
        <v>39345.263194444444</v>
      </c>
      <c r="I24" s="630">
        <v>39345.75208333333</v>
      </c>
      <c r="J24" s="571">
        <f t="shared" si="1"/>
        <v>11.733333333337214</v>
      </c>
      <c r="K24" s="572">
        <f t="shared" si="2"/>
        <v>704</v>
      </c>
      <c r="L24" s="323" t="s">
        <v>182</v>
      </c>
      <c r="M24" s="227" t="str">
        <f>IF(D24="","","--")</f>
        <v>--</v>
      </c>
      <c r="N24" s="168" t="str">
        <f t="shared" si="3"/>
        <v>--</v>
      </c>
      <c r="O24" s="640">
        <f t="shared" si="4"/>
        <v>2</v>
      </c>
      <c r="P24" s="641">
        <f t="shared" si="5"/>
        <v>1408.1865</v>
      </c>
      <c r="Q24" s="642" t="str">
        <f t="shared" si="6"/>
        <v>--</v>
      </c>
      <c r="R24" s="643" t="str">
        <f t="shared" si="7"/>
        <v>--</v>
      </c>
      <c r="S24" s="644" t="str">
        <f t="shared" si="8"/>
        <v>--</v>
      </c>
      <c r="T24" s="429"/>
      <c r="U24" s="168" t="str">
        <f t="shared" si="9"/>
        <v>SI</v>
      </c>
      <c r="V24" s="577">
        <f>IF(D24="","",SUM(P24:T24)*IF(U24="SI",1,2))</f>
        <v>1408.1865</v>
      </c>
      <c r="W24" s="577">
        <f t="shared" si="10"/>
        <v>910.4420038207095</v>
      </c>
      <c r="X24" s="6"/>
    </row>
    <row r="25" spans="2:24" s="5" customFormat="1" ht="16.5" customHeight="1">
      <c r="B25" s="51"/>
      <c r="C25" s="408">
        <v>88</v>
      </c>
      <c r="D25" s="809" t="s">
        <v>195</v>
      </c>
      <c r="E25" s="1071" t="s">
        <v>246</v>
      </c>
      <c r="F25" s="160">
        <v>245</v>
      </c>
      <c r="G25" s="425">
        <f t="shared" si="0"/>
        <v>60.025</v>
      </c>
      <c r="H25" s="629">
        <v>39345.743055555555</v>
      </c>
      <c r="I25" s="630">
        <v>39351.16805555556</v>
      </c>
      <c r="J25" s="571">
        <f t="shared" si="1"/>
        <v>130.20000000006985</v>
      </c>
      <c r="K25" s="572">
        <f t="shared" si="2"/>
        <v>7812</v>
      </c>
      <c r="L25" s="323" t="s">
        <v>190</v>
      </c>
      <c r="M25" s="227">
        <v>51.02</v>
      </c>
      <c r="N25" s="168" t="str">
        <f t="shared" si="3"/>
        <v>NO</v>
      </c>
      <c r="O25" s="640">
        <f t="shared" si="4"/>
        <v>20</v>
      </c>
      <c r="P25" s="641" t="str">
        <f t="shared" si="5"/>
        <v>--</v>
      </c>
      <c r="Q25" s="642">
        <f t="shared" si="6"/>
        <v>1200.5</v>
      </c>
      <c r="R25" s="643">
        <f t="shared" si="7"/>
        <v>156305.09999999998</v>
      </c>
      <c r="S25" s="644" t="str">
        <f t="shared" si="8"/>
        <v>--</v>
      </c>
      <c r="T25" s="429"/>
      <c r="U25" s="168" t="str">
        <f t="shared" si="9"/>
        <v>SI</v>
      </c>
      <c r="V25" s="577">
        <v>0</v>
      </c>
      <c r="W25" s="577">
        <f t="shared" si="10"/>
        <v>0</v>
      </c>
      <c r="X25" s="6"/>
    </row>
    <row r="26" spans="2:24" s="5" customFormat="1" ht="16.5" customHeight="1">
      <c r="B26" s="51"/>
      <c r="C26" s="408">
        <v>89</v>
      </c>
      <c r="D26" s="809" t="s">
        <v>195</v>
      </c>
      <c r="E26" s="1071" t="s">
        <v>247</v>
      </c>
      <c r="F26" s="160">
        <v>245</v>
      </c>
      <c r="G26" s="425">
        <f t="shared" si="0"/>
        <v>60.025</v>
      </c>
      <c r="H26" s="629">
        <v>39345.75277777778</v>
      </c>
      <c r="I26" s="630">
        <v>39351.16875</v>
      </c>
      <c r="J26" s="571">
        <f t="shared" si="1"/>
        <v>129.9833333332208</v>
      </c>
      <c r="K26" s="572">
        <f t="shared" si="2"/>
        <v>7799</v>
      </c>
      <c r="L26" s="323" t="s">
        <v>190</v>
      </c>
      <c r="M26" s="227">
        <v>51.02</v>
      </c>
      <c r="N26" s="168" t="str">
        <f t="shared" si="3"/>
        <v>NO</v>
      </c>
      <c r="O26" s="640">
        <f t="shared" si="4"/>
        <v>20</v>
      </c>
      <c r="P26" s="641" t="str">
        <f t="shared" si="5"/>
        <v>--</v>
      </c>
      <c r="Q26" s="642">
        <f t="shared" si="6"/>
        <v>1200.5</v>
      </c>
      <c r="R26" s="643">
        <f t="shared" si="7"/>
        <v>156040.99</v>
      </c>
      <c r="S26" s="644" t="str">
        <f t="shared" si="8"/>
        <v>--</v>
      </c>
      <c r="T26" s="429"/>
      <c r="U26" s="168" t="str">
        <f t="shared" si="9"/>
        <v>SI</v>
      </c>
      <c r="V26" s="577">
        <v>0</v>
      </c>
      <c r="W26" s="577">
        <f t="shared" si="10"/>
        <v>0</v>
      </c>
      <c r="X26" s="6"/>
    </row>
    <row r="27" spans="2:24" s="5" customFormat="1" ht="16.5" customHeight="1">
      <c r="B27" s="51"/>
      <c r="C27" s="408">
        <v>90</v>
      </c>
      <c r="D27" s="809" t="s">
        <v>195</v>
      </c>
      <c r="E27" s="1071" t="s">
        <v>252</v>
      </c>
      <c r="F27" s="160">
        <v>245</v>
      </c>
      <c r="G27" s="425">
        <f t="shared" si="0"/>
        <v>60.025</v>
      </c>
      <c r="H27" s="629">
        <v>39346.251388888886</v>
      </c>
      <c r="I27" s="630">
        <v>39346.6875</v>
      </c>
      <c r="J27" s="571">
        <f t="shared" si="1"/>
        <v>10.466666666732635</v>
      </c>
      <c r="K27" s="572">
        <f t="shared" si="2"/>
        <v>628</v>
      </c>
      <c r="L27" s="323" t="s">
        <v>182</v>
      </c>
      <c r="M27" s="227" t="str">
        <f>IF(D27="","","--")</f>
        <v>--</v>
      </c>
      <c r="N27" s="168" t="str">
        <f t="shared" si="3"/>
        <v>--</v>
      </c>
      <c r="O27" s="640">
        <f t="shared" si="4"/>
        <v>2</v>
      </c>
      <c r="P27" s="641">
        <f t="shared" si="5"/>
        <v>1256.9235</v>
      </c>
      <c r="Q27" s="642" t="str">
        <f t="shared" si="6"/>
        <v>--</v>
      </c>
      <c r="R27" s="643" t="str">
        <f t="shared" si="7"/>
        <v>--</v>
      </c>
      <c r="S27" s="644" t="str">
        <f t="shared" si="8"/>
        <v>--</v>
      </c>
      <c r="T27" s="429"/>
      <c r="U27" s="168" t="str">
        <f t="shared" si="9"/>
        <v>SI</v>
      </c>
      <c r="V27" s="577">
        <f>IF(D27="","",SUM(P27:T27)*IF(U27="SI",1,2))</f>
        <v>1256.9235</v>
      </c>
      <c r="W27" s="577">
        <f t="shared" si="10"/>
        <v>812.6451645356206</v>
      </c>
      <c r="X27" s="6"/>
    </row>
    <row r="28" spans="2:24" s="5" customFormat="1" ht="16.5" customHeight="1">
      <c r="B28" s="51"/>
      <c r="C28" s="408">
        <v>91</v>
      </c>
      <c r="D28" s="809" t="s">
        <v>195</v>
      </c>
      <c r="E28" s="1071" t="s">
        <v>253</v>
      </c>
      <c r="F28" s="160">
        <v>245</v>
      </c>
      <c r="G28" s="425">
        <f t="shared" si="0"/>
        <v>60.025</v>
      </c>
      <c r="H28" s="629">
        <v>39346.34444444445</v>
      </c>
      <c r="I28" s="630">
        <v>39346.68541666667</v>
      </c>
      <c r="J28" s="571">
        <f t="shared" si="1"/>
        <v>8.183333333290648</v>
      </c>
      <c r="K28" s="572">
        <f t="shared" si="2"/>
        <v>491</v>
      </c>
      <c r="L28" s="323" t="s">
        <v>182</v>
      </c>
      <c r="M28" s="227" t="str">
        <f>IF(D28="","","--")</f>
        <v>--</v>
      </c>
      <c r="N28" s="168" t="str">
        <f t="shared" si="3"/>
        <v>--</v>
      </c>
      <c r="O28" s="640">
        <f t="shared" si="4"/>
        <v>2</v>
      </c>
      <c r="P28" s="641">
        <f t="shared" si="5"/>
        <v>982.0089999999999</v>
      </c>
      <c r="Q28" s="642" t="str">
        <f t="shared" si="6"/>
        <v>--</v>
      </c>
      <c r="R28" s="643" t="str">
        <f t="shared" si="7"/>
        <v>--</v>
      </c>
      <c r="S28" s="644" t="str">
        <f t="shared" si="8"/>
        <v>--</v>
      </c>
      <c r="T28" s="429"/>
      <c r="U28" s="168" t="str">
        <f t="shared" si="9"/>
        <v>SI</v>
      </c>
      <c r="V28" s="577">
        <f>IF(D28="","",SUM(P28:T28)*IF(U28="SI",1,2))</f>
        <v>982.0089999999999</v>
      </c>
      <c r="W28" s="577">
        <f t="shared" si="10"/>
        <v>634.9032899619269</v>
      </c>
      <c r="X28" s="6"/>
    </row>
    <row r="29" spans="2:24" s="5" customFormat="1" ht="16.5" customHeight="1">
      <c r="B29" s="51"/>
      <c r="C29" s="408">
        <v>92</v>
      </c>
      <c r="D29" s="809" t="s">
        <v>195</v>
      </c>
      <c r="E29" s="1071" t="s">
        <v>253</v>
      </c>
      <c r="F29" s="160">
        <v>245</v>
      </c>
      <c r="G29" s="425">
        <f t="shared" si="0"/>
        <v>60.025</v>
      </c>
      <c r="H29" s="629">
        <v>39349.24930555555</v>
      </c>
      <c r="I29" s="630">
        <v>39349.59097222222</v>
      </c>
      <c r="J29" s="571">
        <f t="shared" si="1"/>
        <v>8.200000000011642</v>
      </c>
      <c r="K29" s="572">
        <f t="shared" si="2"/>
        <v>492</v>
      </c>
      <c r="L29" s="323" t="s">
        <v>182</v>
      </c>
      <c r="M29" s="227" t="str">
        <f>IF(D29="","","--")</f>
        <v>--</v>
      </c>
      <c r="N29" s="168" t="str">
        <f t="shared" si="3"/>
        <v>--</v>
      </c>
      <c r="O29" s="640">
        <f t="shared" si="4"/>
        <v>2</v>
      </c>
      <c r="P29" s="641">
        <f t="shared" si="5"/>
        <v>984.4099999999999</v>
      </c>
      <c r="Q29" s="642" t="str">
        <f t="shared" si="6"/>
        <v>--</v>
      </c>
      <c r="R29" s="643" t="str">
        <f t="shared" si="7"/>
        <v>--</v>
      </c>
      <c r="S29" s="644" t="str">
        <f t="shared" si="8"/>
        <v>--</v>
      </c>
      <c r="T29" s="429"/>
      <c r="U29" s="168" t="str">
        <f t="shared" si="9"/>
        <v>SI</v>
      </c>
      <c r="V29" s="577">
        <f>IF(D29="","",SUM(P29:T29)*IF(U29="SI",1,2))</f>
        <v>984.4099999999999</v>
      </c>
      <c r="W29" s="577">
        <f t="shared" si="10"/>
        <v>636.4556207442298</v>
      </c>
      <c r="X29" s="6"/>
    </row>
    <row r="30" spans="2:24" s="5" customFormat="1" ht="16.5" customHeight="1">
      <c r="B30" s="51"/>
      <c r="C30" s="408">
        <v>93</v>
      </c>
      <c r="D30" s="809" t="s">
        <v>195</v>
      </c>
      <c r="E30" s="1071" t="s">
        <v>246</v>
      </c>
      <c r="F30" s="160">
        <v>245</v>
      </c>
      <c r="G30" s="425">
        <f t="shared" si="0"/>
        <v>60.025</v>
      </c>
      <c r="H30" s="629">
        <v>39351.16875</v>
      </c>
      <c r="I30" s="630">
        <v>39351.856944444444</v>
      </c>
      <c r="J30" s="571">
        <f t="shared" si="1"/>
        <v>16.516666666720994</v>
      </c>
      <c r="K30" s="572">
        <f t="shared" si="2"/>
        <v>991</v>
      </c>
      <c r="L30" s="323" t="s">
        <v>182</v>
      </c>
      <c r="M30" s="227" t="str">
        <f>IF(D30="","","--")</f>
        <v>--</v>
      </c>
      <c r="N30" s="168" t="str">
        <f t="shared" si="3"/>
        <v>--</v>
      </c>
      <c r="O30" s="640">
        <f t="shared" si="4"/>
        <v>2</v>
      </c>
      <c r="P30" s="641">
        <f t="shared" si="5"/>
        <v>1983.2259999999999</v>
      </c>
      <c r="Q30" s="642" t="str">
        <f t="shared" si="6"/>
        <v>--</v>
      </c>
      <c r="R30" s="643" t="str">
        <f t="shared" si="7"/>
        <v>--</v>
      </c>
      <c r="S30" s="644" t="str">
        <f t="shared" si="8"/>
        <v>--</v>
      </c>
      <c r="T30" s="429"/>
      <c r="U30" s="168" t="str">
        <f t="shared" si="9"/>
        <v>SI</v>
      </c>
      <c r="V30" s="577">
        <v>0</v>
      </c>
      <c r="W30" s="577">
        <f t="shared" si="10"/>
        <v>0</v>
      </c>
      <c r="X30" s="6"/>
    </row>
    <row r="31" spans="2:24" s="5" customFormat="1" ht="16.5" customHeight="1">
      <c r="B31" s="51"/>
      <c r="C31" s="408">
        <v>94</v>
      </c>
      <c r="D31" s="809" t="s">
        <v>195</v>
      </c>
      <c r="E31" s="1071" t="s">
        <v>247</v>
      </c>
      <c r="F31" s="160">
        <v>245</v>
      </c>
      <c r="G31" s="425">
        <f t="shared" si="0"/>
        <v>60.025</v>
      </c>
      <c r="H31" s="629">
        <v>39351.169444444444</v>
      </c>
      <c r="I31" s="630">
        <v>39351.85833333333</v>
      </c>
      <c r="J31" s="571">
        <f t="shared" si="1"/>
        <v>16.533333333267365</v>
      </c>
      <c r="K31" s="572">
        <f t="shared" si="2"/>
        <v>992</v>
      </c>
      <c r="L31" s="323" t="s">
        <v>182</v>
      </c>
      <c r="M31" s="227" t="str">
        <f>IF(D31="","","--")</f>
        <v>--</v>
      </c>
      <c r="N31" s="168" t="str">
        <f t="shared" si="3"/>
        <v>--</v>
      </c>
      <c r="O31" s="640">
        <f t="shared" si="4"/>
        <v>2</v>
      </c>
      <c r="P31" s="641">
        <f t="shared" si="5"/>
        <v>1984.4265</v>
      </c>
      <c r="Q31" s="642" t="str">
        <f t="shared" si="6"/>
        <v>--</v>
      </c>
      <c r="R31" s="643" t="str">
        <f t="shared" si="7"/>
        <v>--</v>
      </c>
      <c r="S31" s="644" t="str">
        <f t="shared" si="8"/>
        <v>--</v>
      </c>
      <c r="T31" s="429"/>
      <c r="U31" s="168" t="str">
        <f t="shared" si="9"/>
        <v>SI</v>
      </c>
      <c r="V31" s="577">
        <v>0</v>
      </c>
      <c r="W31" s="577">
        <f t="shared" si="10"/>
        <v>0</v>
      </c>
      <c r="X31" s="6"/>
    </row>
    <row r="32" spans="2:24" s="5" customFormat="1" ht="16.5" customHeight="1">
      <c r="B32" s="51"/>
      <c r="C32" s="408">
        <v>95</v>
      </c>
      <c r="D32" s="809" t="s">
        <v>195</v>
      </c>
      <c r="E32" s="1071" t="s">
        <v>246</v>
      </c>
      <c r="F32" s="160">
        <v>245</v>
      </c>
      <c r="G32" s="425">
        <f t="shared" si="0"/>
        <v>60.025</v>
      </c>
      <c r="H32" s="629">
        <v>39351.85763888889</v>
      </c>
      <c r="I32" s="630">
        <v>39352.31319444445</v>
      </c>
      <c r="J32" s="571">
        <f t="shared" si="1"/>
        <v>10.933333333348855</v>
      </c>
      <c r="K32" s="572">
        <f t="shared" si="2"/>
        <v>656</v>
      </c>
      <c r="L32" s="323" t="s">
        <v>190</v>
      </c>
      <c r="M32" s="227">
        <v>51.02</v>
      </c>
      <c r="N32" s="168" t="str">
        <f t="shared" si="3"/>
        <v>NO</v>
      </c>
      <c r="O32" s="640">
        <f t="shared" si="4"/>
        <v>20</v>
      </c>
      <c r="P32" s="641" t="str">
        <f t="shared" si="5"/>
        <v>--</v>
      </c>
      <c r="Q32" s="642">
        <f t="shared" si="6"/>
        <v>1200.5</v>
      </c>
      <c r="R32" s="643">
        <f t="shared" si="7"/>
        <v>13121.465</v>
      </c>
      <c r="S32" s="644" t="str">
        <f t="shared" si="8"/>
        <v>--</v>
      </c>
      <c r="T32" s="429"/>
      <c r="U32" s="168" t="str">
        <f t="shared" si="9"/>
        <v>SI</v>
      </c>
      <c r="V32" s="577">
        <v>0</v>
      </c>
      <c r="W32" s="577">
        <f t="shared" si="10"/>
        <v>0</v>
      </c>
      <c r="X32" s="6"/>
    </row>
    <row r="33" spans="2:24" s="5" customFormat="1" ht="16.5" customHeight="1">
      <c r="B33" s="51"/>
      <c r="C33" s="408">
        <v>96</v>
      </c>
      <c r="D33" s="809" t="s">
        <v>195</v>
      </c>
      <c r="E33" s="1071" t="s">
        <v>247</v>
      </c>
      <c r="F33" s="160">
        <v>245</v>
      </c>
      <c r="G33" s="425">
        <f aca="true" t="shared" si="11" ref="G33:G49">F33*$F$16</f>
        <v>60.025</v>
      </c>
      <c r="H33" s="629">
        <v>39351.85902777778</v>
      </c>
      <c r="I33" s="630">
        <v>39352.31319444445</v>
      </c>
      <c r="J33" s="571">
        <f aca="true" t="shared" si="12" ref="J33:J49">IF(D33="","",(I33-H33)*24)</f>
        <v>10.90000000008149</v>
      </c>
      <c r="K33" s="572">
        <f aca="true" t="shared" si="13" ref="K33:K49">IF(D33="","",ROUND((I33-H33)*24*60,0))</f>
        <v>654</v>
      </c>
      <c r="L33" s="323" t="s">
        <v>190</v>
      </c>
      <c r="M33" s="227">
        <v>51.02</v>
      </c>
      <c r="N33" s="168" t="str">
        <f t="shared" si="3"/>
        <v>NO</v>
      </c>
      <c r="O33" s="640">
        <f aca="true" t="shared" si="14" ref="O33:O49">IF(OR(L33="P",L33="RP"),$F$17/10,$F$17)</f>
        <v>20</v>
      </c>
      <c r="P33" s="641" t="str">
        <f aca="true" t="shared" si="15" ref="P33:P49">IF(L33="P",G33*O33*ROUND(K33/60,2),"--")</f>
        <v>--</v>
      </c>
      <c r="Q33" s="642">
        <f aca="true" t="shared" si="16" ref="Q33:Q49">IF(AND(L33="F",N33="NO"),G33*O33,"--")</f>
        <v>1200.5</v>
      </c>
      <c r="R33" s="643">
        <f aca="true" t="shared" si="17" ref="R33:R49">IF(L33="F",G33*O33*ROUND(K33/60,2),"--")</f>
        <v>13085.45</v>
      </c>
      <c r="S33" s="644" t="str">
        <f aca="true" t="shared" si="18" ref="S33:S49">IF(L33="RF",G33*O33*ROUND(K33/60,2),"--")</f>
        <v>--</v>
      </c>
      <c r="T33" s="429"/>
      <c r="U33" s="168" t="str">
        <f aca="true" t="shared" si="19" ref="U33:U49">IF(D33="","","SI")</f>
        <v>SI</v>
      </c>
      <c r="V33" s="577">
        <v>0</v>
      </c>
      <c r="W33" s="577">
        <f t="shared" si="10"/>
        <v>0</v>
      </c>
      <c r="X33" s="6"/>
    </row>
    <row r="34" spans="2:24" s="5" customFormat="1" ht="16.5" customHeight="1">
      <c r="B34" s="51"/>
      <c r="C34" s="408">
        <v>97</v>
      </c>
      <c r="D34" s="809" t="s">
        <v>195</v>
      </c>
      <c r="E34" s="1071" t="s">
        <v>246</v>
      </c>
      <c r="F34" s="160">
        <v>245</v>
      </c>
      <c r="G34" s="425">
        <f t="shared" si="11"/>
        <v>60.025</v>
      </c>
      <c r="H34" s="629">
        <v>39352.313888888886</v>
      </c>
      <c r="I34" s="630">
        <v>39352.78402777778</v>
      </c>
      <c r="J34" s="571">
        <f t="shared" si="12"/>
        <v>11.283333333441988</v>
      </c>
      <c r="K34" s="572">
        <f t="shared" si="13"/>
        <v>677</v>
      </c>
      <c r="L34" s="323" t="s">
        <v>182</v>
      </c>
      <c r="M34" s="227" t="str">
        <f>IF(D34="","","--")</f>
        <v>--</v>
      </c>
      <c r="N34" s="168" t="str">
        <f t="shared" si="3"/>
        <v>--</v>
      </c>
      <c r="O34" s="640">
        <f t="shared" si="14"/>
        <v>2</v>
      </c>
      <c r="P34" s="641">
        <f t="shared" si="15"/>
        <v>1354.164</v>
      </c>
      <c r="Q34" s="642" t="str">
        <f t="shared" si="16"/>
        <v>--</v>
      </c>
      <c r="R34" s="643" t="str">
        <f t="shared" si="17"/>
        <v>--</v>
      </c>
      <c r="S34" s="644" t="str">
        <f t="shared" si="18"/>
        <v>--</v>
      </c>
      <c r="T34" s="429"/>
      <c r="U34" s="168" t="str">
        <f t="shared" si="19"/>
        <v>SI</v>
      </c>
      <c r="V34" s="577">
        <v>0</v>
      </c>
      <c r="W34" s="577">
        <f t="shared" si="10"/>
        <v>0</v>
      </c>
      <c r="X34" s="6"/>
    </row>
    <row r="35" spans="2:24" s="5" customFormat="1" ht="16.5" customHeight="1">
      <c r="B35" s="51"/>
      <c r="C35" s="408">
        <v>98</v>
      </c>
      <c r="D35" s="809" t="s">
        <v>195</v>
      </c>
      <c r="E35" s="1071" t="s">
        <v>247</v>
      </c>
      <c r="F35" s="160">
        <v>245</v>
      </c>
      <c r="G35" s="425">
        <f t="shared" si="11"/>
        <v>60.025</v>
      </c>
      <c r="H35" s="629">
        <v>39352.313888888886</v>
      </c>
      <c r="I35" s="630">
        <v>39352.785416666666</v>
      </c>
      <c r="J35" s="571">
        <f t="shared" si="12"/>
        <v>11.316666666709352</v>
      </c>
      <c r="K35" s="572">
        <f t="shared" si="13"/>
        <v>679</v>
      </c>
      <c r="L35" s="323" t="s">
        <v>182</v>
      </c>
      <c r="M35" s="227" t="str">
        <f>IF(D35="","","--")</f>
        <v>--</v>
      </c>
      <c r="N35" s="168" t="str">
        <f t="shared" si="3"/>
        <v>--</v>
      </c>
      <c r="O35" s="640">
        <f t="shared" si="14"/>
        <v>2</v>
      </c>
      <c r="P35" s="641">
        <f t="shared" si="15"/>
        <v>1358.966</v>
      </c>
      <c r="Q35" s="642" t="str">
        <f t="shared" si="16"/>
        <v>--</v>
      </c>
      <c r="R35" s="643" t="str">
        <f t="shared" si="17"/>
        <v>--</v>
      </c>
      <c r="S35" s="644" t="str">
        <f t="shared" si="18"/>
        <v>--</v>
      </c>
      <c r="T35" s="429"/>
      <c r="U35" s="168" t="str">
        <f t="shared" si="19"/>
        <v>SI</v>
      </c>
      <c r="V35" s="577">
        <v>0</v>
      </c>
      <c r="W35" s="577">
        <f t="shared" si="10"/>
        <v>0</v>
      </c>
      <c r="X35" s="6"/>
    </row>
    <row r="36" spans="2:24" s="5" customFormat="1" ht="16.5" customHeight="1">
      <c r="B36" s="51"/>
      <c r="C36" s="408">
        <v>99</v>
      </c>
      <c r="D36" s="809" t="s">
        <v>195</v>
      </c>
      <c r="E36" s="1071" t="s">
        <v>246</v>
      </c>
      <c r="F36" s="160">
        <v>245</v>
      </c>
      <c r="G36" s="425">
        <f t="shared" si="11"/>
        <v>60.025</v>
      </c>
      <c r="H36" s="629">
        <v>39352.78472222222</v>
      </c>
      <c r="I36" s="630">
        <v>39353.07638888889</v>
      </c>
      <c r="J36" s="571">
        <f t="shared" si="12"/>
        <v>7.000000000116415</v>
      </c>
      <c r="K36" s="572">
        <f t="shared" si="13"/>
        <v>420</v>
      </c>
      <c r="L36" s="323" t="s">
        <v>190</v>
      </c>
      <c r="M36" s="227">
        <v>51.02</v>
      </c>
      <c r="N36" s="168" t="str">
        <f t="shared" si="3"/>
        <v>NO</v>
      </c>
      <c r="O36" s="640">
        <f t="shared" si="14"/>
        <v>20</v>
      </c>
      <c r="P36" s="641" t="str">
        <f t="shared" si="15"/>
        <v>--</v>
      </c>
      <c r="Q36" s="642">
        <f t="shared" si="16"/>
        <v>1200.5</v>
      </c>
      <c r="R36" s="643">
        <f t="shared" si="17"/>
        <v>8403.5</v>
      </c>
      <c r="S36" s="644" t="str">
        <f t="shared" si="18"/>
        <v>--</v>
      </c>
      <c r="T36" s="429"/>
      <c r="U36" s="168" t="str">
        <f t="shared" si="19"/>
        <v>SI</v>
      </c>
      <c r="V36" s="577">
        <v>0</v>
      </c>
      <c r="W36" s="577">
        <f t="shared" si="10"/>
        <v>0</v>
      </c>
      <c r="X36" s="6"/>
    </row>
    <row r="37" spans="2:24" s="5" customFormat="1" ht="16.5" customHeight="1">
      <c r="B37" s="51"/>
      <c r="C37" s="408">
        <v>100</v>
      </c>
      <c r="D37" s="809" t="s">
        <v>195</v>
      </c>
      <c r="E37" s="1071" t="s">
        <v>247</v>
      </c>
      <c r="F37" s="160">
        <v>245</v>
      </c>
      <c r="G37" s="425">
        <f t="shared" si="11"/>
        <v>60.025</v>
      </c>
      <c r="H37" s="629">
        <v>39352.78611111111</v>
      </c>
      <c r="I37" s="630">
        <v>39353.07708333333</v>
      </c>
      <c r="J37" s="571">
        <f t="shared" si="12"/>
        <v>6.9833333332207985</v>
      </c>
      <c r="K37" s="572">
        <f t="shared" si="13"/>
        <v>419</v>
      </c>
      <c r="L37" s="323" t="s">
        <v>190</v>
      </c>
      <c r="M37" s="227">
        <v>51.02</v>
      </c>
      <c r="N37" s="168" t="str">
        <f t="shared" si="3"/>
        <v>NO</v>
      </c>
      <c r="O37" s="640">
        <f t="shared" si="14"/>
        <v>20</v>
      </c>
      <c r="P37" s="641" t="str">
        <f t="shared" si="15"/>
        <v>--</v>
      </c>
      <c r="Q37" s="642">
        <f t="shared" si="16"/>
        <v>1200.5</v>
      </c>
      <c r="R37" s="643">
        <f t="shared" si="17"/>
        <v>8379.49</v>
      </c>
      <c r="S37" s="644" t="str">
        <f t="shared" si="18"/>
        <v>--</v>
      </c>
      <c r="T37" s="429"/>
      <c r="U37" s="168" t="str">
        <f t="shared" si="19"/>
        <v>SI</v>
      </c>
      <c r="V37" s="577">
        <v>0</v>
      </c>
      <c r="W37" s="577">
        <f t="shared" si="10"/>
        <v>0</v>
      </c>
      <c r="X37" s="6"/>
    </row>
    <row r="38" spans="2:24" s="5" customFormat="1" ht="16.5" customHeight="1">
      <c r="B38" s="51"/>
      <c r="C38" s="408">
        <v>101</v>
      </c>
      <c r="D38" s="809" t="s">
        <v>195</v>
      </c>
      <c r="E38" s="1071" t="s">
        <v>246</v>
      </c>
      <c r="F38" s="160">
        <v>245</v>
      </c>
      <c r="G38" s="425">
        <f t="shared" si="11"/>
        <v>60.025</v>
      </c>
      <c r="H38" s="629">
        <v>39353.07708333333</v>
      </c>
      <c r="I38" s="630">
        <v>39353.808333333334</v>
      </c>
      <c r="J38" s="571">
        <f t="shared" si="12"/>
        <v>17.550000000104774</v>
      </c>
      <c r="K38" s="572">
        <f t="shared" si="13"/>
        <v>1053</v>
      </c>
      <c r="L38" s="323" t="s">
        <v>182</v>
      </c>
      <c r="M38" s="227" t="str">
        <f>IF(D38="","","--")</f>
        <v>--</v>
      </c>
      <c r="N38" s="168" t="str">
        <f t="shared" si="3"/>
        <v>--</v>
      </c>
      <c r="O38" s="640">
        <f t="shared" si="14"/>
        <v>2</v>
      </c>
      <c r="P38" s="641">
        <f t="shared" si="15"/>
        <v>2106.8775</v>
      </c>
      <c r="Q38" s="642" t="str">
        <f t="shared" si="16"/>
        <v>--</v>
      </c>
      <c r="R38" s="643" t="str">
        <f t="shared" si="17"/>
        <v>--</v>
      </c>
      <c r="S38" s="644" t="str">
        <f t="shared" si="18"/>
        <v>--</v>
      </c>
      <c r="T38" s="429"/>
      <c r="U38" s="168" t="str">
        <f t="shared" si="19"/>
        <v>SI</v>
      </c>
      <c r="V38" s="577">
        <v>0</v>
      </c>
      <c r="W38" s="577">
        <f t="shared" si="10"/>
        <v>0</v>
      </c>
      <c r="X38" s="6"/>
    </row>
    <row r="39" spans="2:24" s="5" customFormat="1" ht="16.5" customHeight="1">
      <c r="B39" s="51"/>
      <c r="C39" s="408">
        <v>102</v>
      </c>
      <c r="D39" s="809" t="s">
        <v>195</v>
      </c>
      <c r="E39" s="1071" t="s">
        <v>247</v>
      </c>
      <c r="F39" s="160">
        <v>245</v>
      </c>
      <c r="G39" s="425">
        <f t="shared" si="11"/>
        <v>60.025</v>
      </c>
      <c r="H39" s="629">
        <v>39353.07777777778</v>
      </c>
      <c r="I39" s="630">
        <v>39353.80694444444</v>
      </c>
      <c r="J39" s="571">
        <f t="shared" si="12"/>
        <v>17.499999999941792</v>
      </c>
      <c r="K39" s="572">
        <f t="shared" si="13"/>
        <v>1050</v>
      </c>
      <c r="L39" s="323" t="s">
        <v>182</v>
      </c>
      <c r="M39" s="227" t="str">
        <f>IF(D39="","","--")</f>
        <v>--</v>
      </c>
      <c r="N39" s="168" t="str">
        <f t="shared" si="3"/>
        <v>--</v>
      </c>
      <c r="O39" s="640">
        <f t="shared" si="14"/>
        <v>2</v>
      </c>
      <c r="P39" s="641">
        <f t="shared" si="15"/>
        <v>2100.875</v>
      </c>
      <c r="Q39" s="642" t="str">
        <f t="shared" si="16"/>
        <v>--</v>
      </c>
      <c r="R39" s="643" t="str">
        <f t="shared" si="17"/>
        <v>--</v>
      </c>
      <c r="S39" s="644" t="str">
        <f t="shared" si="18"/>
        <v>--</v>
      </c>
      <c r="T39" s="429"/>
      <c r="U39" s="168" t="str">
        <f t="shared" si="19"/>
        <v>SI</v>
      </c>
      <c r="V39" s="577">
        <v>0</v>
      </c>
      <c r="W39" s="577">
        <f t="shared" si="10"/>
        <v>0</v>
      </c>
      <c r="X39" s="6"/>
    </row>
    <row r="40" spans="2:24" s="5" customFormat="1" ht="16.5" customHeight="1">
      <c r="B40" s="51"/>
      <c r="C40" s="408">
        <v>103</v>
      </c>
      <c r="D40" s="809" t="s">
        <v>195</v>
      </c>
      <c r="E40" s="1071" t="s">
        <v>247</v>
      </c>
      <c r="F40" s="160">
        <v>245</v>
      </c>
      <c r="G40" s="425">
        <f t="shared" si="11"/>
        <v>60.025</v>
      </c>
      <c r="H40" s="629">
        <v>39353.80763888889</v>
      </c>
      <c r="I40" s="630">
        <v>39354.39861111111</v>
      </c>
      <c r="J40" s="571">
        <f t="shared" si="12"/>
        <v>14.183333333290648</v>
      </c>
      <c r="K40" s="572">
        <f t="shared" si="13"/>
        <v>851</v>
      </c>
      <c r="L40" s="323" t="s">
        <v>190</v>
      </c>
      <c r="M40" s="227">
        <v>51.02</v>
      </c>
      <c r="N40" s="168" t="str">
        <f t="shared" si="3"/>
        <v>NO</v>
      </c>
      <c r="O40" s="640">
        <f t="shared" si="14"/>
        <v>20</v>
      </c>
      <c r="P40" s="641" t="str">
        <f t="shared" si="15"/>
        <v>--</v>
      </c>
      <c r="Q40" s="642">
        <f t="shared" si="16"/>
        <v>1200.5</v>
      </c>
      <c r="R40" s="643">
        <f t="shared" si="17"/>
        <v>17023.09</v>
      </c>
      <c r="S40" s="644" t="str">
        <f t="shared" si="18"/>
        <v>--</v>
      </c>
      <c r="T40" s="429"/>
      <c r="U40" s="168" t="str">
        <f t="shared" si="19"/>
        <v>SI</v>
      </c>
      <c r="V40" s="577">
        <v>0</v>
      </c>
      <c r="W40" s="577">
        <f t="shared" si="10"/>
        <v>0</v>
      </c>
      <c r="X40" s="6"/>
    </row>
    <row r="41" spans="2:24" s="5" customFormat="1" ht="16.5" customHeight="1">
      <c r="B41" s="51"/>
      <c r="C41" s="408">
        <v>104</v>
      </c>
      <c r="D41" s="809" t="s">
        <v>195</v>
      </c>
      <c r="E41" s="1071" t="s">
        <v>246</v>
      </c>
      <c r="F41" s="160">
        <v>245</v>
      </c>
      <c r="G41" s="425">
        <f t="shared" si="11"/>
        <v>60.025</v>
      </c>
      <c r="H41" s="629">
        <v>39353.80902777778</v>
      </c>
      <c r="I41" s="630">
        <v>39354.40069444444</v>
      </c>
      <c r="J41" s="571">
        <f t="shared" si="12"/>
        <v>14.199999999837019</v>
      </c>
      <c r="K41" s="572">
        <f t="shared" si="13"/>
        <v>852</v>
      </c>
      <c r="L41" s="323" t="s">
        <v>190</v>
      </c>
      <c r="M41" s="227">
        <v>51.02</v>
      </c>
      <c r="N41" s="168" t="str">
        <f t="shared" si="3"/>
        <v>NO</v>
      </c>
      <c r="O41" s="640">
        <f t="shared" si="14"/>
        <v>20</v>
      </c>
      <c r="P41" s="641" t="str">
        <f t="shared" si="15"/>
        <v>--</v>
      </c>
      <c r="Q41" s="642">
        <f t="shared" si="16"/>
        <v>1200.5</v>
      </c>
      <c r="R41" s="643">
        <f t="shared" si="17"/>
        <v>17047.1</v>
      </c>
      <c r="S41" s="644" t="str">
        <f t="shared" si="18"/>
        <v>--</v>
      </c>
      <c r="T41" s="429"/>
      <c r="U41" s="168" t="str">
        <f t="shared" si="19"/>
        <v>SI</v>
      </c>
      <c r="V41" s="577">
        <v>0</v>
      </c>
      <c r="W41" s="577">
        <f t="shared" si="10"/>
        <v>0</v>
      </c>
      <c r="X41" s="6"/>
    </row>
    <row r="42" spans="2:24" s="5" customFormat="1" ht="16.5" customHeight="1">
      <c r="B42" s="51"/>
      <c r="C42" s="408">
        <v>105</v>
      </c>
      <c r="D42" s="809" t="s">
        <v>195</v>
      </c>
      <c r="E42" s="1071" t="s">
        <v>247</v>
      </c>
      <c r="F42" s="160">
        <v>245</v>
      </c>
      <c r="G42" s="425">
        <f t="shared" si="11"/>
        <v>60.025</v>
      </c>
      <c r="H42" s="629">
        <v>39354.399305555555</v>
      </c>
      <c r="I42" s="630">
        <v>39354.60833333333</v>
      </c>
      <c r="J42" s="571">
        <f t="shared" si="12"/>
        <v>5.0166666666045785</v>
      </c>
      <c r="K42" s="572">
        <f t="shared" si="13"/>
        <v>301</v>
      </c>
      <c r="L42" s="323" t="s">
        <v>182</v>
      </c>
      <c r="M42" s="227" t="str">
        <f>IF(D42="","","--")</f>
        <v>--</v>
      </c>
      <c r="N42" s="168" t="str">
        <f t="shared" si="3"/>
        <v>--</v>
      </c>
      <c r="O42" s="640">
        <f t="shared" si="14"/>
        <v>2</v>
      </c>
      <c r="P42" s="641">
        <f t="shared" si="15"/>
        <v>602.651</v>
      </c>
      <c r="Q42" s="642" t="str">
        <f t="shared" si="16"/>
        <v>--</v>
      </c>
      <c r="R42" s="643" t="str">
        <f t="shared" si="17"/>
        <v>--</v>
      </c>
      <c r="S42" s="644" t="str">
        <f t="shared" si="18"/>
        <v>--</v>
      </c>
      <c r="T42" s="429"/>
      <c r="U42" s="168" t="str">
        <f t="shared" si="19"/>
        <v>SI</v>
      </c>
      <c r="V42" s="577">
        <v>0</v>
      </c>
      <c r="W42" s="577">
        <f t="shared" si="10"/>
        <v>0</v>
      </c>
      <c r="X42" s="6"/>
    </row>
    <row r="43" spans="2:24" s="5" customFormat="1" ht="16.5" customHeight="1">
      <c r="B43" s="51"/>
      <c r="C43" s="408">
        <v>106</v>
      </c>
      <c r="D43" s="809" t="s">
        <v>195</v>
      </c>
      <c r="E43" s="1071" t="s">
        <v>246</v>
      </c>
      <c r="F43" s="160">
        <v>245</v>
      </c>
      <c r="G43" s="425">
        <f t="shared" si="11"/>
        <v>60.025</v>
      </c>
      <c r="H43" s="629">
        <v>39354.40138888889</v>
      </c>
      <c r="I43" s="630">
        <v>39354.61041666667</v>
      </c>
      <c r="J43" s="571">
        <f t="shared" si="12"/>
        <v>5.0166666667792015</v>
      </c>
      <c r="K43" s="572">
        <f t="shared" si="13"/>
        <v>301</v>
      </c>
      <c r="L43" s="323" t="s">
        <v>182</v>
      </c>
      <c r="M43" s="227" t="str">
        <f>IF(D43="","","--")</f>
        <v>--</v>
      </c>
      <c r="N43" s="168" t="str">
        <f t="shared" si="3"/>
        <v>--</v>
      </c>
      <c r="O43" s="640">
        <f t="shared" si="14"/>
        <v>2</v>
      </c>
      <c r="P43" s="641">
        <f t="shared" si="15"/>
        <v>602.651</v>
      </c>
      <c r="Q43" s="642" t="str">
        <f t="shared" si="16"/>
        <v>--</v>
      </c>
      <c r="R43" s="643" t="str">
        <f t="shared" si="17"/>
        <v>--</v>
      </c>
      <c r="S43" s="644" t="str">
        <f t="shared" si="18"/>
        <v>--</v>
      </c>
      <c r="T43" s="429"/>
      <c r="U43" s="168" t="str">
        <f t="shared" si="19"/>
        <v>SI</v>
      </c>
      <c r="V43" s="577">
        <v>0</v>
      </c>
      <c r="W43" s="577">
        <f t="shared" si="10"/>
        <v>0</v>
      </c>
      <c r="X43" s="6"/>
    </row>
    <row r="44" spans="2:24" s="5" customFormat="1" ht="16.5" customHeight="1">
      <c r="B44" s="51"/>
      <c r="C44" s="408">
        <v>107</v>
      </c>
      <c r="D44" s="809" t="s">
        <v>195</v>
      </c>
      <c r="E44" s="1071" t="s">
        <v>247</v>
      </c>
      <c r="F44" s="160">
        <v>245</v>
      </c>
      <c r="G44" s="425">
        <f t="shared" si="11"/>
        <v>60.025</v>
      </c>
      <c r="H44" s="629">
        <v>39354.60902777778</v>
      </c>
      <c r="I44" s="630">
        <v>39355.330555555556</v>
      </c>
      <c r="J44" s="571">
        <f t="shared" si="12"/>
        <v>17.316666666709352</v>
      </c>
      <c r="K44" s="572">
        <f t="shared" si="13"/>
        <v>1039</v>
      </c>
      <c r="L44" s="323" t="s">
        <v>190</v>
      </c>
      <c r="M44" s="227">
        <v>51.02</v>
      </c>
      <c r="N44" s="168" t="str">
        <f t="shared" si="3"/>
        <v>NO</v>
      </c>
      <c r="O44" s="640">
        <f t="shared" si="14"/>
        <v>20</v>
      </c>
      <c r="P44" s="641" t="str">
        <f t="shared" si="15"/>
        <v>--</v>
      </c>
      <c r="Q44" s="642">
        <f t="shared" si="16"/>
        <v>1200.5</v>
      </c>
      <c r="R44" s="643">
        <f t="shared" si="17"/>
        <v>20792.66</v>
      </c>
      <c r="S44" s="644" t="str">
        <f t="shared" si="18"/>
        <v>--</v>
      </c>
      <c r="T44" s="429"/>
      <c r="U44" s="168" t="str">
        <f t="shared" si="19"/>
        <v>SI</v>
      </c>
      <c r="V44" s="577">
        <v>0</v>
      </c>
      <c r="W44" s="577">
        <f t="shared" si="10"/>
        <v>0</v>
      </c>
      <c r="X44" s="6"/>
    </row>
    <row r="45" spans="2:24" s="5" customFormat="1" ht="16.5" customHeight="1">
      <c r="B45" s="51"/>
      <c r="C45" s="408">
        <v>108</v>
      </c>
      <c r="D45" s="809" t="s">
        <v>195</v>
      </c>
      <c r="E45" s="1071" t="s">
        <v>246</v>
      </c>
      <c r="F45" s="160">
        <v>245</v>
      </c>
      <c r="G45" s="425">
        <f t="shared" si="11"/>
        <v>60.025</v>
      </c>
      <c r="H45" s="629">
        <v>39354.61111111111</v>
      </c>
      <c r="I45" s="630">
        <v>39355.32986111111</v>
      </c>
      <c r="J45" s="571">
        <f t="shared" si="12"/>
        <v>17.25</v>
      </c>
      <c r="K45" s="572">
        <f t="shared" si="13"/>
        <v>1035</v>
      </c>
      <c r="L45" s="323" t="s">
        <v>190</v>
      </c>
      <c r="M45" s="227">
        <v>51.02</v>
      </c>
      <c r="N45" s="168" t="str">
        <f t="shared" si="3"/>
        <v>NO</v>
      </c>
      <c r="O45" s="640">
        <f t="shared" si="14"/>
        <v>20</v>
      </c>
      <c r="P45" s="641" t="str">
        <f t="shared" si="15"/>
        <v>--</v>
      </c>
      <c r="Q45" s="642">
        <f t="shared" si="16"/>
        <v>1200.5</v>
      </c>
      <c r="R45" s="643">
        <f t="shared" si="17"/>
        <v>20708.625</v>
      </c>
      <c r="S45" s="644" t="str">
        <f t="shared" si="18"/>
        <v>--</v>
      </c>
      <c r="T45" s="429"/>
      <c r="U45" s="168" t="str">
        <f t="shared" si="19"/>
        <v>SI</v>
      </c>
      <c r="V45" s="577">
        <v>0</v>
      </c>
      <c r="W45" s="577">
        <f t="shared" si="10"/>
        <v>0</v>
      </c>
      <c r="X45" s="6"/>
    </row>
    <row r="46" spans="2:24" s="5" customFormat="1" ht="16.5" customHeight="1">
      <c r="B46" s="51"/>
      <c r="C46" s="408">
        <v>109</v>
      </c>
      <c r="D46" s="809" t="s">
        <v>195</v>
      </c>
      <c r="E46" s="1071" t="s">
        <v>246</v>
      </c>
      <c r="F46" s="160">
        <v>245</v>
      </c>
      <c r="G46" s="425">
        <f t="shared" si="11"/>
        <v>60.025</v>
      </c>
      <c r="H46" s="629">
        <v>39355.330555555556</v>
      </c>
      <c r="I46" s="630">
        <v>39355.75763888889</v>
      </c>
      <c r="J46" s="571">
        <f t="shared" si="12"/>
        <v>10.250000000058208</v>
      </c>
      <c r="K46" s="572">
        <f t="shared" si="13"/>
        <v>615</v>
      </c>
      <c r="L46" s="323" t="s">
        <v>182</v>
      </c>
      <c r="M46" s="227" t="str">
        <f>IF(D46="","","--")</f>
        <v>--</v>
      </c>
      <c r="N46" s="168" t="str">
        <f t="shared" si="3"/>
        <v>--</v>
      </c>
      <c r="O46" s="640">
        <f t="shared" si="14"/>
        <v>2</v>
      </c>
      <c r="P46" s="641">
        <f t="shared" si="15"/>
        <v>1230.5125</v>
      </c>
      <c r="Q46" s="642" t="str">
        <f t="shared" si="16"/>
        <v>--</v>
      </c>
      <c r="R46" s="643" t="str">
        <f t="shared" si="17"/>
        <v>--</v>
      </c>
      <c r="S46" s="644" t="str">
        <f t="shared" si="18"/>
        <v>--</v>
      </c>
      <c r="T46" s="429"/>
      <c r="U46" s="168" t="str">
        <f t="shared" si="19"/>
        <v>SI</v>
      </c>
      <c r="V46" s="577">
        <v>0</v>
      </c>
      <c r="W46" s="577">
        <f t="shared" si="10"/>
        <v>0</v>
      </c>
      <c r="X46" s="6"/>
    </row>
    <row r="47" spans="2:24" s="5" customFormat="1" ht="16.5" customHeight="1">
      <c r="B47" s="51"/>
      <c r="C47" s="408">
        <v>110</v>
      </c>
      <c r="D47" s="809" t="s">
        <v>195</v>
      </c>
      <c r="E47" s="1071" t="s">
        <v>247</v>
      </c>
      <c r="F47" s="160">
        <v>245</v>
      </c>
      <c r="G47" s="425">
        <f t="shared" si="11"/>
        <v>60.025</v>
      </c>
      <c r="H47" s="629">
        <v>39355.33125</v>
      </c>
      <c r="I47" s="630">
        <v>39355.75555555556</v>
      </c>
      <c r="J47" s="571">
        <f t="shared" si="12"/>
        <v>10.183333333348855</v>
      </c>
      <c r="K47" s="572">
        <f t="shared" si="13"/>
        <v>611</v>
      </c>
      <c r="L47" s="323" t="s">
        <v>182</v>
      </c>
      <c r="M47" s="227" t="str">
        <f>IF(D47="","","--")</f>
        <v>--</v>
      </c>
      <c r="N47" s="168" t="str">
        <f t="shared" si="3"/>
        <v>--</v>
      </c>
      <c r="O47" s="640">
        <f t="shared" si="14"/>
        <v>2</v>
      </c>
      <c r="P47" s="641">
        <f t="shared" si="15"/>
        <v>1222.109</v>
      </c>
      <c r="Q47" s="642" t="str">
        <f t="shared" si="16"/>
        <v>--</v>
      </c>
      <c r="R47" s="643" t="str">
        <f t="shared" si="17"/>
        <v>--</v>
      </c>
      <c r="S47" s="644" t="str">
        <f t="shared" si="18"/>
        <v>--</v>
      </c>
      <c r="T47" s="429"/>
      <c r="U47" s="168" t="str">
        <f t="shared" si="19"/>
        <v>SI</v>
      </c>
      <c r="V47" s="577">
        <v>0</v>
      </c>
      <c r="W47" s="577">
        <f t="shared" si="10"/>
        <v>0</v>
      </c>
      <c r="X47" s="6"/>
    </row>
    <row r="48" spans="2:24" s="5" customFormat="1" ht="16.5" customHeight="1">
      <c r="B48" s="51"/>
      <c r="C48" s="408">
        <v>111</v>
      </c>
      <c r="D48" s="809" t="s">
        <v>195</v>
      </c>
      <c r="E48" s="1071" t="s">
        <v>247</v>
      </c>
      <c r="F48" s="160">
        <v>245</v>
      </c>
      <c r="G48" s="425">
        <f t="shared" si="11"/>
        <v>60.025</v>
      </c>
      <c r="H48" s="629">
        <v>39355.75625</v>
      </c>
      <c r="I48" s="630">
        <v>39355.99930555555</v>
      </c>
      <c r="J48" s="571">
        <f t="shared" si="12"/>
        <v>5.833333333313931</v>
      </c>
      <c r="K48" s="572">
        <f t="shared" si="13"/>
        <v>350</v>
      </c>
      <c r="L48" s="323" t="s">
        <v>190</v>
      </c>
      <c r="M48" s="227">
        <v>51.02</v>
      </c>
      <c r="N48" s="168" t="str">
        <f t="shared" si="3"/>
        <v>NO</v>
      </c>
      <c r="O48" s="640">
        <f t="shared" si="14"/>
        <v>20</v>
      </c>
      <c r="P48" s="641" t="str">
        <f t="shared" si="15"/>
        <v>--</v>
      </c>
      <c r="Q48" s="642">
        <f t="shared" si="16"/>
        <v>1200.5</v>
      </c>
      <c r="R48" s="643">
        <f t="shared" si="17"/>
        <v>6998.915</v>
      </c>
      <c r="S48" s="644" t="str">
        <f t="shared" si="18"/>
        <v>--</v>
      </c>
      <c r="T48" s="429"/>
      <c r="U48" s="168" t="str">
        <f t="shared" si="19"/>
        <v>SI</v>
      </c>
      <c r="V48" s="577">
        <v>0</v>
      </c>
      <c r="W48" s="577">
        <f t="shared" si="10"/>
        <v>0</v>
      </c>
      <c r="X48" s="6"/>
    </row>
    <row r="49" spans="2:24" s="5" customFormat="1" ht="16.5" customHeight="1">
      <c r="B49" s="51"/>
      <c r="C49" s="408">
        <v>112</v>
      </c>
      <c r="D49" s="809" t="s">
        <v>195</v>
      </c>
      <c r="E49" s="1071" t="s">
        <v>246</v>
      </c>
      <c r="F49" s="160">
        <v>245</v>
      </c>
      <c r="G49" s="425">
        <f t="shared" si="11"/>
        <v>60.025</v>
      </c>
      <c r="H49" s="629">
        <v>39355.75833333333</v>
      </c>
      <c r="I49" s="630">
        <v>39355.99930555555</v>
      </c>
      <c r="J49" s="571">
        <f t="shared" si="12"/>
        <v>5.783333333325572</v>
      </c>
      <c r="K49" s="572">
        <f t="shared" si="13"/>
        <v>347</v>
      </c>
      <c r="L49" s="323" t="s">
        <v>190</v>
      </c>
      <c r="M49" s="227">
        <v>51.02</v>
      </c>
      <c r="N49" s="168" t="str">
        <f t="shared" si="3"/>
        <v>NO</v>
      </c>
      <c r="O49" s="640">
        <f t="shared" si="14"/>
        <v>20</v>
      </c>
      <c r="P49" s="641" t="str">
        <f t="shared" si="15"/>
        <v>--</v>
      </c>
      <c r="Q49" s="642">
        <f t="shared" si="16"/>
        <v>1200.5</v>
      </c>
      <c r="R49" s="643">
        <f t="shared" si="17"/>
        <v>6938.89</v>
      </c>
      <c r="S49" s="644" t="str">
        <f t="shared" si="18"/>
        <v>--</v>
      </c>
      <c r="T49" s="429"/>
      <c r="U49" s="168" t="str">
        <f t="shared" si="19"/>
        <v>SI</v>
      </c>
      <c r="V49" s="577">
        <v>0</v>
      </c>
      <c r="W49" s="577">
        <f t="shared" si="10"/>
        <v>0</v>
      </c>
      <c r="X49" s="6"/>
    </row>
    <row r="50" spans="2:24" s="5" customFormat="1" ht="16.5" customHeight="1" thickBot="1">
      <c r="B50" s="51"/>
      <c r="C50" s="171"/>
      <c r="D50" s="646"/>
      <c r="E50" s="161"/>
      <c r="F50" s="647"/>
      <c r="G50" s="141"/>
      <c r="H50" s="578"/>
      <c r="I50" s="578"/>
      <c r="J50" s="579"/>
      <c r="K50" s="579"/>
      <c r="L50" s="241"/>
      <c r="M50" s="241"/>
      <c r="N50" s="167"/>
      <c r="O50" s="648"/>
      <c r="P50" s="649"/>
      <c r="Q50" s="650"/>
      <c r="R50" s="651"/>
      <c r="S50" s="652"/>
      <c r="T50" s="652"/>
      <c r="U50" s="167"/>
      <c r="V50" s="653"/>
      <c r="W50" s="653"/>
      <c r="X50" s="6"/>
    </row>
    <row r="51" spans="2:24" s="5" customFormat="1" ht="16.5" customHeight="1" thickBot="1" thickTop="1">
      <c r="B51" s="51"/>
      <c r="C51" s="131" t="s">
        <v>25</v>
      </c>
      <c r="D51" s="132" t="s">
        <v>298</v>
      </c>
      <c r="G51" s="4"/>
      <c r="H51" s="4"/>
      <c r="I51" s="4"/>
      <c r="J51" s="4"/>
      <c r="K51" s="4"/>
      <c r="L51" s="4"/>
      <c r="M51" s="67"/>
      <c r="N51" s="4"/>
      <c r="O51" s="4"/>
      <c r="P51" s="654">
        <f>SUM(P20:P50)</f>
        <v>21431.326000000005</v>
      </c>
      <c r="Q51" s="655">
        <f>SUM(Q20:Q50)</f>
        <v>14406</v>
      </c>
      <c r="R51" s="656">
        <f>SUM(R20:R50)</f>
        <v>444845.27499999997</v>
      </c>
      <c r="S51" s="657">
        <f>SUM(S20:S50)</f>
        <v>0</v>
      </c>
      <c r="T51" s="657">
        <f>SUM(T20:T50)</f>
        <v>0</v>
      </c>
      <c r="V51" s="102">
        <f>ROUND(SUM(V20:V50),2)</f>
        <v>71189.77</v>
      </c>
      <c r="W51" s="102">
        <f>SUM(W21:W49)</f>
        <v>46026.68499343686</v>
      </c>
      <c r="X51" s="658"/>
    </row>
    <row r="52" spans="2:24" s="137" customFormat="1" ht="9.75" thickTop="1">
      <c r="B52" s="136"/>
      <c r="C52" s="133"/>
      <c r="D52" s="134" t="s">
        <v>302</v>
      </c>
      <c r="G52" s="135"/>
      <c r="H52" s="135"/>
      <c r="I52" s="135"/>
      <c r="J52" s="135"/>
      <c r="K52" s="135"/>
      <c r="L52" s="135"/>
      <c r="M52" s="133"/>
      <c r="N52" s="135"/>
      <c r="O52" s="135"/>
      <c r="P52" s="469"/>
      <c r="Q52" s="469"/>
      <c r="R52" s="469"/>
      <c r="S52" s="469"/>
      <c r="T52" s="469"/>
      <c r="V52" s="253"/>
      <c r="W52" s="253"/>
      <c r="X52" s="590"/>
    </row>
    <row r="53" spans="2:24" s="5" customFormat="1" ht="16.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1072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7"/>
    </row>
    <row r="54" spans="4:26" ht="16.5" customHeight="1" thickTop="1">
      <c r="D54" s="203"/>
      <c r="E54" s="203"/>
      <c r="F54" s="203"/>
      <c r="G54" s="193"/>
      <c r="H54" s="193"/>
      <c r="I54" s="193"/>
      <c r="J54" s="193"/>
      <c r="K54" s="193"/>
      <c r="L54" s="193"/>
      <c r="M54" s="107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</row>
    <row r="55" spans="4:26" ht="16.5" customHeight="1">
      <c r="D55" s="203"/>
      <c r="E55" s="203"/>
      <c r="F55" s="203"/>
      <c r="G55" s="193"/>
      <c r="H55" s="193"/>
      <c r="I55" s="193"/>
      <c r="J55" s="193"/>
      <c r="K55" s="193"/>
      <c r="L55" s="193"/>
      <c r="M55" s="107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</row>
    <row r="56" spans="4:26" ht="16.5" customHeight="1">
      <c r="D56" s="203"/>
      <c r="E56" s="203"/>
      <c r="F56" s="203"/>
      <c r="G56" s="193"/>
      <c r="H56" s="193"/>
      <c r="I56" s="193"/>
      <c r="J56" s="193"/>
      <c r="K56" s="193"/>
      <c r="L56" s="193"/>
      <c r="M56" s="107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</row>
    <row r="57" spans="4:26" ht="16.5" customHeight="1">
      <c r="D57" s="203"/>
      <c r="E57" s="203"/>
      <c r="F57" s="203"/>
      <c r="G57" s="193"/>
      <c r="H57" s="193"/>
      <c r="I57" s="193"/>
      <c r="J57" s="193"/>
      <c r="K57" s="193"/>
      <c r="L57" s="193"/>
      <c r="M57" s="107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</row>
    <row r="58" spans="4:26" ht="16.5" customHeight="1">
      <c r="D58" s="203"/>
      <c r="E58" s="203"/>
      <c r="F58" s="203"/>
      <c r="G58" s="193"/>
      <c r="H58" s="193"/>
      <c r="I58" s="193"/>
      <c r="J58" s="193"/>
      <c r="K58" s="193"/>
      <c r="L58" s="193"/>
      <c r="M58" s="107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</row>
    <row r="59" spans="4:26" ht="16.5" customHeight="1">
      <c r="D59" s="203"/>
      <c r="E59" s="203"/>
      <c r="F59" s="203"/>
      <c r="G59" s="193"/>
      <c r="H59" s="193"/>
      <c r="I59" s="193"/>
      <c r="J59" s="193"/>
      <c r="K59" s="193"/>
      <c r="L59" s="193"/>
      <c r="M59" s="107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</row>
    <row r="60" spans="4:26" ht="16.5" customHeight="1">
      <c r="D60" s="193"/>
      <c r="E60" s="193"/>
      <c r="F60" s="193"/>
      <c r="G60" s="193"/>
      <c r="H60" s="193"/>
      <c r="I60" s="193"/>
      <c r="J60" s="193"/>
      <c r="K60" s="193"/>
      <c r="L60" s="193"/>
      <c r="M60" s="107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</row>
    <row r="61" spans="4:26" ht="16.5" customHeight="1">
      <c r="D61" s="193"/>
      <c r="E61" s="193"/>
      <c r="F61" s="193"/>
      <c r="G61" s="193"/>
      <c r="H61" s="193"/>
      <c r="I61" s="193"/>
      <c r="J61" s="193"/>
      <c r="K61" s="193"/>
      <c r="L61" s="193"/>
      <c r="M61" s="107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</row>
    <row r="62" spans="4:26" ht="16.5" customHeight="1">
      <c r="D62" s="193"/>
      <c r="E62" s="193"/>
      <c r="F62" s="193"/>
      <c r="G62" s="193"/>
      <c r="H62" s="193"/>
      <c r="I62" s="193"/>
      <c r="J62" s="193"/>
      <c r="K62" s="193"/>
      <c r="L62" s="193"/>
      <c r="M62" s="107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</row>
    <row r="63" spans="4:26" ht="16.5" customHeight="1">
      <c r="D63" s="193"/>
      <c r="E63" s="193"/>
      <c r="F63" s="193"/>
      <c r="G63" s="193"/>
      <c r="H63" s="193"/>
      <c r="I63" s="193"/>
      <c r="J63" s="193"/>
      <c r="K63" s="193"/>
      <c r="L63" s="193"/>
      <c r="M63" s="107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</row>
    <row r="64" spans="4:26" ht="16.5" customHeight="1">
      <c r="D64" s="193"/>
      <c r="E64" s="193"/>
      <c r="F64" s="193"/>
      <c r="G64" s="193"/>
      <c r="H64" s="193"/>
      <c r="I64" s="193"/>
      <c r="J64" s="193"/>
      <c r="K64" s="193"/>
      <c r="L64" s="193"/>
      <c r="M64" s="107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</row>
    <row r="65" spans="4:26" ht="16.5" customHeight="1">
      <c r="D65" s="193"/>
      <c r="E65" s="193"/>
      <c r="F65" s="193"/>
      <c r="G65" s="193"/>
      <c r="H65" s="193"/>
      <c r="I65" s="193"/>
      <c r="J65" s="193"/>
      <c r="K65" s="193"/>
      <c r="L65" s="193"/>
      <c r="M65" s="107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</row>
    <row r="66" spans="4:26" ht="16.5" customHeight="1">
      <c r="D66" s="193"/>
      <c r="E66" s="193"/>
      <c r="F66" s="193"/>
      <c r="G66" s="193"/>
      <c r="H66" s="193"/>
      <c r="I66" s="193"/>
      <c r="J66" s="193"/>
      <c r="K66" s="193"/>
      <c r="L66" s="193"/>
      <c r="M66" s="107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</row>
    <row r="67" spans="4:26" ht="16.5" customHeight="1">
      <c r="D67" s="193"/>
      <c r="E67" s="193"/>
      <c r="F67" s="193"/>
      <c r="G67" s="193"/>
      <c r="H67" s="193"/>
      <c r="I67" s="193"/>
      <c r="J67" s="193"/>
      <c r="K67" s="193"/>
      <c r="L67" s="193"/>
      <c r="M67" s="107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</row>
    <row r="68" spans="4:26" ht="16.5" customHeight="1">
      <c r="D68" s="193"/>
      <c r="E68" s="193"/>
      <c r="F68" s="193"/>
      <c r="G68" s="193"/>
      <c r="H68" s="193"/>
      <c r="I68" s="193"/>
      <c r="J68" s="193"/>
      <c r="K68" s="193"/>
      <c r="L68" s="193"/>
      <c r="M68" s="107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</row>
    <row r="69" spans="4:26" ht="16.5" customHeight="1"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</row>
    <row r="70" spans="4:26" ht="16.5" customHeight="1"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</row>
    <row r="71" spans="4:26" ht="16.5" customHeight="1"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</row>
    <row r="72" spans="4:26" ht="16.5" customHeight="1"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</row>
    <row r="73" spans="4:26" ht="16.5" customHeight="1"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</row>
    <row r="74" spans="4:26" ht="16.5" customHeight="1"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</row>
    <row r="75" spans="4:26" ht="16.5" customHeight="1"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</row>
    <row r="76" spans="4:26" ht="16.5" customHeight="1"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</row>
    <row r="77" spans="4:26" ht="16.5" customHeight="1"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</row>
    <row r="78" spans="4:26" ht="16.5" customHeight="1"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</row>
    <row r="79" spans="4:26" ht="16.5" customHeight="1"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</row>
    <row r="80" spans="4:26" ht="16.5" customHeight="1"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</row>
    <row r="81" spans="4:26" ht="16.5" customHeight="1"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</row>
    <row r="82" spans="4:26" ht="16.5" customHeight="1"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</row>
    <row r="83" spans="4:26" ht="16.5" customHeight="1"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</row>
    <row r="84" spans="4:26" ht="16.5" customHeight="1"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</row>
    <row r="85" spans="4:26" ht="16.5" customHeight="1"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</row>
    <row r="86" spans="4:26" ht="16.5" customHeight="1"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</row>
    <row r="87" spans="4:26" ht="16.5" customHeight="1"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</row>
    <row r="88" spans="4:26" ht="16.5" customHeight="1"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</row>
    <row r="89" spans="4:26" ht="16.5" customHeight="1"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</row>
    <row r="90" spans="4:26" ht="16.5" customHeight="1"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</row>
    <row r="91" spans="4:26" ht="16.5" customHeight="1"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</row>
    <row r="92" spans="4:26" ht="16.5" customHeight="1"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</row>
    <row r="93" spans="4:26" ht="16.5" customHeight="1"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</row>
    <row r="94" spans="4:26" ht="16.5" customHeight="1"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</row>
    <row r="95" spans="4:26" ht="16.5" customHeight="1"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</row>
    <row r="96" spans="4:26" ht="16.5" customHeight="1"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</row>
    <row r="97" spans="4:26" ht="16.5" customHeight="1"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</row>
    <row r="98" spans="4:26" ht="16.5" customHeight="1"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</row>
    <row r="99" spans="4:26" ht="16.5" customHeight="1"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</row>
    <row r="100" spans="4:26" ht="16.5" customHeight="1"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</row>
    <row r="101" spans="4:26" ht="16.5" customHeight="1"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</row>
    <row r="102" spans="4:26" ht="16.5" customHeight="1"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</row>
    <row r="103" spans="4:26" ht="16.5" customHeight="1"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</row>
    <row r="104" spans="4:26" ht="16.5" customHeight="1"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</row>
    <row r="105" spans="4:26" ht="16.5" customHeight="1"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</row>
    <row r="106" spans="4:26" ht="16.5" customHeight="1"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</row>
    <row r="107" spans="4:26" ht="16.5" customHeight="1"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</row>
    <row r="108" spans="4:26" ht="16.5" customHeight="1"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</row>
    <row r="109" spans="4:26" ht="16.5" customHeight="1"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</row>
    <row r="110" spans="4:26" ht="16.5" customHeight="1"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</row>
    <row r="111" spans="4:26" ht="16.5" customHeight="1"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</row>
    <row r="112" spans="4:26" ht="16.5" customHeight="1"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</row>
    <row r="113" spans="4:26" ht="16.5" customHeight="1"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</row>
    <row r="114" spans="4:26" ht="16.5" customHeight="1"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</row>
    <row r="115" spans="4:26" ht="16.5" customHeight="1"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</row>
    <row r="116" spans="4:26" ht="16.5" customHeight="1"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</row>
    <row r="117" spans="4:26" ht="16.5" customHeight="1"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</row>
    <row r="118" spans="4:26" ht="16.5" customHeight="1"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</row>
    <row r="119" spans="4:26" ht="16.5" customHeight="1"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</row>
    <row r="120" spans="4:26" ht="16.5" customHeight="1"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</row>
    <row r="121" spans="4:26" ht="16.5" customHeight="1"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</row>
    <row r="122" spans="4:26" ht="16.5" customHeight="1"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</row>
    <row r="123" spans="4:26" ht="16.5" customHeight="1"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</row>
    <row r="124" spans="4:26" ht="16.5" customHeight="1"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</row>
    <row r="125" spans="4:26" ht="16.5" customHeight="1"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</row>
    <row r="126" spans="4:26" ht="16.5" customHeight="1"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</row>
    <row r="127" spans="4:26" ht="16.5" customHeight="1"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</row>
    <row r="128" spans="4:26" ht="16.5" customHeight="1"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</row>
    <row r="129" spans="4:26" ht="16.5" customHeight="1"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</row>
    <row r="130" spans="4:26" ht="16.5" customHeight="1"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</row>
    <row r="131" spans="4:26" ht="16.5" customHeight="1"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</row>
    <row r="132" spans="4:26" ht="16.5" customHeight="1"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</row>
    <row r="133" spans="4:26" ht="16.5" customHeight="1"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</row>
    <row r="134" spans="4:26" ht="16.5" customHeight="1"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</row>
    <row r="135" spans="4:26" ht="16.5" customHeight="1"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</row>
    <row r="136" spans="4:26" ht="16.5" customHeight="1"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</row>
    <row r="137" spans="4:26" ht="16.5" customHeight="1"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</row>
    <row r="138" spans="4:26" ht="16.5" customHeight="1"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</row>
    <row r="139" spans="4:26" ht="16.5" customHeight="1"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</row>
    <row r="140" spans="4:26" ht="16.5" customHeight="1"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</row>
    <row r="141" spans="4:26" ht="16.5" customHeight="1"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</row>
    <row r="142" spans="4:26" ht="16.5" customHeight="1"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</row>
    <row r="143" spans="4:26" ht="16.5" customHeight="1"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</row>
    <row r="144" spans="4:26" ht="16.5" customHeight="1"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</row>
    <row r="145" spans="4:26" ht="16.5" customHeight="1"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</row>
    <row r="146" spans="4:26" ht="16.5" customHeight="1"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</row>
    <row r="147" spans="4:26" ht="16.5" customHeight="1"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</row>
    <row r="148" spans="4:26" ht="16.5" customHeight="1"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</row>
    <row r="149" spans="4:26" ht="16.5" customHeight="1"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</row>
    <row r="150" spans="4:26" ht="16.5" customHeight="1"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</row>
    <row r="151" spans="4:26" ht="16.5" customHeight="1"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</row>
    <row r="152" spans="4:26" ht="16.5" customHeight="1"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</row>
    <row r="153" spans="4:26" ht="16.5" customHeight="1"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</row>
    <row r="154" spans="4:26" ht="16.5" customHeight="1"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</row>
    <row r="155" spans="4:26" ht="16.5" customHeight="1"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</row>
    <row r="156" spans="4:26" ht="16.5" customHeight="1"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</row>
    <row r="157" spans="4:26" ht="16.5" customHeight="1"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</row>
    <row r="158" spans="4:26" ht="16.5" customHeight="1"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</row>
    <row r="159" spans="4:26" ht="16.5" customHeight="1"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</row>
    <row r="160" spans="4:26" ht="16.5" customHeight="1"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</row>
    <row r="161" spans="4:26" ht="16.5" customHeight="1">
      <c r="D161" s="193"/>
      <c r="E161" s="193"/>
      <c r="F161" s="193"/>
      <c r="Y161" s="193"/>
      <c r="Z161" s="193"/>
    </row>
    <row r="162" spans="4:6" ht="16.5" customHeight="1">
      <c r="D162" s="193"/>
      <c r="E162" s="193"/>
      <c r="F162" s="193"/>
    </row>
    <row r="163" spans="4:6" ht="16.5" customHeight="1">
      <c r="D163" s="193"/>
      <c r="E163" s="193"/>
      <c r="F163" s="193"/>
    </row>
    <row r="164" spans="4:6" ht="16.5" customHeight="1">
      <c r="D164" s="193"/>
      <c r="E164" s="193"/>
      <c r="F164" s="193"/>
    </row>
    <row r="165" spans="4:6" ht="16.5" customHeight="1">
      <c r="D165" s="193"/>
      <c r="E165" s="193"/>
      <c r="F165" s="193"/>
    </row>
    <row r="166" spans="4:6" ht="16.5" customHeight="1">
      <c r="D166" s="193"/>
      <c r="E166" s="193"/>
      <c r="F166" s="193"/>
    </row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X190"/>
  <sheetViews>
    <sheetView zoomScale="75" zoomScaleNormal="75" workbookViewId="0" topLeftCell="A4">
      <selection activeCell="Q21" sqref="Q2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31.8515625" style="0" customWidth="1"/>
    <col min="5" max="5" width="32.140625" style="0" customWidth="1"/>
    <col min="6" max="6" width="8.8515625" style="0" customWidth="1"/>
    <col min="7" max="8" width="17.140625" style="0" customWidth="1"/>
    <col min="9" max="11" width="9.7109375" style="0" customWidth="1"/>
    <col min="12" max="12" width="15.8515625" style="0" hidden="1" customWidth="1"/>
    <col min="13" max="15" width="16.8515625" style="0" hidden="1" customWidth="1"/>
    <col min="16" max="18" width="15.7109375" style="0" customWidth="1"/>
    <col min="19" max="19" width="30.421875" style="0" customWidth="1"/>
    <col min="20" max="20" width="3.140625" style="0" customWidth="1"/>
    <col min="21" max="21" width="3.57421875" style="0" customWidth="1"/>
    <col min="22" max="22" width="24.28125" style="0" customWidth="1"/>
    <col min="23" max="23" width="4.7109375" style="0" customWidth="1"/>
    <col min="24" max="24" width="7.57421875" style="0" customWidth="1"/>
    <col min="25" max="26" width="4.140625" style="0" customWidth="1"/>
    <col min="27" max="27" width="7.140625" style="0" customWidth="1"/>
    <col min="28" max="28" width="5.28125" style="0" customWidth="1"/>
    <col min="29" max="29" width="5.421875" style="0" customWidth="1"/>
    <col min="30" max="30" width="4.7109375" style="0" customWidth="1"/>
    <col min="31" max="31" width="5.28125" style="0" customWidth="1"/>
    <col min="32" max="33" width="13.28125" style="0" customWidth="1"/>
    <col min="34" max="34" width="6.57421875" style="0" customWidth="1"/>
    <col min="35" max="35" width="6.421875" style="0" customWidth="1"/>
    <col min="40" max="40" width="12.7109375" style="0" customWidth="1"/>
    <col min="44" max="44" width="21.00390625" style="0" customWidth="1"/>
  </cols>
  <sheetData>
    <row r="1" spans="7:18" ht="27.75" customHeight="1"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58"/>
    </row>
    <row r="2" spans="1:18" ht="27.75" customHeight="1">
      <c r="A2" s="2"/>
      <c r="B2" s="20" t="str">
        <f>+'TOT-0907'!B2</f>
        <v>ANEXO IV al Memorandum D.T.E.E. N°  1955 /2009</v>
      </c>
      <c r="C2" s="190"/>
      <c r="D2" s="190"/>
      <c r="E2" s="190"/>
      <c r="F2" s="190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2.75">
      <c r="A3" s="2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</row>
    <row r="4" spans="1:2" s="26" customFormat="1" ht="11.25">
      <c r="A4" s="24" t="s">
        <v>2</v>
      </c>
      <c r="B4" s="128"/>
    </row>
    <row r="5" spans="1:2" s="26" customFormat="1" ht="11.25">
      <c r="A5" s="24" t="s">
        <v>3</v>
      </c>
      <c r="B5" s="128"/>
    </row>
    <row r="6" spans="7:18" ht="13.5" thickBot="1"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</row>
    <row r="7" spans="2:18" ht="13.5" thickTop="1">
      <c r="B7" s="195"/>
      <c r="C7" s="196"/>
      <c r="D7" s="196"/>
      <c r="E7" s="196"/>
      <c r="F7" s="196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</row>
    <row r="8" spans="2:18" ht="20.25">
      <c r="B8" s="199"/>
      <c r="D8" s="192" t="s">
        <v>61</v>
      </c>
      <c r="E8" s="192"/>
      <c r="G8" s="188"/>
      <c r="H8" s="190"/>
      <c r="I8" s="190"/>
      <c r="J8" s="190"/>
      <c r="K8" s="200"/>
      <c r="L8" s="200"/>
      <c r="M8" s="200"/>
      <c r="N8" s="200"/>
      <c r="O8" s="200"/>
      <c r="P8" s="200"/>
      <c r="Q8" s="200"/>
      <c r="R8" s="201"/>
    </row>
    <row r="9" spans="2:18" ht="20.25">
      <c r="B9" s="199"/>
      <c r="C9" s="31"/>
      <c r="D9" s="202"/>
      <c r="E9" s="202"/>
      <c r="F9" s="31"/>
      <c r="G9" s="30"/>
      <c r="K9" s="203"/>
      <c r="L9" s="203"/>
      <c r="M9" s="203"/>
      <c r="N9" s="203"/>
      <c r="O9" s="203"/>
      <c r="P9" s="203"/>
      <c r="Q9" s="203"/>
      <c r="R9" s="204"/>
    </row>
    <row r="10" spans="2:24" s="30" customFormat="1" ht="20.25">
      <c r="B10" s="80"/>
      <c r="D10" s="11" t="s">
        <v>93</v>
      </c>
      <c r="F10" s="595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1"/>
      <c r="S10" s="31"/>
      <c r="T10" s="31"/>
      <c r="U10" s="31"/>
      <c r="V10" s="31"/>
      <c r="W10" s="31"/>
      <c r="X10"/>
    </row>
    <row r="11" spans="2:24" s="5" customFormat="1" ht="16.5" customHeight="1">
      <c r="B11" s="51"/>
      <c r="C11" s="4"/>
      <c r="D11" s="79"/>
      <c r="F11" s="3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6"/>
      <c r="S11" s="4"/>
      <c r="T11" s="4"/>
      <c r="U11" s="4"/>
      <c r="V11" s="4"/>
      <c r="W11" s="4"/>
      <c r="X11"/>
    </row>
    <row r="12" spans="2:18" ht="20.25">
      <c r="B12" s="199"/>
      <c r="D12" s="11" t="s">
        <v>96</v>
      </c>
      <c r="E12" s="11"/>
      <c r="F12" s="31"/>
      <c r="G12" s="31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4"/>
    </row>
    <row r="13" spans="2:18" ht="20.25">
      <c r="B13" s="199"/>
      <c r="C13" s="31"/>
      <c r="D13" s="31"/>
      <c r="E13" s="31"/>
      <c r="F13" s="31"/>
      <c r="G13" s="82"/>
      <c r="H13" s="205"/>
      <c r="I13" s="205"/>
      <c r="J13" s="205"/>
      <c r="K13" s="205"/>
      <c r="L13" s="203"/>
      <c r="M13" s="203"/>
      <c r="N13" s="203"/>
      <c r="O13" s="203"/>
      <c r="P13" s="203"/>
      <c r="Q13" s="203"/>
      <c r="R13" s="204"/>
    </row>
    <row r="14" spans="2:18" ht="16.5" customHeight="1">
      <c r="B14" s="38" t="str">
        <f>'TOT-0907'!B14</f>
        <v>Desde el 01 al 30 de septiembre de 2007</v>
      </c>
      <c r="C14" s="189"/>
      <c r="D14" s="189"/>
      <c r="E14" s="189"/>
      <c r="F14" s="189"/>
      <c r="G14" s="190"/>
      <c r="H14" s="200"/>
      <c r="I14" s="200"/>
      <c r="J14" s="200"/>
      <c r="K14" s="190"/>
      <c r="L14" s="200"/>
      <c r="M14" s="200"/>
      <c r="N14" s="200"/>
      <c r="O14" s="200"/>
      <c r="P14" s="200"/>
      <c r="Q14" s="200"/>
      <c r="R14" s="201"/>
    </row>
    <row r="15" spans="2:18" ht="16.5" customHeight="1" thickBot="1">
      <c r="B15" s="199"/>
      <c r="C15" s="1"/>
      <c r="D15" s="1"/>
      <c r="E15" s="1"/>
      <c r="F15" s="1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4"/>
    </row>
    <row r="16" spans="2:18" ht="16.5" customHeight="1" thickBot="1" thickTop="1">
      <c r="B16" s="199"/>
      <c r="D16" s="206" t="s">
        <v>62</v>
      </c>
      <c r="E16" s="659">
        <v>5678157</v>
      </c>
      <c r="L16" s="203"/>
      <c r="M16" s="203"/>
      <c r="N16" s="203"/>
      <c r="O16" s="203"/>
      <c r="P16" s="193"/>
      <c r="Q16" s="203"/>
      <c r="R16" s="204"/>
    </row>
    <row r="17" spans="2:18" ht="14.25" thickBot="1" thickTop="1">
      <c r="B17" s="199"/>
      <c r="C17" s="1"/>
      <c r="D17" s="1"/>
      <c r="E17" s="1"/>
      <c r="F17" s="1"/>
      <c r="G17" s="203"/>
      <c r="H17" s="203"/>
      <c r="I17" s="203"/>
      <c r="J17" s="203"/>
      <c r="K17" s="207"/>
      <c r="L17" s="203"/>
      <c r="M17" s="203"/>
      <c r="N17" s="203"/>
      <c r="O17" s="203"/>
      <c r="P17" s="203"/>
      <c r="Q17" s="203"/>
      <c r="R17" s="204"/>
    </row>
    <row r="18" spans="2:18" ht="33.75" customHeight="1" thickBot="1" thickTop="1">
      <c r="B18" s="199"/>
      <c r="C18" s="85" t="s">
        <v>13</v>
      </c>
      <c r="D18" s="87" t="s">
        <v>28</v>
      </c>
      <c r="E18" s="86" t="s">
        <v>29</v>
      </c>
      <c r="F18" s="609" t="s">
        <v>30</v>
      </c>
      <c r="G18" s="87" t="s">
        <v>277</v>
      </c>
      <c r="H18" s="209" t="s">
        <v>278</v>
      </c>
      <c r="I18" s="87" t="s">
        <v>37</v>
      </c>
      <c r="J18" s="87" t="s">
        <v>32</v>
      </c>
      <c r="K18" s="87" t="s">
        <v>19</v>
      </c>
      <c r="L18" s="210" t="s">
        <v>63</v>
      </c>
      <c r="M18" s="212" t="s">
        <v>97</v>
      </c>
      <c r="N18" s="213"/>
      <c r="O18" s="215" t="s">
        <v>22</v>
      </c>
      <c r="P18" s="144" t="s">
        <v>64</v>
      </c>
      <c r="Q18" s="144" t="s">
        <v>24</v>
      </c>
      <c r="R18" s="216"/>
    </row>
    <row r="19" spans="2:18" ht="16.5" customHeight="1" thickTop="1">
      <c r="B19" s="199"/>
      <c r="C19" s="217"/>
      <c r="D19" s="218"/>
      <c r="E19" s="219"/>
      <c r="F19" s="219"/>
      <c r="G19" s="218"/>
      <c r="H19" s="220"/>
      <c r="I19" s="221"/>
      <c r="J19" s="221"/>
      <c r="K19" s="221"/>
      <c r="L19" s="222"/>
      <c r="M19" s="660"/>
      <c r="N19" s="660"/>
      <c r="O19" s="661"/>
      <c r="P19" s="221"/>
      <c r="Q19" s="223"/>
      <c r="R19" s="224"/>
    </row>
    <row r="20" spans="2:18" ht="16.5" customHeight="1">
      <c r="B20" s="199"/>
      <c r="C20" s="408"/>
      <c r="D20" s="226"/>
      <c r="E20" s="226"/>
      <c r="F20" s="226"/>
      <c r="G20" s="227"/>
      <c r="H20" s="228"/>
      <c r="I20" s="7"/>
      <c r="J20" s="7"/>
      <c r="K20" s="7"/>
      <c r="L20" s="229"/>
      <c r="M20" s="662"/>
      <c r="N20" s="662"/>
      <c r="O20" s="663"/>
      <c r="P20" s="7"/>
      <c r="Q20" s="225"/>
      <c r="R20" s="224"/>
    </row>
    <row r="21" spans="2:18" ht="16.5" customHeight="1">
      <c r="B21" s="199"/>
      <c r="C21" s="171">
        <v>113</v>
      </c>
      <c r="D21" s="170" t="s">
        <v>212</v>
      </c>
      <c r="E21" s="170" t="s">
        <v>276</v>
      </c>
      <c r="F21" s="230">
        <v>80</v>
      </c>
      <c r="G21" s="232">
        <v>39345.35486111111</v>
      </c>
      <c r="H21" s="233">
        <v>39345.39861111111</v>
      </c>
      <c r="I21" s="234">
        <f aca="true" t="shared" si="0" ref="I21:I37">IF(D21="","",ROUND((H21-G21)*24,2))</f>
        <v>1.05</v>
      </c>
      <c r="J21" s="235">
        <f>IF(D21="","",ROUND((H21-G21)*24*60,0))</f>
        <v>63</v>
      </c>
      <c r="K21" s="168" t="s">
        <v>182</v>
      </c>
      <c r="L21" s="664">
        <f aca="true" t="shared" si="1" ref="L21:L37">IF(K21="P",5*ROUND(IF(J21&gt;10,J21,10)/60,2),"--")</f>
        <v>5.25</v>
      </c>
      <c r="M21" s="176" t="str">
        <f aca="true" t="shared" si="2" ref="M21:M37">IF(K21="F",50*ROUND(IF(J21&gt;300,300,IF(J21&lt;10,10,J21))/60,2),"--")</f>
        <v>--</v>
      </c>
      <c r="N21" s="176" t="str">
        <f aca="true" t="shared" si="3" ref="N21:N37">IF(K21="F",IF(J21&gt;300,10*(ROUND(J21/60,2)-5),"--"),"--")</f>
        <v>--</v>
      </c>
      <c r="O21" s="665" t="str">
        <f aca="true" t="shared" si="4" ref="O21:O37">IF(K21="RF",10*ROUND(J21/60,2),"--")</f>
        <v>--</v>
      </c>
      <c r="P21" s="666">
        <f aca="true" t="shared" si="5" ref="P21:P37">IF(D21="","",SUM(L21:O21))</f>
        <v>5.25</v>
      </c>
      <c r="Q21" s="17">
        <f aca="true" t="shared" si="6" ref="Q21:Q37">IF(D21="","",P21/1500*$E$16)</f>
        <v>19873.5495</v>
      </c>
      <c r="R21" s="238"/>
    </row>
    <row r="22" spans="2:18" ht="16.5" customHeight="1">
      <c r="B22" s="199"/>
      <c r="C22" s="171"/>
      <c r="D22" s="170"/>
      <c r="E22" s="170"/>
      <c r="F22" s="230"/>
      <c r="G22" s="232"/>
      <c r="H22" s="233"/>
      <c r="I22" s="234">
        <f t="shared" si="0"/>
      </c>
      <c r="J22" s="235">
        <f aca="true" t="shared" si="7" ref="J22:J37">IF(D22="","",ROUND((H22-G22)*24*60,0))</f>
      </c>
      <c r="K22" s="168"/>
      <c r="L22" s="664" t="str">
        <f t="shared" si="1"/>
        <v>--</v>
      </c>
      <c r="M22" s="176" t="str">
        <f t="shared" si="2"/>
        <v>--</v>
      </c>
      <c r="N22" s="176" t="str">
        <f t="shared" si="3"/>
        <v>--</v>
      </c>
      <c r="O22" s="665" t="str">
        <f t="shared" si="4"/>
        <v>--</v>
      </c>
      <c r="P22" s="666">
        <f t="shared" si="5"/>
      </c>
      <c r="Q22" s="17">
        <f t="shared" si="6"/>
      </c>
      <c r="R22" s="238"/>
    </row>
    <row r="23" spans="2:18" ht="16.5" customHeight="1">
      <c r="B23" s="199"/>
      <c r="C23" s="408"/>
      <c r="D23" s="170"/>
      <c r="E23" s="170"/>
      <c r="F23" s="230"/>
      <c r="G23" s="232"/>
      <c r="H23" s="233"/>
      <c r="I23" s="234">
        <f t="shared" si="0"/>
      </c>
      <c r="J23" s="235">
        <f t="shared" si="7"/>
      </c>
      <c r="K23" s="168"/>
      <c r="L23" s="664" t="str">
        <f t="shared" si="1"/>
        <v>--</v>
      </c>
      <c r="M23" s="176" t="str">
        <f t="shared" si="2"/>
        <v>--</v>
      </c>
      <c r="N23" s="176" t="str">
        <f t="shared" si="3"/>
        <v>--</v>
      </c>
      <c r="O23" s="665" t="str">
        <f t="shared" si="4"/>
        <v>--</v>
      </c>
      <c r="P23" s="666">
        <f t="shared" si="5"/>
      </c>
      <c r="Q23" s="17">
        <f t="shared" si="6"/>
      </c>
      <c r="R23" s="238"/>
    </row>
    <row r="24" spans="2:18" ht="16.5" customHeight="1">
      <c r="B24" s="199"/>
      <c r="C24" s="171"/>
      <c r="D24" s="170"/>
      <c r="E24" s="170"/>
      <c r="F24" s="230"/>
      <c r="G24" s="232"/>
      <c r="H24" s="233"/>
      <c r="I24" s="234">
        <f t="shared" si="0"/>
      </c>
      <c r="J24" s="235">
        <f t="shared" si="7"/>
      </c>
      <c r="K24" s="168"/>
      <c r="L24" s="664" t="str">
        <f t="shared" si="1"/>
        <v>--</v>
      </c>
      <c r="M24" s="176" t="str">
        <f t="shared" si="2"/>
        <v>--</v>
      </c>
      <c r="N24" s="176" t="str">
        <f t="shared" si="3"/>
        <v>--</v>
      </c>
      <c r="O24" s="665" t="str">
        <f t="shared" si="4"/>
        <v>--</v>
      </c>
      <c r="P24" s="666">
        <f t="shared" si="5"/>
      </c>
      <c r="Q24" s="17">
        <f t="shared" si="6"/>
      </c>
      <c r="R24" s="238"/>
    </row>
    <row r="25" spans="2:18" ht="16.5" customHeight="1">
      <c r="B25" s="199"/>
      <c r="C25" s="408"/>
      <c r="D25" s="170"/>
      <c r="E25" s="170"/>
      <c r="F25" s="230"/>
      <c r="G25" s="232"/>
      <c r="H25" s="233"/>
      <c r="I25" s="234">
        <f t="shared" si="0"/>
      </c>
      <c r="J25" s="235">
        <f t="shared" si="7"/>
      </c>
      <c r="K25" s="168"/>
      <c r="L25" s="664" t="str">
        <f t="shared" si="1"/>
        <v>--</v>
      </c>
      <c r="M25" s="176" t="str">
        <f t="shared" si="2"/>
        <v>--</v>
      </c>
      <c r="N25" s="176" t="str">
        <f t="shared" si="3"/>
        <v>--</v>
      </c>
      <c r="O25" s="665" t="str">
        <f t="shared" si="4"/>
        <v>--</v>
      </c>
      <c r="P25" s="666">
        <f t="shared" si="5"/>
      </c>
      <c r="Q25" s="17">
        <f t="shared" si="6"/>
      </c>
      <c r="R25" s="238"/>
    </row>
    <row r="26" spans="2:18" ht="16.5" customHeight="1">
      <c r="B26" s="199"/>
      <c r="C26" s="171"/>
      <c r="D26" s="170"/>
      <c r="E26" s="170"/>
      <c r="F26" s="230"/>
      <c r="G26" s="232"/>
      <c r="H26" s="233"/>
      <c r="I26" s="234">
        <f t="shared" si="0"/>
      </c>
      <c r="J26" s="235">
        <f t="shared" si="7"/>
      </c>
      <c r="K26" s="168"/>
      <c r="L26" s="664" t="str">
        <f t="shared" si="1"/>
        <v>--</v>
      </c>
      <c r="M26" s="176" t="str">
        <f t="shared" si="2"/>
        <v>--</v>
      </c>
      <c r="N26" s="176" t="str">
        <f t="shared" si="3"/>
        <v>--</v>
      </c>
      <c r="O26" s="665" t="str">
        <f t="shared" si="4"/>
        <v>--</v>
      </c>
      <c r="P26" s="666">
        <f t="shared" si="5"/>
      </c>
      <c r="Q26" s="17">
        <f t="shared" si="6"/>
      </c>
      <c r="R26" s="238"/>
    </row>
    <row r="27" spans="2:18" ht="16.5" customHeight="1">
      <c r="B27" s="199"/>
      <c r="C27" s="408"/>
      <c r="D27" s="170"/>
      <c r="E27" s="170"/>
      <c r="F27" s="230"/>
      <c r="G27" s="232"/>
      <c r="H27" s="233"/>
      <c r="I27" s="234">
        <f t="shared" si="0"/>
      </c>
      <c r="J27" s="235">
        <f t="shared" si="7"/>
      </c>
      <c r="K27" s="168"/>
      <c r="L27" s="664" t="str">
        <f t="shared" si="1"/>
        <v>--</v>
      </c>
      <c r="M27" s="176" t="str">
        <f t="shared" si="2"/>
        <v>--</v>
      </c>
      <c r="N27" s="176" t="str">
        <f t="shared" si="3"/>
        <v>--</v>
      </c>
      <c r="O27" s="665" t="str">
        <f t="shared" si="4"/>
        <v>--</v>
      </c>
      <c r="P27" s="666">
        <f t="shared" si="5"/>
      </c>
      <c r="Q27" s="17">
        <f t="shared" si="6"/>
      </c>
      <c r="R27" s="238"/>
    </row>
    <row r="28" spans="2:18" ht="16.5" customHeight="1">
      <c r="B28" s="199"/>
      <c r="C28" s="171"/>
      <c r="D28" s="230"/>
      <c r="E28" s="230"/>
      <c r="F28" s="230"/>
      <c r="G28" s="232"/>
      <c r="H28" s="233"/>
      <c r="I28" s="234">
        <f t="shared" si="0"/>
      </c>
      <c r="J28" s="235">
        <f t="shared" si="7"/>
      </c>
      <c r="K28" s="168"/>
      <c r="L28" s="664" t="str">
        <f t="shared" si="1"/>
        <v>--</v>
      </c>
      <c r="M28" s="176" t="str">
        <f t="shared" si="2"/>
        <v>--</v>
      </c>
      <c r="N28" s="176" t="str">
        <f t="shared" si="3"/>
        <v>--</v>
      </c>
      <c r="O28" s="665" t="str">
        <f t="shared" si="4"/>
        <v>--</v>
      </c>
      <c r="P28" s="666">
        <f t="shared" si="5"/>
      </c>
      <c r="Q28" s="17">
        <f t="shared" si="6"/>
      </c>
      <c r="R28" s="238"/>
    </row>
    <row r="29" spans="2:18" ht="16.5" customHeight="1">
      <c r="B29" s="199"/>
      <c r="C29" s="408"/>
      <c r="D29" s="230"/>
      <c r="E29" s="230"/>
      <c r="F29" s="230"/>
      <c r="G29" s="232"/>
      <c r="H29" s="233"/>
      <c r="I29" s="234">
        <f t="shared" si="0"/>
      </c>
      <c r="J29" s="235">
        <f t="shared" si="7"/>
      </c>
      <c r="K29" s="168"/>
      <c r="L29" s="664" t="str">
        <f t="shared" si="1"/>
        <v>--</v>
      </c>
      <c r="M29" s="176" t="str">
        <f t="shared" si="2"/>
        <v>--</v>
      </c>
      <c r="N29" s="176" t="str">
        <f t="shared" si="3"/>
        <v>--</v>
      </c>
      <c r="O29" s="665" t="str">
        <f t="shared" si="4"/>
        <v>--</v>
      </c>
      <c r="P29" s="666">
        <f t="shared" si="5"/>
      </c>
      <c r="Q29" s="17">
        <f t="shared" si="6"/>
      </c>
      <c r="R29" s="238"/>
    </row>
    <row r="30" spans="2:18" ht="16.5" customHeight="1">
      <c r="B30" s="199"/>
      <c r="C30" s="171"/>
      <c r="D30" s="230"/>
      <c r="E30" s="230"/>
      <c r="F30" s="230"/>
      <c r="G30" s="232"/>
      <c r="H30" s="233"/>
      <c r="I30" s="234">
        <f t="shared" si="0"/>
      </c>
      <c r="J30" s="235">
        <f t="shared" si="7"/>
      </c>
      <c r="K30" s="168"/>
      <c r="L30" s="664" t="str">
        <f t="shared" si="1"/>
        <v>--</v>
      </c>
      <c r="M30" s="176" t="str">
        <f t="shared" si="2"/>
        <v>--</v>
      </c>
      <c r="N30" s="176" t="str">
        <f t="shared" si="3"/>
        <v>--</v>
      </c>
      <c r="O30" s="665" t="str">
        <f t="shared" si="4"/>
        <v>--</v>
      </c>
      <c r="P30" s="666">
        <f t="shared" si="5"/>
      </c>
      <c r="Q30" s="17">
        <f t="shared" si="6"/>
      </c>
      <c r="R30" s="238"/>
    </row>
    <row r="31" spans="2:18" ht="16.5" customHeight="1">
      <c r="B31" s="199"/>
      <c r="C31" s="408"/>
      <c r="D31" s="230"/>
      <c r="E31" s="230"/>
      <c r="F31" s="230"/>
      <c r="G31" s="232"/>
      <c r="H31" s="233"/>
      <c r="I31" s="234">
        <f t="shared" si="0"/>
      </c>
      <c r="J31" s="235">
        <f t="shared" si="7"/>
      </c>
      <c r="K31" s="168"/>
      <c r="L31" s="664" t="str">
        <f t="shared" si="1"/>
        <v>--</v>
      </c>
      <c r="M31" s="176" t="str">
        <f t="shared" si="2"/>
        <v>--</v>
      </c>
      <c r="N31" s="176" t="str">
        <f t="shared" si="3"/>
        <v>--</v>
      </c>
      <c r="O31" s="665" t="str">
        <f t="shared" si="4"/>
        <v>--</v>
      </c>
      <c r="P31" s="666">
        <f t="shared" si="5"/>
      </c>
      <c r="Q31" s="17">
        <f t="shared" si="6"/>
      </c>
      <c r="R31" s="238"/>
    </row>
    <row r="32" spans="2:18" ht="16.5" customHeight="1">
      <c r="B32" s="199"/>
      <c r="C32" s="171"/>
      <c r="D32" s="230"/>
      <c r="E32" s="230"/>
      <c r="F32" s="230"/>
      <c r="G32" s="232"/>
      <c r="H32" s="233"/>
      <c r="I32" s="234">
        <f t="shared" si="0"/>
      </c>
      <c r="J32" s="235">
        <f t="shared" si="7"/>
      </c>
      <c r="K32" s="168"/>
      <c r="L32" s="664" t="str">
        <f t="shared" si="1"/>
        <v>--</v>
      </c>
      <c r="M32" s="176" t="str">
        <f t="shared" si="2"/>
        <v>--</v>
      </c>
      <c r="N32" s="176" t="str">
        <f t="shared" si="3"/>
        <v>--</v>
      </c>
      <c r="O32" s="665" t="str">
        <f t="shared" si="4"/>
        <v>--</v>
      </c>
      <c r="P32" s="666">
        <f t="shared" si="5"/>
      </c>
      <c r="Q32" s="17">
        <f t="shared" si="6"/>
      </c>
      <c r="R32" s="238"/>
    </row>
    <row r="33" spans="2:18" ht="16.5" customHeight="1">
      <c r="B33" s="199"/>
      <c r="C33" s="408"/>
      <c r="D33" s="230"/>
      <c r="E33" s="230"/>
      <c r="F33" s="230"/>
      <c r="G33" s="232"/>
      <c r="H33" s="233"/>
      <c r="I33" s="234">
        <f t="shared" si="0"/>
      </c>
      <c r="J33" s="235">
        <f t="shared" si="7"/>
      </c>
      <c r="K33" s="168"/>
      <c r="L33" s="664" t="str">
        <f t="shared" si="1"/>
        <v>--</v>
      </c>
      <c r="M33" s="176" t="str">
        <f t="shared" si="2"/>
        <v>--</v>
      </c>
      <c r="N33" s="176" t="str">
        <f t="shared" si="3"/>
        <v>--</v>
      </c>
      <c r="O33" s="665" t="str">
        <f t="shared" si="4"/>
        <v>--</v>
      </c>
      <c r="P33" s="666">
        <f t="shared" si="5"/>
      </c>
      <c r="Q33" s="17">
        <f t="shared" si="6"/>
      </c>
      <c r="R33" s="238"/>
    </row>
    <row r="34" spans="2:18" ht="16.5" customHeight="1">
      <c r="B34" s="199"/>
      <c r="C34" s="171"/>
      <c r="D34" s="230"/>
      <c r="E34" s="230"/>
      <c r="F34" s="230"/>
      <c r="G34" s="232"/>
      <c r="H34" s="233"/>
      <c r="I34" s="234">
        <f t="shared" si="0"/>
      </c>
      <c r="J34" s="235">
        <f t="shared" si="7"/>
      </c>
      <c r="K34" s="168"/>
      <c r="L34" s="664" t="str">
        <f t="shared" si="1"/>
        <v>--</v>
      </c>
      <c r="M34" s="176" t="str">
        <f t="shared" si="2"/>
        <v>--</v>
      </c>
      <c r="N34" s="176" t="str">
        <f t="shared" si="3"/>
        <v>--</v>
      </c>
      <c r="O34" s="665" t="str">
        <f t="shared" si="4"/>
        <v>--</v>
      </c>
      <c r="P34" s="666">
        <f t="shared" si="5"/>
      </c>
      <c r="Q34" s="17">
        <f t="shared" si="6"/>
      </c>
      <c r="R34" s="238"/>
    </row>
    <row r="35" spans="2:18" ht="16.5" customHeight="1">
      <c r="B35" s="199"/>
      <c r="C35" s="408"/>
      <c r="D35" s="230"/>
      <c r="E35" s="230"/>
      <c r="F35" s="230"/>
      <c r="G35" s="232"/>
      <c r="H35" s="233"/>
      <c r="I35" s="234">
        <f t="shared" si="0"/>
      </c>
      <c r="J35" s="235">
        <f t="shared" si="7"/>
      </c>
      <c r="K35" s="168"/>
      <c r="L35" s="664" t="str">
        <f t="shared" si="1"/>
        <v>--</v>
      </c>
      <c r="M35" s="176" t="str">
        <f t="shared" si="2"/>
        <v>--</v>
      </c>
      <c r="N35" s="176" t="str">
        <f t="shared" si="3"/>
        <v>--</v>
      </c>
      <c r="O35" s="665" t="str">
        <f t="shared" si="4"/>
        <v>--</v>
      </c>
      <c r="P35" s="666">
        <f t="shared" si="5"/>
      </c>
      <c r="Q35" s="17">
        <f t="shared" si="6"/>
      </c>
      <c r="R35" s="238"/>
    </row>
    <row r="36" spans="2:18" ht="16.5" customHeight="1">
      <c r="B36" s="199"/>
      <c r="C36" s="171"/>
      <c r="D36" s="230"/>
      <c r="E36" s="230"/>
      <c r="F36" s="230"/>
      <c r="G36" s="232"/>
      <c r="H36" s="233"/>
      <c r="I36" s="234">
        <f t="shared" si="0"/>
      </c>
      <c r="J36" s="235">
        <f t="shared" si="7"/>
      </c>
      <c r="K36" s="168"/>
      <c r="L36" s="664" t="str">
        <f t="shared" si="1"/>
        <v>--</v>
      </c>
      <c r="M36" s="176" t="str">
        <f t="shared" si="2"/>
        <v>--</v>
      </c>
      <c r="N36" s="176" t="str">
        <f t="shared" si="3"/>
        <v>--</v>
      </c>
      <c r="O36" s="665" t="str">
        <f t="shared" si="4"/>
        <v>--</v>
      </c>
      <c r="P36" s="666">
        <f t="shared" si="5"/>
      </c>
      <c r="Q36" s="17">
        <f t="shared" si="6"/>
      </c>
      <c r="R36" s="238"/>
    </row>
    <row r="37" spans="2:18" ht="16.5" customHeight="1">
      <c r="B37" s="199"/>
      <c r="C37" s="408"/>
      <c r="D37" s="230"/>
      <c r="E37" s="230"/>
      <c r="F37" s="230"/>
      <c r="G37" s="232"/>
      <c r="H37" s="233"/>
      <c r="I37" s="234">
        <f t="shared" si="0"/>
      </c>
      <c r="J37" s="235">
        <f t="shared" si="7"/>
      </c>
      <c r="K37" s="168"/>
      <c r="L37" s="664" t="str">
        <f t="shared" si="1"/>
        <v>--</v>
      </c>
      <c r="M37" s="176" t="str">
        <f t="shared" si="2"/>
        <v>--</v>
      </c>
      <c r="N37" s="176" t="str">
        <f t="shared" si="3"/>
        <v>--</v>
      </c>
      <c r="O37" s="665" t="str">
        <f t="shared" si="4"/>
        <v>--</v>
      </c>
      <c r="P37" s="666">
        <f t="shared" si="5"/>
      </c>
      <c r="Q37" s="17">
        <f t="shared" si="6"/>
      </c>
      <c r="R37" s="238"/>
    </row>
    <row r="38" spans="2:18" ht="16.5" customHeight="1" thickBot="1">
      <c r="B38" s="199"/>
      <c r="C38" s="171"/>
      <c r="D38" s="239"/>
      <c r="E38" s="239"/>
      <c r="F38" s="239"/>
      <c r="G38" s="167"/>
      <c r="H38" s="167"/>
      <c r="I38" s="240"/>
      <c r="J38" s="240"/>
      <c r="K38" s="167"/>
      <c r="L38" s="667"/>
      <c r="M38" s="668"/>
      <c r="N38" s="668"/>
      <c r="O38" s="669"/>
      <c r="P38" s="670"/>
      <c r="Q38" s="671"/>
      <c r="R38" s="238"/>
    </row>
    <row r="39" spans="2:18" ht="16.5" customHeight="1" thickBot="1" thickTop="1">
      <c r="B39" s="199"/>
      <c r="C39" s="131" t="s">
        <v>25</v>
      </c>
      <c r="D39" s="132" t="s">
        <v>303</v>
      </c>
      <c r="E39" s="132"/>
      <c r="F39" s="119"/>
      <c r="G39" s="242"/>
      <c r="H39" s="242"/>
      <c r="I39" s="242"/>
      <c r="J39" s="242"/>
      <c r="K39" s="242"/>
      <c r="L39" s="672">
        <f>SUM(L19:L38)</f>
        <v>5.25</v>
      </c>
      <c r="M39" s="244">
        <f>SUM(M19:M38)</f>
        <v>0</v>
      </c>
      <c r="N39" s="244">
        <f>SUM(N19:N38)</f>
        <v>0</v>
      </c>
      <c r="O39" s="673">
        <f>SUM(O19:O38)</f>
        <v>0</v>
      </c>
      <c r="P39" s="245"/>
      <c r="Q39" s="102">
        <f>SUM(Q19:Q38)</f>
        <v>19873.5495</v>
      </c>
      <c r="R39" s="238"/>
    </row>
    <row r="40" spans="2:18" s="246" customFormat="1" ht="9.75" thickTop="1">
      <c r="B40" s="247"/>
      <c r="C40" s="133"/>
      <c r="D40" s="134"/>
      <c r="E40" s="134"/>
      <c r="F40" s="248"/>
      <c r="G40" s="249"/>
      <c r="H40" s="249"/>
      <c r="I40" s="249"/>
      <c r="J40" s="249"/>
      <c r="K40" s="249"/>
      <c r="L40" s="250"/>
      <c r="M40" s="251"/>
      <c r="N40" s="251"/>
      <c r="O40" s="251"/>
      <c r="P40" s="252"/>
      <c r="Q40" s="253"/>
      <c r="R40" s="254"/>
    </row>
    <row r="41" spans="2:18" ht="16.5" customHeight="1" thickBot="1">
      <c r="B41" s="255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7"/>
      <c r="Q41" s="256"/>
      <c r="R41" s="258"/>
    </row>
    <row r="42" spans="2:18" ht="16.5" customHeight="1" thickTop="1">
      <c r="B42" s="1"/>
      <c r="P42" s="2"/>
      <c r="R42" s="1"/>
    </row>
    <row r="43" ht="16.5" customHeight="1">
      <c r="P43" s="2"/>
    </row>
    <row r="44" ht="16.5" customHeight="1">
      <c r="P44" s="2"/>
    </row>
    <row r="45" ht="12.75">
      <c r="P45" s="2"/>
    </row>
    <row r="46" ht="12.75">
      <c r="P46" s="2"/>
    </row>
    <row r="47" ht="12.75">
      <c r="P47" s="2"/>
    </row>
    <row r="48" ht="12.75">
      <c r="P48" s="2"/>
    </row>
    <row r="49" spans="13:17" ht="12.75">
      <c r="M49" s="2"/>
      <c r="N49" s="2"/>
      <c r="O49" s="2"/>
      <c r="P49" s="2"/>
      <c r="Q49" s="2"/>
    </row>
    <row r="50" spans="13:17" ht="12.75">
      <c r="M50" s="2"/>
      <c r="N50" s="2"/>
      <c r="O50" s="2"/>
      <c r="P50" s="2"/>
      <c r="Q50" s="2"/>
    </row>
    <row r="51" spans="13:17" ht="12.75">
      <c r="M51" s="2"/>
      <c r="N51" s="2"/>
      <c r="O51" s="2"/>
      <c r="P51" s="2"/>
      <c r="Q51" s="2"/>
    </row>
    <row r="52" spans="13:17" ht="12.75">
      <c r="M52" s="2"/>
      <c r="N52" s="2"/>
      <c r="O52" s="2"/>
      <c r="P52" s="2"/>
      <c r="Q52" s="2"/>
    </row>
    <row r="53" spans="13:17" ht="12.75">
      <c r="M53" s="2"/>
      <c r="N53" s="2"/>
      <c r="O53" s="2"/>
      <c r="P53" s="2"/>
      <c r="Q53" s="2"/>
    </row>
    <row r="54" spans="13:17" ht="12.75">
      <c r="M54" s="2"/>
      <c r="N54" s="2"/>
      <c r="O54" s="2"/>
      <c r="P54" s="2"/>
      <c r="Q54" s="2"/>
    </row>
    <row r="55" spans="13:17" ht="12.75">
      <c r="M55" s="2"/>
      <c r="N55" s="2"/>
      <c r="O55" s="2"/>
      <c r="P55" s="2"/>
      <c r="Q55" s="2"/>
    </row>
    <row r="56" spans="13:17" ht="12.75">
      <c r="M56" s="2"/>
      <c r="N56" s="2"/>
      <c r="O56" s="2"/>
      <c r="P56" s="2"/>
      <c r="Q56" s="2"/>
    </row>
    <row r="57" spans="13:17" ht="12.75">
      <c r="M57" s="2"/>
      <c r="N57" s="2"/>
      <c r="O57" s="2"/>
      <c r="P57" s="2"/>
      <c r="Q57" s="2"/>
    </row>
    <row r="58" spans="13:17" ht="12.75">
      <c r="M58" s="2"/>
      <c r="N58" s="2"/>
      <c r="O58" s="2"/>
      <c r="P58" s="2"/>
      <c r="Q58" s="2"/>
    </row>
    <row r="59" spans="13:17" ht="12.75">
      <c r="M59" s="2"/>
      <c r="N59" s="2"/>
      <c r="O59" s="2"/>
      <c r="P59" s="2"/>
      <c r="Q59" s="2"/>
    </row>
    <row r="60" spans="13:17" ht="12.75">
      <c r="M60" s="2"/>
      <c r="N60" s="2"/>
      <c r="O60" s="2"/>
      <c r="P60" s="2"/>
      <c r="Q60" s="2"/>
    </row>
    <row r="61" spans="13:17" ht="12.75">
      <c r="M61" s="2"/>
      <c r="N61" s="2"/>
      <c r="O61" s="2"/>
      <c r="P61" s="2"/>
      <c r="Q61" s="2"/>
    </row>
    <row r="62" spans="13:17" ht="12.75">
      <c r="M62" s="2"/>
      <c r="N62" s="2"/>
      <c r="O62" s="2"/>
      <c r="P62" s="2"/>
      <c r="Q62" s="2"/>
    </row>
    <row r="63" spans="13:17" ht="12.75">
      <c r="M63" s="2"/>
      <c r="N63" s="2"/>
      <c r="O63" s="2"/>
      <c r="P63" s="2"/>
      <c r="Q63" s="2"/>
    </row>
    <row r="64" spans="13:17" ht="12.75">
      <c r="M64" s="2"/>
      <c r="N64" s="2"/>
      <c r="O64" s="2"/>
      <c r="P64" s="2"/>
      <c r="Q64" s="2"/>
    </row>
    <row r="65" spans="13:17" ht="12.75">
      <c r="M65" s="2"/>
      <c r="N65" s="2"/>
      <c r="O65" s="2"/>
      <c r="P65" s="2"/>
      <c r="Q65" s="2"/>
    </row>
    <row r="66" spans="13:17" ht="12.75">
      <c r="M66" s="2"/>
      <c r="N66" s="2"/>
      <c r="O66" s="2"/>
      <c r="P66" s="2"/>
      <c r="Q66" s="2"/>
    </row>
    <row r="67" spans="13:17" ht="12.75">
      <c r="M67" s="2"/>
      <c r="N67" s="2"/>
      <c r="O67" s="2"/>
      <c r="P67" s="2"/>
      <c r="Q67" s="2"/>
    </row>
    <row r="68" spans="13:17" ht="12.75">
      <c r="M68" s="2"/>
      <c r="N68" s="2"/>
      <c r="O68" s="2"/>
      <c r="P68" s="2"/>
      <c r="Q68" s="2"/>
    </row>
    <row r="69" spans="13:17" ht="12.75">
      <c r="M69" s="2"/>
      <c r="N69" s="2"/>
      <c r="O69" s="2"/>
      <c r="P69" s="2"/>
      <c r="Q69" s="2"/>
    </row>
    <row r="70" spans="13:17" ht="12.75">
      <c r="M70" s="2"/>
      <c r="N70" s="2"/>
      <c r="O70" s="2"/>
      <c r="P70" s="2"/>
      <c r="Q70" s="2"/>
    </row>
    <row r="71" spans="13:17" ht="12.75">
      <c r="M71" s="2"/>
      <c r="N71" s="2"/>
      <c r="O71" s="2"/>
      <c r="P71" s="2"/>
      <c r="Q71" s="2"/>
    </row>
    <row r="72" spans="13:17" ht="12.75">
      <c r="M72" s="2"/>
      <c r="N72" s="2"/>
      <c r="O72" s="2"/>
      <c r="P72" s="2"/>
      <c r="Q72" s="2"/>
    </row>
    <row r="73" spans="13:17" ht="12.75">
      <c r="M73" s="2"/>
      <c r="N73" s="2"/>
      <c r="O73" s="2"/>
      <c r="P73" s="2"/>
      <c r="Q73" s="2"/>
    </row>
    <row r="74" spans="13:17" ht="12.75">
      <c r="M74" s="2"/>
      <c r="N74" s="2"/>
      <c r="O74" s="2"/>
      <c r="P74" s="2"/>
      <c r="Q74" s="2"/>
    </row>
    <row r="75" spans="13:17" ht="12.75">
      <c r="M75" s="2"/>
      <c r="N75" s="2"/>
      <c r="O75" s="2"/>
      <c r="P75" s="2"/>
      <c r="Q75" s="2"/>
    </row>
    <row r="76" spans="13:17" ht="12.75">
      <c r="M76" s="2"/>
      <c r="N76" s="2"/>
      <c r="O76" s="2"/>
      <c r="P76" s="2"/>
      <c r="Q76" s="2"/>
    </row>
    <row r="77" spans="13:17" ht="12.75">
      <c r="M77" s="2"/>
      <c r="N77" s="2"/>
      <c r="O77" s="2"/>
      <c r="P77" s="2"/>
      <c r="Q77" s="2"/>
    </row>
    <row r="78" spans="13:17" ht="12.75">
      <c r="M78" s="2"/>
      <c r="N78" s="2"/>
      <c r="O78" s="2"/>
      <c r="P78" s="2"/>
      <c r="Q78" s="2"/>
    </row>
    <row r="79" spans="13:17" ht="12.75">
      <c r="M79" s="2"/>
      <c r="N79" s="2"/>
      <c r="O79" s="2"/>
      <c r="P79" s="2"/>
      <c r="Q79" s="2"/>
    </row>
    <row r="80" spans="13:17" ht="12.75">
      <c r="M80" s="2"/>
      <c r="N80" s="2"/>
      <c r="O80" s="2"/>
      <c r="P80" s="2"/>
      <c r="Q80" s="2"/>
    </row>
    <row r="81" spans="13:17" ht="12.75">
      <c r="M81" s="2"/>
      <c r="N81" s="2"/>
      <c r="O81" s="2"/>
      <c r="P81" s="2"/>
      <c r="Q81" s="2"/>
    </row>
    <row r="82" spans="13:17" ht="12.75">
      <c r="M82" s="2"/>
      <c r="N82" s="2"/>
      <c r="O82" s="2"/>
      <c r="P82" s="2"/>
      <c r="Q82" s="2"/>
    </row>
    <row r="83" spans="13:17" ht="12.75">
      <c r="M83" s="2"/>
      <c r="N83" s="2"/>
      <c r="O83" s="2"/>
      <c r="P83" s="2"/>
      <c r="Q83" s="2"/>
    </row>
    <row r="84" spans="13:17" ht="12.75">
      <c r="M84" s="2"/>
      <c r="N84" s="2"/>
      <c r="O84" s="2"/>
      <c r="P84" s="2"/>
      <c r="Q84" s="2"/>
    </row>
    <row r="85" spans="13:17" ht="12.75">
      <c r="M85" s="2"/>
      <c r="N85" s="2"/>
      <c r="O85" s="2"/>
      <c r="P85" s="2"/>
      <c r="Q85" s="2"/>
    </row>
    <row r="86" spans="13:17" ht="12.75">
      <c r="M86" s="2"/>
      <c r="N86" s="2"/>
      <c r="O86" s="2"/>
      <c r="P86" s="2"/>
      <c r="Q86" s="2"/>
    </row>
    <row r="87" spans="13:17" ht="12.75">
      <c r="M87" s="2"/>
      <c r="N87" s="2"/>
      <c r="O87" s="2"/>
      <c r="P87" s="2"/>
      <c r="Q87" s="2"/>
    </row>
    <row r="88" spans="13:17" ht="12.75">
      <c r="M88" s="2"/>
      <c r="N88" s="2"/>
      <c r="O88" s="2"/>
      <c r="P88" s="2"/>
      <c r="Q88" s="2"/>
    </row>
    <row r="89" spans="13:17" ht="12.75">
      <c r="M89" s="2"/>
      <c r="N89" s="2"/>
      <c r="O89" s="2"/>
      <c r="P89" s="2"/>
      <c r="Q89" s="2"/>
    </row>
    <row r="90" spans="13:17" ht="12.75">
      <c r="M90" s="2"/>
      <c r="N90" s="2"/>
      <c r="O90" s="2"/>
      <c r="P90" s="2"/>
      <c r="Q90" s="2"/>
    </row>
    <row r="91" spans="13:17" ht="12.75">
      <c r="M91" s="2"/>
      <c r="N91" s="2"/>
      <c r="O91" s="2"/>
      <c r="P91" s="2"/>
      <c r="Q91" s="2"/>
    </row>
    <row r="92" spans="13:17" ht="12.75">
      <c r="M92" s="2"/>
      <c r="N92" s="2"/>
      <c r="O92" s="2"/>
      <c r="P92" s="2"/>
      <c r="Q92" s="2"/>
    </row>
    <row r="93" spans="13:17" ht="12.75">
      <c r="M93" s="2"/>
      <c r="N93" s="2"/>
      <c r="O93" s="2"/>
      <c r="P93" s="2"/>
      <c r="Q93" s="2"/>
    </row>
    <row r="94" spans="13:17" ht="12.75">
      <c r="M94" s="2"/>
      <c r="N94" s="2"/>
      <c r="O94" s="2"/>
      <c r="P94" s="2"/>
      <c r="Q94" s="2"/>
    </row>
    <row r="95" spans="13:17" ht="12.75">
      <c r="M95" s="2"/>
      <c r="N95" s="2"/>
      <c r="O95" s="2"/>
      <c r="P95" s="2"/>
      <c r="Q95" s="2"/>
    </row>
    <row r="96" spans="13:17" ht="12.75">
      <c r="M96" s="2"/>
      <c r="N96" s="2"/>
      <c r="O96" s="2"/>
      <c r="P96" s="2"/>
      <c r="Q96" s="2"/>
    </row>
    <row r="97" spans="13:17" ht="12.75">
      <c r="M97" s="2"/>
      <c r="N97" s="2"/>
      <c r="O97" s="2"/>
      <c r="P97" s="2"/>
      <c r="Q97" s="2"/>
    </row>
    <row r="98" spans="13:17" ht="12.75">
      <c r="M98" s="2"/>
      <c r="N98" s="2"/>
      <c r="O98" s="2"/>
      <c r="P98" s="2"/>
      <c r="Q98" s="2"/>
    </row>
    <row r="99" spans="13:17" ht="12.75">
      <c r="M99" s="2"/>
      <c r="N99" s="2"/>
      <c r="O99" s="2"/>
      <c r="P99" s="2"/>
      <c r="Q99" s="2"/>
    </row>
    <row r="100" spans="13:17" ht="12.75">
      <c r="M100" s="2"/>
      <c r="N100" s="2"/>
      <c r="O100" s="2"/>
      <c r="P100" s="2"/>
      <c r="Q100" s="2"/>
    </row>
    <row r="101" spans="13:17" ht="12.75">
      <c r="M101" s="2"/>
      <c r="N101" s="2"/>
      <c r="O101" s="2"/>
      <c r="P101" s="2"/>
      <c r="Q101" s="2"/>
    </row>
    <row r="102" spans="13:17" ht="12.75">
      <c r="M102" s="2"/>
      <c r="N102" s="2"/>
      <c r="O102" s="2"/>
      <c r="P102" s="2"/>
      <c r="Q102" s="2"/>
    </row>
    <row r="103" spans="13:17" ht="12.75">
      <c r="M103" s="2"/>
      <c r="N103" s="2"/>
      <c r="O103" s="2"/>
      <c r="P103" s="2"/>
      <c r="Q103" s="2"/>
    </row>
    <row r="104" spans="13:17" ht="12.75">
      <c r="M104" s="2"/>
      <c r="N104" s="2"/>
      <c r="O104" s="2"/>
      <c r="P104" s="2"/>
      <c r="Q104" s="2"/>
    </row>
    <row r="105" spans="13:17" ht="12.75">
      <c r="M105" s="2"/>
      <c r="N105" s="2"/>
      <c r="O105" s="2"/>
      <c r="P105" s="2"/>
      <c r="Q105" s="2"/>
    </row>
    <row r="106" spans="13:17" ht="12.75">
      <c r="M106" s="2"/>
      <c r="N106" s="2"/>
      <c r="O106" s="2"/>
      <c r="P106" s="2"/>
      <c r="Q106" s="2"/>
    </row>
    <row r="107" spans="13:17" ht="12.75">
      <c r="M107" s="2"/>
      <c r="N107" s="2"/>
      <c r="O107" s="2"/>
      <c r="P107" s="2"/>
      <c r="Q107" s="2"/>
    </row>
    <row r="108" spans="13:17" ht="12.75">
      <c r="M108" s="2"/>
      <c r="N108" s="2"/>
      <c r="O108" s="2"/>
      <c r="P108" s="2"/>
      <c r="Q108" s="2"/>
    </row>
    <row r="109" spans="13:17" ht="12.75">
      <c r="M109" s="2"/>
      <c r="N109" s="2"/>
      <c r="O109" s="2"/>
      <c r="P109" s="2"/>
      <c r="Q109" s="2"/>
    </row>
    <row r="110" spans="13:17" ht="12.75">
      <c r="M110" s="2"/>
      <c r="N110" s="2"/>
      <c r="O110" s="2"/>
      <c r="P110" s="2"/>
      <c r="Q110" s="2"/>
    </row>
    <row r="111" spans="13:17" ht="12.75">
      <c r="M111" s="2"/>
      <c r="N111" s="2"/>
      <c r="O111" s="2"/>
      <c r="P111" s="2"/>
      <c r="Q111" s="2"/>
    </row>
    <row r="112" spans="13:17" ht="12.75">
      <c r="M112" s="2"/>
      <c r="N112" s="2"/>
      <c r="O112" s="2"/>
      <c r="P112" s="2"/>
      <c r="Q112" s="2"/>
    </row>
    <row r="113" spans="13:17" ht="12.75">
      <c r="M113" s="2"/>
      <c r="N113" s="2"/>
      <c r="O113" s="2"/>
      <c r="P113" s="2"/>
      <c r="Q113" s="2"/>
    </row>
    <row r="114" spans="13:17" ht="12.75">
      <c r="M114" s="2"/>
      <c r="N114" s="2"/>
      <c r="O114" s="2"/>
      <c r="P114" s="2"/>
      <c r="Q114" s="2"/>
    </row>
    <row r="115" spans="13:17" ht="12.75">
      <c r="M115" s="2"/>
      <c r="N115" s="2"/>
      <c r="O115" s="2"/>
      <c r="P115" s="2"/>
      <c r="Q115" s="2"/>
    </row>
    <row r="116" spans="13:17" ht="12.75">
      <c r="M116" s="2"/>
      <c r="N116" s="2"/>
      <c r="O116" s="2"/>
      <c r="P116" s="2"/>
      <c r="Q116" s="2"/>
    </row>
    <row r="117" spans="13:17" ht="12.75">
      <c r="M117" s="2"/>
      <c r="N117" s="2"/>
      <c r="O117" s="2"/>
      <c r="P117" s="2"/>
      <c r="Q117" s="2"/>
    </row>
    <row r="118" spans="13:17" ht="12.75">
      <c r="M118" s="2"/>
      <c r="N118" s="2"/>
      <c r="O118" s="2"/>
      <c r="P118" s="2"/>
      <c r="Q118" s="2"/>
    </row>
    <row r="119" spans="13:17" ht="12.75">
      <c r="M119" s="2"/>
      <c r="N119" s="2"/>
      <c r="O119" s="2"/>
      <c r="P119" s="2"/>
      <c r="Q119" s="2"/>
    </row>
    <row r="120" spans="13:17" ht="12.75">
      <c r="M120" s="2"/>
      <c r="N120" s="2"/>
      <c r="O120" s="2"/>
      <c r="P120" s="2"/>
      <c r="Q120" s="2"/>
    </row>
    <row r="121" spans="13:17" ht="12.75">
      <c r="M121" s="2"/>
      <c r="N121" s="2"/>
      <c r="O121" s="2"/>
      <c r="P121" s="2"/>
      <c r="Q121" s="2"/>
    </row>
    <row r="122" spans="13:17" ht="12.75">
      <c r="M122" s="2"/>
      <c r="N122" s="2"/>
      <c r="O122" s="2"/>
      <c r="P122" s="2"/>
      <c r="Q122" s="2"/>
    </row>
    <row r="123" spans="13:17" ht="12.75">
      <c r="M123" s="2"/>
      <c r="N123" s="2"/>
      <c r="O123" s="2"/>
      <c r="P123" s="2"/>
      <c r="Q123" s="2"/>
    </row>
    <row r="124" spans="13:17" ht="12.75">
      <c r="M124" s="2"/>
      <c r="N124" s="2"/>
      <c r="O124" s="2"/>
      <c r="P124" s="2"/>
      <c r="Q124" s="2"/>
    </row>
    <row r="125" spans="13:17" ht="12.75">
      <c r="M125" s="2"/>
      <c r="N125" s="2"/>
      <c r="O125" s="2"/>
      <c r="P125" s="2"/>
      <c r="Q125" s="2"/>
    </row>
    <row r="126" spans="13:17" ht="12.75">
      <c r="M126" s="2"/>
      <c r="N126" s="2"/>
      <c r="O126" s="2"/>
      <c r="P126" s="2"/>
      <c r="Q126" s="2"/>
    </row>
    <row r="127" spans="13:17" ht="12.75">
      <c r="M127" s="2"/>
      <c r="N127" s="2"/>
      <c r="O127" s="2"/>
      <c r="P127" s="2"/>
      <c r="Q127" s="2"/>
    </row>
    <row r="128" spans="13:17" ht="12.75">
      <c r="M128" s="2"/>
      <c r="N128" s="2"/>
      <c r="O128" s="2"/>
      <c r="P128" s="2"/>
      <c r="Q128" s="2"/>
    </row>
    <row r="129" spans="13:17" ht="12.75">
      <c r="M129" s="2"/>
      <c r="N129" s="2"/>
      <c r="O129" s="2"/>
      <c r="P129" s="2"/>
      <c r="Q129" s="2"/>
    </row>
    <row r="130" spans="13:17" ht="12.75">
      <c r="M130" s="2"/>
      <c r="N130" s="2"/>
      <c r="O130" s="2"/>
      <c r="P130" s="2"/>
      <c r="Q130" s="2"/>
    </row>
    <row r="131" spans="13:17" ht="12.75">
      <c r="M131" s="2"/>
      <c r="N131" s="2"/>
      <c r="O131" s="2"/>
      <c r="P131" s="2"/>
      <c r="Q131" s="2"/>
    </row>
    <row r="132" spans="13:17" ht="12.75">
      <c r="M132" s="2"/>
      <c r="N132" s="2"/>
      <c r="O132" s="2"/>
      <c r="P132" s="2"/>
      <c r="Q132" s="2"/>
    </row>
    <row r="133" spans="13:17" ht="12.75">
      <c r="M133" s="2"/>
      <c r="N133" s="2"/>
      <c r="O133" s="2"/>
      <c r="P133" s="2"/>
      <c r="Q133" s="2"/>
    </row>
    <row r="134" spans="13:17" ht="12.75">
      <c r="M134" s="2"/>
      <c r="N134" s="2"/>
      <c r="O134" s="2"/>
      <c r="P134" s="2"/>
      <c r="Q134" s="2"/>
    </row>
    <row r="135" spans="13:17" ht="12.75">
      <c r="M135" s="2"/>
      <c r="N135" s="2"/>
      <c r="O135" s="2"/>
      <c r="P135" s="2"/>
      <c r="Q135" s="2"/>
    </row>
    <row r="136" spans="13:17" ht="12.75">
      <c r="M136" s="2"/>
      <c r="N136" s="2"/>
      <c r="O136" s="2"/>
      <c r="P136" s="2"/>
      <c r="Q136" s="2"/>
    </row>
    <row r="137" spans="13:17" ht="12.75">
      <c r="M137" s="2"/>
      <c r="N137" s="2"/>
      <c r="O137" s="2"/>
      <c r="P137" s="2"/>
      <c r="Q137" s="2"/>
    </row>
    <row r="138" spans="13:17" ht="12.75">
      <c r="M138" s="2"/>
      <c r="N138" s="2"/>
      <c r="O138" s="2"/>
      <c r="P138" s="2"/>
      <c r="Q138" s="2"/>
    </row>
    <row r="139" spans="13:17" ht="12.75">
      <c r="M139" s="2"/>
      <c r="N139" s="2"/>
      <c r="O139" s="2"/>
      <c r="P139" s="2"/>
      <c r="Q139" s="2"/>
    </row>
    <row r="140" spans="13:17" ht="12.75">
      <c r="M140" s="2"/>
      <c r="N140" s="2"/>
      <c r="O140" s="2"/>
      <c r="P140" s="2"/>
      <c r="Q140" s="2"/>
    </row>
    <row r="141" spans="13:17" ht="12.75">
      <c r="M141" s="2"/>
      <c r="N141" s="2"/>
      <c r="O141" s="2"/>
      <c r="P141" s="2"/>
      <c r="Q141" s="2"/>
    </row>
    <row r="142" spans="13:17" ht="12.75">
      <c r="M142" s="2"/>
      <c r="N142" s="2"/>
      <c r="O142" s="2"/>
      <c r="P142" s="2"/>
      <c r="Q142" s="2"/>
    </row>
    <row r="143" spans="13:17" ht="12.75">
      <c r="M143" s="2"/>
      <c r="N143" s="2"/>
      <c r="O143" s="2"/>
      <c r="P143" s="2"/>
      <c r="Q143" s="2"/>
    </row>
    <row r="144" spans="13:17" ht="12.75">
      <c r="M144" s="2"/>
      <c r="N144" s="2"/>
      <c r="O144" s="2"/>
      <c r="P144" s="2"/>
      <c r="Q144" s="2"/>
    </row>
    <row r="145" spans="13:17" ht="12.75">
      <c r="M145" s="2"/>
      <c r="N145" s="2"/>
      <c r="O145" s="2"/>
      <c r="P145" s="2"/>
      <c r="Q145" s="2"/>
    </row>
    <row r="146" spans="13:17" ht="12.75">
      <c r="M146" s="2"/>
      <c r="N146" s="2"/>
      <c r="O146" s="2"/>
      <c r="P146" s="2"/>
      <c r="Q146" s="2"/>
    </row>
    <row r="147" spans="13:17" ht="12.75">
      <c r="M147" s="2"/>
      <c r="N147" s="2"/>
      <c r="O147" s="2"/>
      <c r="P147" s="2"/>
      <c r="Q147" s="2"/>
    </row>
    <row r="148" spans="13:17" ht="12.75">
      <c r="M148" s="2"/>
      <c r="N148" s="2"/>
      <c r="O148" s="2"/>
      <c r="P148" s="2"/>
      <c r="Q148" s="2"/>
    </row>
    <row r="149" spans="13:17" ht="12.75">
      <c r="M149" s="2"/>
      <c r="N149" s="2"/>
      <c r="O149" s="2"/>
      <c r="P149" s="2"/>
      <c r="Q149" s="2"/>
    </row>
    <row r="150" spans="13:17" ht="12.75">
      <c r="M150" s="2"/>
      <c r="N150" s="2"/>
      <c r="O150" s="2"/>
      <c r="P150" s="2"/>
      <c r="Q150" s="2"/>
    </row>
    <row r="151" spans="13:17" ht="12.75">
      <c r="M151" s="2"/>
      <c r="N151" s="2"/>
      <c r="O151" s="2"/>
      <c r="P151" s="2"/>
      <c r="Q151" s="2"/>
    </row>
    <row r="152" spans="13:17" ht="12.75">
      <c r="M152" s="2"/>
      <c r="N152" s="2"/>
      <c r="O152" s="2"/>
      <c r="P152" s="2"/>
      <c r="Q152" s="2"/>
    </row>
    <row r="153" spans="13:17" ht="12.75">
      <c r="M153" s="2"/>
      <c r="N153" s="2"/>
      <c r="O153" s="2"/>
      <c r="P153" s="2"/>
      <c r="Q153" s="2"/>
    </row>
    <row r="154" spans="13:17" ht="12.75">
      <c r="M154" s="2"/>
      <c r="N154" s="2"/>
      <c r="O154" s="2"/>
      <c r="P154" s="2"/>
      <c r="Q154" s="2"/>
    </row>
    <row r="155" spans="13:17" ht="12.75">
      <c r="M155" s="2"/>
      <c r="N155" s="2"/>
      <c r="O155" s="2"/>
      <c r="P155" s="2"/>
      <c r="Q155" s="2"/>
    </row>
    <row r="156" spans="13:17" ht="12.75">
      <c r="M156" s="2"/>
      <c r="N156" s="2"/>
      <c r="O156" s="2"/>
      <c r="P156" s="2"/>
      <c r="Q156" s="2"/>
    </row>
    <row r="157" spans="13:17" ht="12.75">
      <c r="M157" s="2"/>
      <c r="N157" s="2"/>
      <c r="O157" s="2"/>
      <c r="P157" s="2"/>
      <c r="Q157" s="2"/>
    </row>
    <row r="158" spans="13:17" ht="12.75">
      <c r="M158" s="2"/>
      <c r="N158" s="2"/>
      <c r="O158" s="2"/>
      <c r="P158" s="2"/>
      <c r="Q158" s="2"/>
    </row>
    <row r="159" spans="13:17" ht="12.75">
      <c r="M159" s="2"/>
      <c r="N159" s="2"/>
      <c r="O159" s="2"/>
      <c r="P159" s="2"/>
      <c r="Q159" s="2"/>
    </row>
    <row r="160" spans="13:17" ht="12.75">
      <c r="M160" s="2"/>
      <c r="N160" s="2"/>
      <c r="O160" s="2"/>
      <c r="P160" s="2"/>
      <c r="Q160" s="2"/>
    </row>
    <row r="161" spans="13:17" ht="12.75">
      <c r="M161" s="2"/>
      <c r="N161" s="2"/>
      <c r="O161" s="2"/>
      <c r="P161" s="2"/>
      <c r="Q161" s="2"/>
    </row>
    <row r="162" spans="13:17" ht="12.75">
      <c r="M162" s="2"/>
      <c r="N162" s="2"/>
      <c r="O162" s="2"/>
      <c r="P162" s="2"/>
      <c r="Q162" s="2"/>
    </row>
    <row r="163" spans="13:17" ht="12.75">
      <c r="M163" s="2"/>
      <c r="N163" s="2"/>
      <c r="O163" s="2"/>
      <c r="P163" s="2"/>
      <c r="Q163" s="2"/>
    </row>
    <row r="164" spans="13:17" ht="12.75">
      <c r="M164" s="2"/>
      <c r="N164" s="2"/>
      <c r="O164" s="2"/>
      <c r="P164" s="2"/>
      <c r="Q164" s="2"/>
    </row>
    <row r="165" spans="13:17" ht="12.75">
      <c r="M165" s="2"/>
      <c r="N165" s="2"/>
      <c r="O165" s="2"/>
      <c r="P165" s="2"/>
      <c r="Q165" s="2"/>
    </row>
    <row r="166" spans="13:17" ht="12.75">
      <c r="M166" s="2"/>
      <c r="N166" s="2"/>
      <c r="O166" s="2"/>
      <c r="P166" s="2"/>
      <c r="Q166" s="2"/>
    </row>
    <row r="167" spans="13:17" ht="12.75">
      <c r="M167" s="2"/>
      <c r="N167" s="2"/>
      <c r="O167" s="2"/>
      <c r="P167" s="2"/>
      <c r="Q167" s="2"/>
    </row>
    <row r="168" spans="13:17" ht="12.75">
      <c r="M168" s="2"/>
      <c r="N168" s="2"/>
      <c r="O168" s="2"/>
      <c r="P168" s="2"/>
      <c r="Q168" s="2"/>
    </row>
    <row r="169" spans="13:17" ht="12.75">
      <c r="M169" s="2"/>
      <c r="N169" s="2"/>
      <c r="O169" s="2"/>
      <c r="P169" s="2"/>
      <c r="Q169" s="2"/>
    </row>
    <row r="170" spans="13:17" ht="12.75">
      <c r="M170" s="2"/>
      <c r="N170" s="2"/>
      <c r="O170" s="2"/>
      <c r="P170" s="2"/>
      <c r="Q170" s="2"/>
    </row>
    <row r="171" spans="13:17" ht="12.75">
      <c r="M171" s="2"/>
      <c r="N171" s="2"/>
      <c r="O171" s="2"/>
      <c r="P171" s="2"/>
      <c r="Q171" s="2"/>
    </row>
    <row r="172" spans="13:17" ht="12.75">
      <c r="M172" s="2"/>
      <c r="N172" s="2"/>
      <c r="O172" s="2"/>
      <c r="P172" s="2"/>
      <c r="Q172" s="2"/>
    </row>
    <row r="173" spans="13:17" ht="12.75">
      <c r="M173" s="2"/>
      <c r="N173" s="2"/>
      <c r="O173" s="2"/>
      <c r="P173" s="2"/>
      <c r="Q173" s="2"/>
    </row>
    <row r="174" spans="13:17" ht="12.75">
      <c r="M174" s="2"/>
      <c r="N174" s="2"/>
      <c r="O174" s="2"/>
      <c r="P174" s="2"/>
      <c r="Q174" s="2"/>
    </row>
    <row r="175" spans="13:17" ht="12.75">
      <c r="M175" s="2"/>
      <c r="N175" s="2"/>
      <c r="O175" s="2"/>
      <c r="P175" s="2"/>
      <c r="Q175" s="2"/>
    </row>
    <row r="176" spans="13:17" ht="12.75">
      <c r="M176" s="2"/>
      <c r="N176" s="2"/>
      <c r="O176" s="2"/>
      <c r="P176" s="2"/>
      <c r="Q176" s="2"/>
    </row>
    <row r="177" spans="13:17" ht="12.75">
      <c r="M177" s="2"/>
      <c r="N177" s="2"/>
      <c r="O177" s="2"/>
      <c r="P177" s="2"/>
      <c r="Q177" s="2"/>
    </row>
    <row r="178" spans="13:17" ht="12.75">
      <c r="M178" s="2"/>
      <c r="N178" s="2"/>
      <c r="O178" s="2"/>
      <c r="P178" s="2"/>
      <c r="Q178" s="2"/>
    </row>
    <row r="179" spans="13:17" ht="12.75">
      <c r="M179" s="2"/>
      <c r="N179" s="2"/>
      <c r="O179" s="2"/>
      <c r="P179" s="2"/>
      <c r="Q179" s="2"/>
    </row>
    <row r="180" spans="13:17" ht="12.75">
      <c r="M180" s="2"/>
      <c r="N180" s="2"/>
      <c r="O180" s="2"/>
      <c r="P180" s="2"/>
      <c r="Q180" s="2"/>
    </row>
    <row r="181" spans="13:17" ht="12.75">
      <c r="M181" s="2"/>
      <c r="N181" s="2"/>
      <c r="O181" s="2"/>
      <c r="P181" s="2"/>
      <c r="Q181" s="2"/>
    </row>
    <row r="182" spans="13:17" ht="12.75">
      <c r="M182" s="2"/>
      <c r="N182" s="2"/>
      <c r="O182" s="2"/>
      <c r="P182" s="2"/>
      <c r="Q182" s="2"/>
    </row>
    <row r="183" spans="13:17" ht="12.75">
      <c r="M183" s="2"/>
      <c r="N183" s="2"/>
      <c r="O183" s="2"/>
      <c r="P183" s="2"/>
      <c r="Q183" s="2"/>
    </row>
    <row r="184" spans="13:17" ht="12.75">
      <c r="M184" s="2"/>
      <c r="N184" s="2"/>
      <c r="O184" s="2"/>
      <c r="P184" s="2"/>
      <c r="Q184" s="2"/>
    </row>
    <row r="185" spans="13:17" ht="12.75">
      <c r="M185" s="2"/>
      <c r="N185" s="2"/>
      <c r="O185" s="2"/>
      <c r="P185" s="2"/>
      <c r="Q185" s="2"/>
    </row>
    <row r="186" spans="13:17" ht="12.75">
      <c r="M186" s="2"/>
      <c r="N186" s="2"/>
      <c r="O186" s="2"/>
      <c r="P186" s="2"/>
      <c r="Q186" s="2"/>
    </row>
    <row r="187" spans="13:17" ht="12.75">
      <c r="M187" s="2"/>
      <c r="N187" s="2"/>
      <c r="O187" s="2"/>
      <c r="P187" s="2"/>
      <c r="Q187" s="2"/>
    </row>
    <row r="188" spans="13:17" ht="12.75">
      <c r="M188" s="2"/>
      <c r="N188" s="2"/>
      <c r="O188" s="2"/>
      <c r="P188" s="2"/>
      <c r="Q188" s="2"/>
    </row>
    <row r="189" spans="13:17" ht="12.75">
      <c r="M189" s="2"/>
      <c r="N189" s="2"/>
      <c r="O189" s="2"/>
      <c r="P189" s="2"/>
      <c r="Q189" s="2"/>
    </row>
    <row r="190" spans="13:17" ht="12.75">
      <c r="M190" s="2"/>
      <c r="N190" s="2"/>
      <c r="O190" s="2"/>
      <c r="P190" s="2"/>
      <c r="Q190" s="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 PJL - JI -JM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ndopico</cp:lastModifiedBy>
  <cp:lastPrinted>2009-12-18T15:52:41Z</cp:lastPrinted>
  <dcterms:created xsi:type="dcterms:W3CDTF">1998-04-21T14:04:37Z</dcterms:created>
  <dcterms:modified xsi:type="dcterms:W3CDTF">2009-12-18T19:59:10Z</dcterms:modified>
  <cp:category/>
  <cp:version/>
  <cp:contentType/>
  <cp:contentStatus/>
</cp:coreProperties>
</file>