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1208" sheetId="1" r:id="rId1"/>
    <sheet name="LI-12 (1)" sheetId="2" r:id="rId2"/>
    <sheet name="LI-IV-12 (1)" sheetId="3" r:id="rId3"/>
    <sheet name="TR-12 (1)" sheetId="4" r:id="rId4"/>
    <sheet name="T4CH - Nota SE N° 2492" sheetId="5" r:id="rId5"/>
    <sheet name="SA-12 (1)" sheetId="6" r:id="rId6"/>
    <sheet name="RE-12 (1)" sheetId="7" r:id="rId7"/>
    <sheet name="RE-12 (2)" sheetId="8" r:id="rId8"/>
    <sheet name="RE-LITSA-12 (1)" sheetId="9" r:id="rId9"/>
    <sheet name="SA-TIBA-12 (1)" sheetId="10" r:id="rId10"/>
    <sheet name="TR-ENECOR-12 (1)" sheetId="11" r:id="rId11"/>
    <sheet name="SUP-LITSA" sheetId="12" r:id="rId12"/>
    <sheet name="SUP-TIBA" sheetId="13" r:id="rId13"/>
    <sheet name="SUP-ENECOR" sheetId="14" r:id="rId14"/>
    <sheet name="TASA FALLA" sheetId="15" r:id="rId15"/>
    <sheet name="DATO" sheetId="16" r:id="rId16"/>
  </sheets>
  <externalReferences>
    <externalReference r:id="rId19"/>
    <externalReference r:id="rId20"/>
  </externalReferences>
  <definedNames>
    <definedName name="_xlnm.Print_Area" localSheetId="1">'LI-12 (1)'!$A$1:$AD$44</definedName>
    <definedName name="_xlnm.Print_Area" localSheetId="2">'LI-IV-12 (1)'!$A$1:$AD$44</definedName>
    <definedName name="_xlnm.Print_Area" localSheetId="6">'RE-12 (1)'!$A$1:$Y$44</definedName>
    <definedName name="_xlnm.Print_Area" localSheetId="7">'RE-12 (2)'!$A$1:$Y$44</definedName>
    <definedName name="_xlnm.Print_Area" localSheetId="8">'RE-LITSA-12 (1)'!$A$1:$W$46</definedName>
    <definedName name="_xlnm.Print_Area" localSheetId="5">'SA-12 (1)'!$A$1:$U$46</definedName>
    <definedName name="_xlnm.Print_Area" localSheetId="9">'SA-TIBA-12 (1)'!$A$1:$U$44</definedName>
    <definedName name="_xlnm.Print_Area" localSheetId="13">'SUP-ENECOR'!$A$1:$W$60</definedName>
    <definedName name="_xlnm.Print_Area" localSheetId="11">'SUP-LITSA'!$A$1:$AD$75</definedName>
    <definedName name="_xlnm.Print_Area" localSheetId="12">'SUP-TIBA'!$A$1:$W$74</definedName>
    <definedName name="_xlnm.Print_Area" localSheetId="14">'TASA FALLA'!$A$1:$V$99</definedName>
    <definedName name="_xlnm.Print_Area" localSheetId="0">'TOT-1208'!$A$1:$K$44</definedName>
    <definedName name="_xlnm.Print_Area" localSheetId="3">'TR-12 (1)'!$A$1:$AB$43</definedName>
    <definedName name="_xlnm.Print_Area" localSheetId="10">'TR-ENECOR-12 (1)'!$A$1:$AB$42</definedName>
    <definedName name="DD" localSheetId="1">'LI-12 (1)'!DD</definedName>
    <definedName name="DD" localSheetId="2">'LI-IV-12 (1)'!DD</definedName>
    <definedName name="DD" localSheetId="6">'RE-12 (1)'!DD</definedName>
    <definedName name="DD" localSheetId="7">'RE-12 (2)'!DD</definedName>
    <definedName name="DD" localSheetId="8">'RE-LITSA-12 (1)'!DD</definedName>
    <definedName name="DD" localSheetId="5">'SA-12 (1)'!DD</definedName>
    <definedName name="DD" localSheetId="9">'SA-TIBA-12 (1)'!DD</definedName>
    <definedName name="DD" localSheetId="4">'T4CH - Nota SE N° 2492'!DD</definedName>
    <definedName name="DD" localSheetId="14">'TASA FALLA'!DD</definedName>
    <definedName name="DD" localSheetId="3">'TR-12 (1)'!DD</definedName>
    <definedName name="DD" localSheetId="10">'TR-ENECOR-12 (1)'!DD</definedName>
    <definedName name="DD">[0]!DD</definedName>
    <definedName name="DDD" localSheetId="1">'LI-12 (1)'!DDD</definedName>
    <definedName name="DDD" localSheetId="2">'LI-IV-12 (1)'!DDD</definedName>
    <definedName name="DDD" localSheetId="6">'RE-12 (1)'!DDD</definedName>
    <definedName name="DDD" localSheetId="7">'RE-12 (2)'!DDD</definedName>
    <definedName name="DDD" localSheetId="8">'RE-LITSA-12 (1)'!DDD</definedName>
    <definedName name="DDD" localSheetId="5">'SA-12 (1)'!DDD</definedName>
    <definedName name="DDD" localSheetId="9">'SA-TIBA-12 (1)'!DDD</definedName>
    <definedName name="DDD" localSheetId="4">'T4CH - Nota SE N° 2492'!DDD</definedName>
    <definedName name="DDD" localSheetId="14">'TASA FALLA'!DDD</definedName>
    <definedName name="DDD" localSheetId="3">'TR-12 (1)'!DDD</definedName>
    <definedName name="DDD" localSheetId="10">'TR-ENECOR-12 (1)'!DDD</definedName>
    <definedName name="DDD">[0]!DDD</definedName>
    <definedName name="DISTROCUYO" localSheetId="1">'LI-12 (1)'!DISTROCUYO</definedName>
    <definedName name="DISTROCUYO" localSheetId="2">'LI-IV-12 (1)'!DISTROCUYO</definedName>
    <definedName name="DISTROCUYO" localSheetId="6">'RE-12 (1)'!DISTROCUYO</definedName>
    <definedName name="DISTROCUYO" localSheetId="7">'RE-12 (2)'!DISTROCUYO</definedName>
    <definedName name="DISTROCUYO" localSheetId="8">'RE-LITSA-12 (1)'!DISTROCUYO</definedName>
    <definedName name="DISTROCUYO" localSheetId="5">'SA-12 (1)'!DISTROCUYO</definedName>
    <definedName name="DISTROCUYO" localSheetId="9">'SA-TIBA-12 (1)'!DISTROCUYO</definedName>
    <definedName name="DISTROCUYO" localSheetId="4">'T4CH - Nota SE N° 2492'!DISTROCUYO</definedName>
    <definedName name="DISTROCUYO" localSheetId="14">'TASA FALLA'!DISTROCUYO</definedName>
    <definedName name="DISTROCUYO" localSheetId="3">'TR-12 (1)'!DISTROCUYO</definedName>
    <definedName name="DISTROCUYO" localSheetId="10">'TR-ENECOR-12 (1)'!DISTROCUYO</definedName>
    <definedName name="DISTROCUYO">[0]!DISTROCUYO</definedName>
    <definedName name="INICIO" localSheetId="1">'LI-12 (1)'!INICIO</definedName>
    <definedName name="INICIO" localSheetId="2">'LI-IV-12 (1)'!INICIO</definedName>
    <definedName name="INICIO" localSheetId="6">'RE-12 (1)'!INICIO</definedName>
    <definedName name="INICIO" localSheetId="7">'RE-12 (2)'!INICIO</definedName>
    <definedName name="INICIO" localSheetId="8">'RE-LITSA-12 (1)'!INICIO</definedName>
    <definedName name="INICIO" localSheetId="5">'SA-12 (1)'!INICIO</definedName>
    <definedName name="INICIO" localSheetId="9">'SA-TIBA-12 (1)'!INICIO</definedName>
    <definedName name="INICIO" localSheetId="4">'T4CH - Nota SE N° 2492'!INICIO</definedName>
    <definedName name="INICIO" localSheetId="14">'TASA FALLA'!INICIO</definedName>
    <definedName name="INICIO" localSheetId="0">'TOT-1208'!INICIO</definedName>
    <definedName name="INICIO" localSheetId="3">'TR-12 (1)'!INICIO</definedName>
    <definedName name="INICIO" localSheetId="10">'TR-ENECOR-12 (1)'!INICIO</definedName>
    <definedName name="INICIO">[0]!INICIO</definedName>
    <definedName name="INICIOTI" localSheetId="1">'LI-12 (1)'!INICIOTI</definedName>
    <definedName name="INICIOTI" localSheetId="2">'LI-IV-12 (1)'!INICIOTI</definedName>
    <definedName name="INICIOTI" localSheetId="6">'RE-12 (1)'!INICIOTI</definedName>
    <definedName name="INICIOTI" localSheetId="7">'RE-12 (2)'!INICIOTI</definedName>
    <definedName name="INICIOTI" localSheetId="8">'RE-LITSA-12 (1)'!INICIOTI</definedName>
    <definedName name="INICIOTI" localSheetId="5">'SA-12 (1)'!INICIOTI</definedName>
    <definedName name="INICIOTI" localSheetId="9">'SA-TIBA-12 (1)'!INICIOTI</definedName>
    <definedName name="INICIOTI" localSheetId="4">'T4CH - Nota SE N° 2492'!INICIOTI</definedName>
    <definedName name="INICIOTI" localSheetId="14">'TASA FALLA'!INICIOTI</definedName>
    <definedName name="INICIOTI" localSheetId="3">'TR-12 (1)'!INICIOTI</definedName>
    <definedName name="INICIOTI" localSheetId="10">'TR-ENECOR-12 (1)'!INICIOTI</definedName>
    <definedName name="INICIOTI">[0]!INICIOTI</definedName>
    <definedName name="LINEAS" localSheetId="1">'LI-12 (1)'!LINEAS</definedName>
    <definedName name="LINEAS" localSheetId="2">'LI-IV-12 (1)'!LINEAS</definedName>
    <definedName name="LINEAS" localSheetId="6">'RE-12 (1)'!LINEAS</definedName>
    <definedName name="LINEAS" localSheetId="7">'RE-12 (2)'!LINEAS</definedName>
    <definedName name="LINEAS" localSheetId="8">'RE-LITSA-12 (1)'!LINEAS</definedName>
    <definedName name="LINEAS" localSheetId="5">'SA-12 (1)'!LINEAS</definedName>
    <definedName name="LINEAS" localSheetId="9">'SA-TIBA-12 (1)'!LINEAS</definedName>
    <definedName name="LINEAS" localSheetId="4">'T4CH - Nota SE N° 2492'!LINEAS</definedName>
    <definedName name="LINEAS" localSheetId="14">'TASA FALLA'!LINEAS</definedName>
    <definedName name="LINEAS" localSheetId="3">'TR-12 (1)'!LINEAS</definedName>
    <definedName name="LINEAS" localSheetId="10">'TR-ENECOR-12 (1)'!LINEAS</definedName>
    <definedName name="LINEAS">[0]!LINEAS</definedName>
    <definedName name="NAME_L" localSheetId="1">'LI-12 (1)'!NAME_L</definedName>
    <definedName name="NAME_L" localSheetId="2">'LI-IV-12 (1)'!NAME_L</definedName>
    <definedName name="NAME_L" localSheetId="6">'RE-12 (1)'!NAME_L</definedName>
    <definedName name="NAME_L" localSheetId="7">'RE-12 (2)'!NAME_L</definedName>
    <definedName name="NAME_L" localSheetId="8">'RE-LITSA-12 (1)'!NAME_L</definedName>
    <definedName name="NAME_L" localSheetId="5">'SA-12 (1)'!NAME_L</definedName>
    <definedName name="NAME_L" localSheetId="9">'SA-TIBA-12 (1)'!NAME_L</definedName>
    <definedName name="NAME_L" localSheetId="4">'T4CH - Nota SE N° 2492'!NAME_L</definedName>
    <definedName name="NAME_L" localSheetId="14">'TASA FALLA'!NAME_L</definedName>
    <definedName name="NAME_L" localSheetId="3">'TR-12 (1)'!NAME_L</definedName>
    <definedName name="NAME_L" localSheetId="10">'TR-ENECOR-12 (1)'!NAME_L</definedName>
    <definedName name="NAME_L">[0]!NAME_L</definedName>
    <definedName name="NAME_L_TI" localSheetId="1">'LI-12 (1)'!NAME_L_TI</definedName>
    <definedName name="NAME_L_TI" localSheetId="2">'LI-IV-12 (1)'!NAME_L_TI</definedName>
    <definedName name="NAME_L_TI" localSheetId="6">'RE-12 (1)'!NAME_L_TI</definedName>
    <definedName name="NAME_L_TI" localSheetId="7">'RE-12 (2)'!NAME_L_TI</definedName>
    <definedName name="NAME_L_TI" localSheetId="8">'RE-LITSA-12 (1)'!NAME_L_TI</definedName>
    <definedName name="NAME_L_TI" localSheetId="5">'SA-12 (1)'!NAME_L_TI</definedName>
    <definedName name="NAME_L_TI" localSheetId="9">'SA-TIBA-12 (1)'!NAME_L_TI</definedName>
    <definedName name="NAME_L_TI" localSheetId="4">'T4CH - Nota SE N° 2492'!NAME_L_TI</definedName>
    <definedName name="NAME_L_TI" localSheetId="14">'TASA FALLA'!NAME_L_TI</definedName>
    <definedName name="NAME_L_TI" localSheetId="3">'TR-12 (1)'!NAME_L_TI</definedName>
    <definedName name="NAME_L_TI" localSheetId="10">'TR-ENECOR-12 (1)'!NAME_L_TI</definedName>
    <definedName name="NAME_L_TI">[0]!NAME_L_TI</definedName>
    <definedName name="TRAN" localSheetId="1">'LI-12 (1)'!TRAN</definedName>
    <definedName name="TRAN" localSheetId="2">'LI-IV-12 (1)'!TRAN</definedName>
    <definedName name="TRAN" localSheetId="6">'RE-12 (1)'!TRAN</definedName>
    <definedName name="TRAN" localSheetId="7">'RE-12 (2)'!TRAN</definedName>
    <definedName name="TRAN" localSheetId="8">'RE-LITSA-12 (1)'!TRAN</definedName>
    <definedName name="TRAN" localSheetId="5">'SA-12 (1)'!TRAN</definedName>
    <definedName name="TRAN" localSheetId="9">'SA-TIBA-12 (1)'!TRAN</definedName>
    <definedName name="TRAN" localSheetId="4">'T4CH - Nota SE N° 2492'!TRAN</definedName>
    <definedName name="TRAN" localSheetId="14">'TASA FALLA'!TRAN</definedName>
    <definedName name="TRAN" localSheetId="3">'TR-12 (1)'!TRAN</definedName>
    <definedName name="TRAN" localSheetId="10">'TR-ENECOR-12 (1)'!TRAN</definedName>
    <definedName name="TRAN">[0]!TRAN</definedName>
    <definedName name="TRANSNOA" localSheetId="1">'LI-12 (1)'!TRANSNOA</definedName>
    <definedName name="TRANSNOA" localSheetId="2">'LI-IV-12 (1)'!TRANSNOA</definedName>
    <definedName name="TRANSNOA" localSheetId="6">'RE-12 (1)'!TRANSNOA</definedName>
    <definedName name="TRANSNOA" localSheetId="7">'RE-12 (2)'!TRANSNOA</definedName>
    <definedName name="TRANSNOA" localSheetId="8">'RE-LITSA-12 (1)'!TRANSNOA</definedName>
    <definedName name="TRANSNOA" localSheetId="5">'SA-12 (1)'!TRANSNOA</definedName>
    <definedName name="TRANSNOA" localSheetId="9">'SA-TIBA-12 (1)'!TRANSNOA</definedName>
    <definedName name="TRANSNOA" localSheetId="4">'T4CH - Nota SE N° 2492'!TRANSNOA</definedName>
    <definedName name="TRANSNOA" localSheetId="14">'TASA FALLA'!TRANSNOA</definedName>
    <definedName name="TRANSNOA" localSheetId="3">'TR-12 (1)'!TRANSNOA</definedName>
    <definedName name="TRANSNOA" localSheetId="10">'TR-ENECOR-12 (1)'!TRANSNOA</definedName>
    <definedName name="TRANSNOA">[0]!TRANSNOA</definedName>
    <definedName name="x" localSheetId="1">'LI-12 (1)'!x</definedName>
    <definedName name="x" localSheetId="2">'LI-IV-12 (1)'!x</definedName>
    <definedName name="x" localSheetId="6">'RE-12 (1)'!x</definedName>
    <definedName name="x" localSheetId="7">'RE-12 (2)'!x</definedName>
    <definedName name="x" localSheetId="8">'RE-LITSA-12 (1)'!x</definedName>
    <definedName name="x" localSheetId="5">'SA-12 (1)'!x</definedName>
    <definedName name="x" localSheetId="9">'SA-TIBA-12 (1)'!x</definedName>
    <definedName name="x" localSheetId="4">'T4CH - Nota SE N° 2492'!x</definedName>
    <definedName name="x" localSheetId="14">'TASA FALLA'!x</definedName>
    <definedName name="x" localSheetId="3">'TR-12 (1)'!x</definedName>
    <definedName name="x" localSheetId="10">'TR-ENECOR-12 (1)'!x</definedName>
    <definedName name="x">[0]!x</definedName>
    <definedName name="XX" localSheetId="1">'LI-12 (1)'!XX</definedName>
    <definedName name="XX" localSheetId="2">'LI-IV-12 (1)'!XX</definedName>
    <definedName name="XX" localSheetId="6">'RE-12 (1)'!XX</definedName>
    <definedName name="XX" localSheetId="7">'RE-12 (2)'!XX</definedName>
    <definedName name="XX" localSheetId="8">'RE-LITSA-12 (1)'!XX</definedName>
    <definedName name="XX" localSheetId="5">'SA-12 (1)'!XX</definedName>
    <definedName name="XX" localSheetId="9">'SA-TIBA-12 (1)'!XX</definedName>
    <definedName name="XX" localSheetId="4">'T4CH - Nota SE N° 2492'!XX</definedName>
    <definedName name="XX" localSheetId="14">'TASA FALLA'!XX</definedName>
    <definedName name="XX" localSheetId="3">'TR-12 (1)'!XX</definedName>
    <definedName name="XX" localSheetId="10">'TR-ENECOR-12 (1)'!XX</definedName>
    <definedName name="XX">[0]!XX</definedName>
  </definedNames>
  <calcPr fullCalcOnLoad="1"/>
</workbook>
</file>

<file path=xl/comments12.xml><?xml version="1.0" encoding="utf-8"?>
<comments xmlns="http://schemas.openxmlformats.org/spreadsheetml/2006/main">
  <authors>
    <author>Ing. Juan Messina</author>
  </authors>
  <commentList>
    <comment ref="M58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4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5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<sst xmlns="http://schemas.openxmlformats.org/spreadsheetml/2006/main" count="1138" uniqueCount="390">
  <si>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</si>
  <si>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</si>
  <si>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</si>
  <si>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</si>
  <si>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</si>
  <si>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</si>
  <si>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</si>
  <si>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</si>
  <si>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</si>
  <si>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</si>
  <si>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</si>
  <si>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</si>
  <si>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</si>
  <si>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</si>
  <si>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</si>
  <si>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</si>
  <si>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</si>
  <si>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</si>
  <si>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</si>
  <si>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</si>
  <si>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</si>
  <si>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</si>
  <si>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</si>
  <si>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</si>
  <si>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</si>
  <si>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</si>
  <si>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</si>
  <si>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</si>
  <si>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</si>
  <si>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</si>
  <si>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</si>
  <si>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</si>
  <si>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</si>
  <si>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</si>
  <si>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</si>
  <si>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</si>
  <si>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</si>
  <si>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</si>
  <si>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</si>
  <si>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</si>
  <si>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</si>
  <si>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</si>
  <si>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</si>
  <si>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</si>
  <si>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</si>
  <si>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</si>
  <si>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</si>
  <si>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</si>
  <si>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</si>
  <si>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</si>
  <si>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</si>
  <si>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</si>
  <si>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</si>
  <si>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</si>
  <si>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</si>
  <si>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</si>
  <si>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</si>
  <si>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</si>
  <si>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</si>
  <si>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</si>
  <si>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</si>
  <si>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</si>
  <si>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</si>
  <si>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</si>
  <si>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</si>
  <si>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</si>
  <si>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</si>
  <si>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</si>
  <si>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</si>
  <si>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</si>
  <si>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</si>
  <si>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</si>
  <si>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</si>
  <si>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>Tasa de falla de LITSA =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</si>
  <si>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</si>
  <si>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</si>
  <si>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</si>
  <si>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</si>
  <si>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</si>
  <si>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</si>
  <si>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</si>
  <si>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</si>
  <si>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</si>
  <si>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</si>
  <si>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</si>
  <si>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2.1.4.- Transportista Independiente ENECOR S.A.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</si>
  <si>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</si>
  <si>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</si>
  <si>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</si>
  <si>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</si>
  <si>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</si>
  <si>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</si>
  <si>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</si>
  <si>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</si>
  <si>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</si>
  <si>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3.3.- Transportista Independiente L.I.T.S.A.</t>
  </si>
  <si>
    <t>K (P)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</si>
  <si>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</si>
  <si>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</si>
  <si>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</si>
  <si>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</si>
  <si>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</si>
  <si>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</si>
  <si>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</si>
  <si>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</si>
  <si>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</si>
  <si>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</si>
  <si>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</si>
  <si>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</si>
  <si>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</si>
  <si>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</si>
  <si>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</si>
  <si>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</si>
  <si>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</si>
  <si>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</si>
  <si>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</si>
  <si>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</si>
  <si>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</si>
  <si>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</si>
  <si>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</si>
  <si>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</si>
  <si>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</si>
  <si>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</si>
  <si>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</si>
  <si>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</si>
  <si>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</si>
  <si>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</si>
  <si>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</si>
  <si>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</si>
  <si>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</si>
  <si>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</si>
  <si>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</si>
  <si>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</si>
  <si>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</si>
  <si>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</si>
  <si>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</si>
  <si>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</si>
  <si>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</si>
  <si>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</si>
  <si>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</si>
  <si>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</si>
  <si>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</si>
  <si>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</si>
  <si>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</si>
  <si>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</si>
  <si>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</si>
  <si>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</si>
  <si>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</si>
  <si>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</si>
  <si>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</si>
  <si>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</si>
  <si>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</si>
  <si>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</si>
  <si>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</si>
  <si>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</si>
  <si>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</si>
  <si>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</si>
  <si>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</si>
  <si>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</si>
  <si>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</si>
  <si>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</si>
  <si>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</si>
  <si>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</si>
  <si>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</si>
  <si>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</si>
  <si>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</si>
  <si>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</si>
  <si>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</si>
  <si>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</si>
  <si>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</si>
  <si>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</si>
  <si>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</si>
  <si>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</si>
  <si>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</si>
  <si>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</si>
  <si>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</si>
  <si>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</si>
  <si>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</si>
  <si>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</si>
  <si>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</si>
  <si>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</si>
  <si>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</si>
  <si>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</si>
  <si>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</si>
  <si>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</si>
  <si>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</si>
  <si>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</si>
  <si>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</si>
  <si>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</si>
  <si>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</si>
  <si>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</si>
  <si>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</si>
  <si>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</si>
  <si>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</si>
  <si>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</si>
  <si>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</si>
  <si>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</si>
  <si>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</si>
  <si>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</si>
  <si>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</si>
  <si>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</si>
  <si>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</si>
  <si>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</si>
  <si>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</si>
  <si>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</si>
  <si>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</si>
  <si>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</si>
  <si>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</si>
  <si>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</si>
  <si>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</si>
  <si>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</si>
  <si>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</si>
  <si>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</si>
  <si>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</si>
  <si>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</si>
  <si>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</si>
  <si>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</si>
  <si>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</si>
  <si>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</si>
  <si>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</si>
  <si>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</si>
  <si>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</si>
  <si>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</si>
  <si>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</si>
  <si>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</si>
  <si>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</si>
  <si>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</si>
  <si>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IV LINEA</t>
  </si>
  <si>
    <t>1.4.- IV LINEA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</si>
  <si>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</si>
  <si>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</si>
  <si>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</si>
  <si>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</si>
  <si>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</si>
  <si>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</si>
  <si>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</si>
  <si>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</si>
  <si>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</si>
  <si>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</si>
  <si>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</si>
  <si>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</si>
  <si>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</si>
  <si>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</si>
  <si>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</si>
  <si>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</si>
  <si>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</si>
  <si>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</si>
  <si>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</si>
  <si>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</si>
  <si>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</si>
  <si>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</si>
  <si>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</si>
  <si>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</si>
  <si>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</si>
  <si>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</si>
  <si>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</si>
  <si>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</si>
  <si>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</si>
  <si>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</si>
  <si>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</si>
  <si>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</si>
  <si>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</si>
  <si>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</si>
  <si>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</si>
  <si>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</si>
  <si>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</si>
  <si>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</si>
  <si>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</si>
  <si>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</si>
  <si>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</si>
  <si>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</si>
  <si>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</si>
  <si>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POT.
[MVAr]</t>
  </si>
  <si>
    <t>Desde el 01 al 31 de diciembre de 2008</t>
  </si>
  <si>
    <t>ALICURA - E.T. P.del A. 1</t>
  </si>
  <si>
    <t>RAMALLO - VILLA LIA  2</t>
  </si>
  <si>
    <t>RAMALLO - SAN NICOLAS 2</t>
  </si>
  <si>
    <t>RAMALLO - VILLA LIA  1</t>
  </si>
  <si>
    <t>GRAL. RODRIGUEZ - VILLA  LIA 1</t>
  </si>
  <si>
    <t>GRAL. RODRIGUEZ - VILLA  LIA 2</t>
  </si>
  <si>
    <t>EZEIZA - HENDERSON 1</t>
  </si>
  <si>
    <t>A</t>
  </si>
  <si>
    <t>VILLA LIA - ATUCHA 1</t>
  </si>
  <si>
    <t>VILLA LIA - ATUCHA 2</t>
  </si>
  <si>
    <t>EL BRACHO - RECREO(5)</t>
  </si>
  <si>
    <t>B</t>
  </si>
  <si>
    <t>F</t>
  </si>
  <si>
    <t>CHOCON - C.H. CHOCON 1</t>
  </si>
  <si>
    <t>ALICURA - E.T. P.del A. 2</t>
  </si>
  <si>
    <t>ABASTO - OLAVARRIA 2</t>
  </si>
  <si>
    <t>EL CHOCON</t>
  </si>
  <si>
    <t>TRAFO 4</t>
  </si>
  <si>
    <t>500/132/13,2</t>
  </si>
  <si>
    <t>EZEIZA</t>
  </si>
  <si>
    <t>TRAFO 1</t>
  </si>
  <si>
    <t>500/220/132</t>
  </si>
  <si>
    <t>RESISTENCIA</t>
  </si>
  <si>
    <t>ATUCHA I</t>
  </si>
  <si>
    <t>TRAFO</t>
  </si>
  <si>
    <t>HENDERSON</t>
  </si>
  <si>
    <t>T3 HE</t>
  </si>
  <si>
    <t>500/220/13,2</t>
  </si>
  <si>
    <t>MALVINAS ARGENTINAS</t>
  </si>
  <si>
    <t>SANTO TOME</t>
  </si>
  <si>
    <t>TRAFO 3</t>
  </si>
  <si>
    <t>TRAFO 2</t>
  </si>
  <si>
    <t>ROSARIO OESTE</t>
  </si>
  <si>
    <t>AGUA DEL CAJÓN</t>
  </si>
  <si>
    <t>SALIDA TRAFO 1 CAPEX</t>
  </si>
  <si>
    <t>P. BANDERITA</t>
  </si>
  <si>
    <t>SALIDA TRAFO MAQ. 1 Y 2</t>
  </si>
  <si>
    <t>SALIDA LINEA STA. FE NORTE</t>
  </si>
  <si>
    <t>ALICURA</t>
  </si>
  <si>
    <t>SALIDA TRAFO MAQ. 2</t>
  </si>
  <si>
    <t>ALMAFUERTE</t>
  </si>
  <si>
    <t>SALIDA LINEA PILAR 1</t>
  </si>
  <si>
    <t>OLAVARRIA</t>
  </si>
  <si>
    <t>SALIDA ACOPLAMIENTO A-C</t>
  </si>
  <si>
    <t>SALIDA LINEA ROSARIO SUR 3</t>
  </si>
  <si>
    <t>GRAN MENDOZA</t>
  </si>
  <si>
    <t>SALIDA LINEA LOS REYUNOS</t>
  </si>
  <si>
    <t>SALIDA LINEA A PLAYA BANDERITA</t>
  </si>
  <si>
    <t>SALIDA LINEA A BARRANQUERAS 1</t>
  </si>
  <si>
    <t>SALIDA LINEA A BARRANQUERAS 2</t>
  </si>
  <si>
    <t>ALIMENTADOR A SALADILLO</t>
  </si>
  <si>
    <t>SALIDA LINEA C.GOMEZ</t>
  </si>
  <si>
    <t>SALIDA CALCHINES</t>
  </si>
  <si>
    <t>CS2</t>
  </si>
  <si>
    <t>RP</t>
  </si>
  <si>
    <t>PUELCHES</t>
  </si>
  <si>
    <t>R1B5PU</t>
  </si>
  <si>
    <t>BAHIA BLANCA</t>
  </si>
  <si>
    <t>R1B5BB</t>
  </si>
  <si>
    <t>CS1</t>
  </si>
  <si>
    <t>R3A RL</t>
  </si>
  <si>
    <t>R6B5PU</t>
  </si>
  <si>
    <t>CS5</t>
  </si>
  <si>
    <t>CS4</t>
  </si>
  <si>
    <t>CS3</t>
  </si>
  <si>
    <t>CS6</t>
  </si>
  <si>
    <t>SALTO GDE.ARG.</t>
  </si>
  <si>
    <t>R22011</t>
  </si>
  <si>
    <t>SALIDA A OLAVARRIA</t>
  </si>
  <si>
    <t>SALIDA A PETROQUIMICA</t>
  </si>
  <si>
    <t>SALIDA PETROQUIMICA 2</t>
  </si>
  <si>
    <t>SALIDA A LAPRIDA</t>
  </si>
  <si>
    <t>SALIDA A HENDERSON</t>
  </si>
  <si>
    <t>SALIDA PETROQUIMICA 3</t>
  </si>
  <si>
    <t>CAMPANA</t>
  </si>
  <si>
    <t>SALIDA A SIDERCA 0</t>
  </si>
  <si>
    <t>P. DE LA PATRIA</t>
  </si>
  <si>
    <t>TRPP</t>
  </si>
  <si>
    <t>P - PROGRAMADA ;   F - FORZADA</t>
  </si>
  <si>
    <t>F - FORZADA</t>
  </si>
  <si>
    <t>P - PROGRAMADA ;   RP - REDUCCIÓN PROGRAMADA ;   F - FORZADA</t>
  </si>
  <si>
    <t xml:space="preserve">P - PROGRAMADA </t>
  </si>
  <si>
    <t>P - PROGRAMADA</t>
  </si>
  <si>
    <t>220/132/13,2</t>
  </si>
  <si>
    <t>M. BELGRANO</t>
  </si>
  <si>
    <t>SALIDA TRAFO TG1</t>
  </si>
  <si>
    <t>SALIDA TRAFO TG2</t>
  </si>
  <si>
    <t>ROMANG RESISTENCIA</t>
  </si>
  <si>
    <t>RESISTENCIA ROMANG</t>
  </si>
  <si>
    <t>R4L5RM</t>
  </si>
  <si>
    <t>R1L5RS</t>
  </si>
  <si>
    <t>Valores remuneratorios según Res. ENRE 327/2008  y  Res. ENRE 328/2008</t>
  </si>
  <si>
    <t xml:space="preserve"> </t>
  </si>
  <si>
    <t>SISTEMA DE TRANSPORTE DE ENERGÍA ELÉCTRICA EN ALTA TENSION</t>
  </si>
  <si>
    <t>INDISPONIBILIDADES FORZADAS DE LÍNEAS - TASA DE FALLA</t>
  </si>
  <si>
    <t>Correspondiente al mes de diciembre de 2008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</si>
  <si>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</si>
  <si>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</si>
  <si>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</si>
  <si>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</si>
  <si>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</si>
  <si>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</si>
  <si>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</si>
  <si>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2.1.2.- Indisponibilidad Transformador N° 4 E.T. El Chocón</t>
  </si>
  <si>
    <t>--</t>
  </si>
  <si>
    <t>NO</t>
  </si>
  <si>
    <t>2.1.2.-</t>
  </si>
  <si>
    <t>Indisp. Transformador N° 4 E.T. El Chocón</t>
  </si>
  <si>
    <t>(*): Según Nota S.E. N° 2492</t>
  </si>
  <si>
    <t>(*):</t>
  </si>
  <si>
    <t>RM: Por Capacitores ET Bahía Blanca:</t>
  </si>
  <si>
    <t>100 MVAr</t>
  </si>
  <si>
    <t>(*)</t>
  </si>
  <si>
    <t>Según Resolución ENRE N° 157/07</t>
  </si>
  <si>
    <t>TOTAL DE PENALIZACIONES A APLICAR</t>
  </si>
  <si>
    <t>ANEXO I al Memorándum D.T.E.E. N°   770       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</si>
</sst>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[$-2C0A]hh:mm:ss\ \a\.m\./\p\.m\."/>
  </numFmts>
  <fonts count="1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sz val="12"/>
      <name val="MS Sans Serif"/>
      <family val="0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7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57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5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5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4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8" fillId="9" borderId="14" xfId="0" applyFont="1" applyFill="1" applyBorder="1" applyAlignment="1">
      <alignment horizontal="center" vertical="center" wrapText="1"/>
    </xf>
    <xf numFmtId="0" fontId="69" fillId="1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0" fillId="9" borderId="2" xfId="0" applyNumberFormat="1" applyFont="1" applyFill="1" applyBorder="1" applyAlignment="1" applyProtection="1">
      <alignment horizontal="center"/>
      <protection/>
    </xf>
    <xf numFmtId="4" fontId="71" fillId="10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2" fillId="9" borderId="2" xfId="0" applyNumberFormat="1" applyFont="1" applyFill="1" applyBorder="1" applyAlignment="1" applyProtection="1">
      <alignment horizontal="center"/>
      <protection locked="0"/>
    </xf>
    <xf numFmtId="4" fontId="73" fillId="10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2" fillId="9" borderId="3" xfId="0" applyNumberFormat="1" applyFont="1" applyFill="1" applyBorder="1" applyAlignment="1" applyProtection="1">
      <alignment horizontal="center"/>
      <protection locked="0"/>
    </xf>
    <xf numFmtId="4" fontId="73" fillId="10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2" fillId="9" borderId="14" xfId="0" applyNumberFormat="1" applyFont="1" applyFill="1" applyBorder="1" applyAlignment="1" applyProtection="1">
      <alignment horizontal="center"/>
      <protection/>
    </xf>
    <xf numFmtId="2" fontId="73" fillId="10" borderId="14" xfId="0" applyNumberFormat="1" applyFont="1" applyFill="1" applyBorder="1" applyAlignment="1" applyProtection="1">
      <alignment horizontal="center"/>
      <protection/>
    </xf>
    <xf numFmtId="2" fontId="62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4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75" fillId="9" borderId="14" xfId="0" applyFont="1" applyFill="1" applyBorder="1" applyAlignment="1">
      <alignment horizontal="center" vertical="center" wrapText="1"/>
    </xf>
    <xf numFmtId="0" fontId="76" fillId="6" borderId="14" xfId="0" applyFont="1" applyFill="1" applyBorder="1" applyAlignment="1">
      <alignment horizontal="center" vertical="center" wrapText="1"/>
    </xf>
    <xf numFmtId="0" fontId="40" fillId="11" borderId="8" xfId="0" applyFont="1" applyFill="1" applyBorder="1" applyAlignment="1" applyProtection="1">
      <alignment horizontal="centerContinuous" vertical="center" wrapText="1"/>
      <protection/>
    </xf>
    <xf numFmtId="0" fontId="40" fillId="11" borderId="9" xfId="0" applyFont="1" applyFill="1" applyBorder="1" applyAlignment="1">
      <alignment horizontal="centerContinuous" vertical="center"/>
    </xf>
    <xf numFmtId="0" fontId="47" fillId="12" borderId="14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6" fillId="5" borderId="31" xfId="0" applyFont="1" applyFill="1" applyBorder="1" applyAlignment="1">
      <alignment horizontal="center"/>
    </xf>
    <xf numFmtId="0" fontId="77" fillId="9" borderId="31" xfId="0" applyFont="1" applyFill="1" applyBorder="1" applyAlignment="1">
      <alignment horizontal="center"/>
    </xf>
    <xf numFmtId="0" fontId="78" fillId="6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9" fillId="11" borderId="35" xfId="0" applyFont="1" applyFill="1" applyBorder="1" applyAlignment="1">
      <alignment horizontal="center"/>
    </xf>
    <xf numFmtId="0" fontId="79" fillId="11" borderId="36" xfId="0" applyFont="1" applyFill="1" applyBorder="1" applyAlignment="1">
      <alignment horizontal="center"/>
    </xf>
    <xf numFmtId="0" fontId="48" fillId="12" borderId="31" xfId="0" applyFont="1" applyFill="1" applyBorder="1" applyAlignment="1">
      <alignment horizontal="center"/>
    </xf>
    <xf numFmtId="0" fontId="42" fillId="9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77" fillId="9" borderId="19" xfId="0" applyFont="1" applyFill="1" applyBorder="1" applyAlignment="1">
      <alignment horizontal="center"/>
    </xf>
    <xf numFmtId="0" fontId="78" fillId="6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9" fillId="11" borderId="38" xfId="0" applyFont="1" applyFill="1" applyBorder="1" applyAlignment="1">
      <alignment horizontal="center"/>
    </xf>
    <xf numFmtId="0" fontId="79" fillId="11" borderId="39" xfId="0" applyFont="1" applyFill="1" applyBorder="1" applyAlignment="1">
      <alignment horizontal="center"/>
    </xf>
    <xf numFmtId="0" fontId="48" fillId="12" borderId="19" xfId="0" applyFont="1" applyFill="1" applyBorder="1" applyAlignment="1">
      <alignment horizontal="center"/>
    </xf>
    <xf numFmtId="0" fontId="42" fillId="9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6" fillId="5" borderId="2" xfId="0" applyNumberFormat="1" applyFont="1" applyFill="1" applyBorder="1" applyAlignment="1" applyProtection="1">
      <alignment horizontal="center"/>
      <protection/>
    </xf>
    <xf numFmtId="2" fontId="77" fillId="9" borderId="2" xfId="0" applyNumberFormat="1" applyFont="1" applyFill="1" applyBorder="1" applyAlignment="1">
      <alignment horizontal="center"/>
    </xf>
    <xf numFmtId="2" fontId="78" fillId="6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79" fillId="11" borderId="38" xfId="0" applyNumberFormat="1" applyFont="1" applyFill="1" applyBorder="1" applyAlignment="1" applyProtection="1" quotePrefix="1">
      <alignment horizontal="center"/>
      <protection/>
    </xf>
    <xf numFmtId="168" fontId="79" fillId="11" borderId="39" xfId="0" applyNumberFormat="1" applyFont="1" applyFill="1" applyBorder="1" applyAlignment="1" applyProtection="1" quotePrefix="1">
      <alignment horizontal="center"/>
      <protection/>
    </xf>
    <xf numFmtId="168" fontId="48" fillId="12" borderId="2" xfId="0" applyNumberFormat="1" applyFont="1" applyFill="1" applyBorder="1" applyAlignment="1" applyProtection="1" quotePrefix="1">
      <alignment horizontal="center"/>
      <protection/>
    </xf>
    <xf numFmtId="168" fontId="42" fillId="9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6" fillId="5" borderId="3" xfId="0" applyNumberFormat="1" applyFont="1" applyFill="1" applyBorder="1" applyAlignment="1" applyProtection="1">
      <alignment horizontal="center"/>
      <protection/>
    </xf>
    <xf numFmtId="2" fontId="77" fillId="9" borderId="3" xfId="0" applyNumberFormat="1" applyFont="1" applyFill="1" applyBorder="1" applyAlignment="1">
      <alignment horizontal="center"/>
    </xf>
    <xf numFmtId="2" fontId="78" fillId="6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79" fillId="11" borderId="26" xfId="0" applyNumberFormat="1" applyFont="1" applyFill="1" applyBorder="1" applyAlignment="1" applyProtection="1" quotePrefix="1">
      <alignment horizontal="center"/>
      <protection/>
    </xf>
    <xf numFmtId="168" fontId="79" fillId="11" borderId="28" xfId="0" applyNumberFormat="1" applyFont="1" applyFill="1" applyBorder="1" applyAlignment="1" applyProtection="1" quotePrefix="1">
      <alignment horizontal="center"/>
      <protection/>
    </xf>
    <xf numFmtId="168" fontId="48" fillId="12" borderId="3" xfId="0" applyNumberFormat="1" applyFont="1" applyFill="1" applyBorder="1" applyAlignment="1" applyProtection="1" quotePrefix="1">
      <alignment horizontal="center"/>
      <protection/>
    </xf>
    <xf numFmtId="168" fontId="42" fillId="9" borderId="3" xfId="0" applyNumberFormat="1" applyFont="1" applyFill="1" applyBorder="1" applyAlignment="1" applyProtection="1" quotePrefix="1">
      <alignment horizontal="center"/>
      <protection/>
    </xf>
    <xf numFmtId="168" fontId="67" fillId="0" borderId="20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7" fillId="9" borderId="14" xfId="0" applyNumberFormat="1" applyFont="1" applyFill="1" applyBorder="1" applyAlignment="1">
      <alignment horizontal="center"/>
    </xf>
    <xf numFmtId="4" fontId="78" fillId="6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9" fillId="11" borderId="44" xfId="0" applyNumberFormat="1" applyFont="1" applyFill="1" applyBorder="1" applyAlignment="1">
      <alignment horizontal="center"/>
    </xf>
    <xf numFmtId="4" fontId="79" fillId="11" borderId="45" xfId="0" applyNumberFormat="1" applyFont="1" applyFill="1" applyBorder="1" applyAlignment="1">
      <alignment horizontal="center"/>
    </xf>
    <xf numFmtId="4" fontId="48" fillId="12" borderId="14" xfId="0" applyNumberFormat="1" applyFont="1" applyFill="1" applyBorder="1" applyAlignment="1">
      <alignment horizontal="center"/>
    </xf>
    <xf numFmtId="4" fontId="42" fillId="9" borderId="14" xfId="0" applyNumberFormat="1" applyFont="1" applyFill="1" applyBorder="1" applyAlignment="1">
      <alignment horizontal="center"/>
    </xf>
    <xf numFmtId="7" fontId="80" fillId="0" borderId="14" xfId="0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/>
    </xf>
    <xf numFmtId="7" fontId="29" fillId="2" borderId="31" xfId="0" applyNumberFormat="1" applyFont="1" applyFill="1" applyBorder="1" applyAlignment="1">
      <alignment horizontal="center"/>
    </xf>
    <xf numFmtId="2" fontId="77" fillId="9" borderId="2" xfId="0" applyNumberFormat="1" applyFont="1" applyFill="1" applyBorder="1" applyAlignment="1" applyProtection="1">
      <alignment horizontal="center"/>
      <protection locked="0"/>
    </xf>
    <xf numFmtId="2" fontId="78" fillId="6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79" fillId="11" borderId="38" xfId="0" applyNumberFormat="1" applyFont="1" applyFill="1" applyBorder="1" applyAlignment="1" applyProtection="1" quotePrefix="1">
      <alignment horizontal="center"/>
      <protection locked="0"/>
    </xf>
    <xf numFmtId="168" fontId="79" fillId="11" borderId="39" xfId="0" applyNumberFormat="1" applyFont="1" applyFill="1" applyBorder="1" applyAlignment="1" applyProtection="1" quotePrefix="1">
      <alignment horizontal="center"/>
      <protection locked="0"/>
    </xf>
    <xf numFmtId="168" fontId="48" fillId="12" borderId="2" xfId="0" applyNumberFormat="1" applyFont="1" applyFill="1" applyBorder="1" applyAlignment="1" applyProtection="1" quotePrefix="1">
      <alignment horizontal="center"/>
      <protection locked="0"/>
    </xf>
    <xf numFmtId="168" fontId="42" fillId="9" borderId="19" xfId="0" applyNumberFormat="1" applyFont="1" applyFill="1" applyBorder="1" applyAlignment="1" applyProtection="1" quotePrefix="1">
      <alignment horizontal="center"/>
      <protection locked="0"/>
    </xf>
    <xf numFmtId="2" fontId="77" fillId="9" borderId="3" xfId="0" applyNumberFormat="1" applyFont="1" applyFill="1" applyBorder="1" applyAlignment="1" applyProtection="1">
      <alignment horizontal="center"/>
      <protection locked="0"/>
    </xf>
    <xf numFmtId="2" fontId="78" fillId="6" borderId="3" xfId="0" applyNumberFormat="1" applyFont="1" applyFill="1" applyBorder="1" applyAlignment="1" applyProtection="1">
      <alignment horizontal="center"/>
      <protection locked="0"/>
    </xf>
    <xf numFmtId="168" fontId="37" fillId="2" borderId="41" xfId="0" applyNumberFormat="1" applyFont="1" applyFill="1" applyBorder="1" applyAlignment="1" applyProtection="1" quotePrefix="1">
      <alignment horizontal="center"/>
      <protection locked="0"/>
    </xf>
    <xf numFmtId="168" fontId="37" fillId="2" borderId="42" xfId="0" applyNumberFormat="1" applyFont="1" applyFill="1" applyBorder="1" applyAlignment="1" applyProtection="1" quotePrefix="1">
      <alignment horizontal="center"/>
      <protection locked="0"/>
    </xf>
    <xf numFmtId="168" fontId="79" fillId="11" borderId="26" xfId="0" applyNumberFormat="1" applyFont="1" applyFill="1" applyBorder="1" applyAlignment="1" applyProtection="1" quotePrefix="1">
      <alignment horizontal="center"/>
      <protection locked="0"/>
    </xf>
    <xf numFmtId="168" fontId="79" fillId="11" borderId="28" xfId="0" applyNumberFormat="1" applyFont="1" applyFill="1" applyBorder="1" applyAlignment="1" applyProtection="1" quotePrefix="1">
      <alignment horizontal="center"/>
      <protection locked="0"/>
    </xf>
    <xf numFmtId="168" fontId="48" fillId="12" borderId="3" xfId="0" applyNumberFormat="1" applyFont="1" applyFill="1" applyBorder="1" applyAlignment="1" applyProtection="1" quotePrefix="1">
      <alignment horizontal="center"/>
      <protection locked="0"/>
    </xf>
    <xf numFmtId="168" fontId="42" fillId="9" borderId="3" xfId="0" applyNumberFormat="1" applyFont="1" applyFill="1" applyBorder="1" applyAlignment="1" applyProtection="1" quotePrefix="1">
      <alignment horizontal="center"/>
      <protection locked="0"/>
    </xf>
    <xf numFmtId="168" fontId="67" fillId="0" borderId="20" xfId="0" applyNumberFormat="1" applyFont="1" applyFill="1" applyBorder="1" applyAlignment="1" applyProtection="1">
      <alignment horizontal="center"/>
      <protection locked="0"/>
    </xf>
    <xf numFmtId="168" fontId="29" fillId="2" borderId="29" xfId="0" applyNumberFormat="1" applyFont="1" applyFill="1" applyBorder="1" applyAlignment="1">
      <alignment horizontal="center"/>
    </xf>
    <xf numFmtId="164" fontId="46" fillId="5" borderId="2" xfId="0" applyNumberFormat="1" applyFont="1" applyFill="1" applyBorder="1" applyAlignment="1" applyProtection="1">
      <alignment horizontal="center"/>
      <protection locked="0"/>
    </xf>
    <xf numFmtId="164" fontId="46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62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67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1" borderId="14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79" fillId="11" borderId="17" xfId="0" applyFont="1" applyFill="1" applyBorder="1" applyAlignment="1" applyProtection="1">
      <alignment horizontal="center"/>
      <protection/>
    </xf>
    <xf numFmtId="168" fontId="66" fillId="6" borderId="33" xfId="0" applyNumberFormat="1" applyFont="1" applyFill="1" applyBorder="1" applyAlignment="1" applyProtection="1" quotePrefix="1">
      <alignment horizontal="center"/>
      <protection/>
    </xf>
    <xf numFmtId="168" fontId="66" fillId="6" borderId="34" xfId="0" applyNumberFormat="1" applyFont="1" applyFill="1" applyBorder="1" applyAlignment="1" applyProtection="1" quotePrefix="1">
      <alignment horizontal="center"/>
      <protection/>
    </xf>
    <xf numFmtId="168" fontId="45" fillId="3" borderId="17" xfId="0" applyNumberFormat="1" applyFont="1" applyFill="1" applyBorder="1" applyAlignment="1" applyProtection="1" quotePrefix="1">
      <alignment horizontal="center"/>
      <protection/>
    </xf>
    <xf numFmtId="7" fontId="81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79" fillId="11" borderId="2" xfId="0" applyFont="1" applyFill="1" applyBorder="1" applyAlignment="1" applyProtection="1">
      <alignment horizontal="center"/>
      <protection/>
    </xf>
    <xf numFmtId="168" fontId="66" fillId="6" borderId="48" xfId="0" applyNumberFormat="1" applyFont="1" applyFill="1" applyBorder="1" applyAlignment="1" applyProtection="1" quotePrefix="1">
      <alignment horizontal="center"/>
      <protection/>
    </xf>
    <xf numFmtId="168" fontId="45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 locked="0"/>
    </xf>
    <xf numFmtId="2" fontId="79" fillId="11" borderId="2" xfId="0" applyNumberFormat="1" applyFont="1" applyFill="1" applyBorder="1" applyAlignment="1" applyProtection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 locked="0"/>
    </xf>
    <xf numFmtId="168" fontId="66" fillId="6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6" fillId="4" borderId="3" xfId="0" applyNumberFormat="1" applyFont="1" applyFill="1" applyBorder="1" applyAlignment="1" applyProtection="1">
      <alignment horizontal="center"/>
      <protection locked="0"/>
    </xf>
    <xf numFmtId="2" fontId="79" fillId="11" borderId="3" xfId="0" applyNumberFormat="1" applyFont="1" applyFill="1" applyBorder="1" applyAlignment="1" applyProtection="1">
      <alignment horizontal="center"/>
      <protection locked="0"/>
    </xf>
    <xf numFmtId="168" fontId="66" fillId="6" borderId="26" xfId="0" applyNumberFormat="1" applyFont="1" applyFill="1" applyBorder="1" applyAlignment="1" applyProtection="1" quotePrefix="1">
      <alignment horizontal="center"/>
      <protection locked="0"/>
    </xf>
    <xf numFmtId="168" fontId="66" fillId="6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9" fillId="11" borderId="14" xfId="0" applyNumberFormat="1" applyFont="1" applyFill="1" applyBorder="1" applyAlignment="1">
      <alignment horizontal="center"/>
    </xf>
    <xf numFmtId="4" fontId="66" fillId="6" borderId="44" xfId="0" applyNumberFormat="1" applyFont="1" applyFill="1" applyBorder="1" applyAlignment="1">
      <alignment horizontal="center"/>
    </xf>
    <xf numFmtId="4" fontId="66" fillId="6" borderId="45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9" borderId="14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 applyProtection="1">
      <alignment horizontal="centerContinuous" vertical="center" wrapText="1"/>
      <protection/>
    </xf>
    <xf numFmtId="0" fontId="47" fillId="13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3" fillId="9" borderId="31" xfId="0" applyFont="1" applyFill="1" applyBorder="1" applyAlignment="1">
      <alignment horizontal="center"/>
    </xf>
    <xf numFmtId="0" fontId="48" fillId="13" borderId="33" xfId="0" applyFont="1" applyFill="1" applyBorder="1" applyAlignment="1">
      <alignment horizontal="center"/>
    </xf>
    <xf numFmtId="0" fontId="48" fillId="13" borderId="34" xfId="0" applyFont="1" applyFill="1" applyBorder="1" applyAlignment="1">
      <alignment horizontal="center"/>
    </xf>
    <xf numFmtId="0" fontId="51" fillId="6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3" fillId="9" borderId="19" xfId="0" applyNumberFormat="1" applyFont="1" applyFill="1" applyBorder="1" applyAlignment="1">
      <alignment horizontal="center"/>
    </xf>
    <xf numFmtId="168" fontId="48" fillId="13" borderId="38" xfId="0" applyNumberFormat="1" applyFont="1" applyFill="1" applyBorder="1" applyAlignment="1" applyProtection="1" quotePrefix="1">
      <alignment horizontal="center"/>
      <protection/>
    </xf>
    <xf numFmtId="168" fontId="48" fillId="13" borderId="39" xfId="0" applyNumberFormat="1" applyFont="1" applyFill="1" applyBorder="1" applyAlignment="1" applyProtection="1" quotePrefix="1">
      <alignment horizontal="center"/>
      <protection/>
    </xf>
    <xf numFmtId="168" fontId="51" fillId="6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3" fillId="9" borderId="2" xfId="0" applyNumberFormat="1" applyFont="1" applyFill="1" applyBorder="1" applyAlignment="1" applyProtection="1">
      <alignment horizontal="center"/>
      <protection locked="0"/>
    </xf>
    <xf numFmtId="168" fontId="48" fillId="13" borderId="38" xfId="0" applyNumberFormat="1" applyFont="1" applyFill="1" applyBorder="1" applyAlignment="1" applyProtection="1" quotePrefix="1">
      <alignment horizontal="center"/>
      <protection locked="0"/>
    </xf>
    <xf numFmtId="168" fontId="48" fillId="13" borderId="39" xfId="0" applyNumberFormat="1" applyFont="1" applyFill="1" applyBorder="1" applyAlignment="1" applyProtection="1" quotePrefix="1">
      <alignment horizontal="center"/>
      <protection locked="0"/>
    </xf>
    <xf numFmtId="168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3" fillId="9" borderId="3" xfId="0" applyNumberFormat="1" applyFont="1" applyFill="1" applyBorder="1" applyAlignment="1" applyProtection="1">
      <alignment horizontal="center"/>
      <protection locked="0"/>
    </xf>
    <xf numFmtId="168" fontId="48" fillId="13" borderId="41" xfId="0" applyNumberFormat="1" applyFont="1" applyFill="1" applyBorder="1" applyAlignment="1" applyProtection="1" quotePrefix="1">
      <alignment horizontal="center"/>
      <protection locked="0"/>
    </xf>
    <xf numFmtId="168" fontId="48" fillId="13" borderId="42" xfId="0" applyNumberFormat="1" applyFont="1" applyFill="1" applyBorder="1" applyAlignment="1" applyProtection="1" quotePrefix="1">
      <alignment horizontal="center"/>
      <protection locked="0"/>
    </xf>
    <xf numFmtId="168" fontId="51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3" fillId="9" borderId="14" xfId="0" applyNumberFormat="1" applyFont="1" applyFill="1" applyBorder="1" applyAlignment="1">
      <alignment horizontal="center"/>
    </xf>
    <xf numFmtId="4" fontId="48" fillId="13" borderId="44" xfId="0" applyNumberFormat="1" applyFont="1" applyFill="1" applyBorder="1" applyAlignment="1">
      <alignment horizontal="center"/>
    </xf>
    <xf numFmtId="4" fontId="48" fillId="13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84" fillId="14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 applyProtection="1">
      <alignment horizontal="centerContinuous" vertical="center" wrapText="1"/>
      <protection/>
    </xf>
    <xf numFmtId="0" fontId="41" fillId="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" vertical="center" wrapText="1"/>
    </xf>
    <xf numFmtId="0" fontId="85" fillId="14" borderId="31" xfId="0" applyFont="1" applyFill="1" applyBorder="1" applyAlignment="1">
      <alignment horizontal="center"/>
    </xf>
    <xf numFmtId="0" fontId="42" fillId="6" borderId="33" xfId="0" applyFont="1" applyFill="1" applyBorder="1" applyAlignment="1">
      <alignment horizontal="center"/>
    </xf>
    <xf numFmtId="0" fontId="42" fillId="6" borderId="34" xfId="0" applyFont="1" applyFill="1" applyBorder="1" applyAlignment="1">
      <alignment horizontal="center"/>
    </xf>
    <xf numFmtId="0" fontId="45" fillId="9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36" fillId="2" borderId="19" xfId="0" applyNumberFormat="1" applyFont="1" applyFill="1" applyBorder="1" applyAlignment="1" applyProtection="1">
      <alignment horizontal="center"/>
      <protection/>
    </xf>
    <xf numFmtId="2" fontId="85" fillId="14" borderId="19" xfId="0" applyNumberFormat="1" applyFont="1" applyFill="1" applyBorder="1" applyAlignment="1">
      <alignment horizontal="center"/>
    </xf>
    <xf numFmtId="168" fontId="42" fillId="6" borderId="38" xfId="0" applyNumberFormat="1" applyFont="1" applyFill="1" applyBorder="1" applyAlignment="1" applyProtection="1" quotePrefix="1">
      <alignment horizontal="center"/>
      <protection/>
    </xf>
    <xf numFmtId="168" fontId="42" fillId="6" borderId="39" xfId="0" applyNumberFormat="1" applyFont="1" applyFill="1" applyBorder="1" applyAlignment="1" applyProtection="1" quotePrefix="1">
      <alignment horizontal="center"/>
      <protection/>
    </xf>
    <xf numFmtId="168" fontId="45" fillId="9" borderId="19" xfId="0" applyNumberFormat="1" applyFont="1" applyFill="1" applyBorder="1" applyAlignment="1" applyProtection="1" quotePrefix="1">
      <alignment horizontal="center"/>
      <protection/>
    </xf>
    <xf numFmtId="168" fontId="7" fillId="0" borderId="51" xfId="0" applyNumberFormat="1" applyFont="1" applyBorder="1" applyAlignment="1" applyProtection="1">
      <alignment horizontal="center"/>
      <protection/>
    </xf>
    <xf numFmtId="168" fontId="29" fillId="2" borderId="19" xfId="0" applyNumberFormat="1" applyFont="1" applyFill="1" applyBorder="1" applyAlignment="1">
      <alignment horizontal="center"/>
    </xf>
    <xf numFmtId="164" fontId="36" fillId="2" borderId="2" xfId="0" applyNumberFormat="1" applyFont="1" applyFill="1" applyBorder="1" applyAlignment="1" applyProtection="1">
      <alignment horizontal="center"/>
      <protection locked="0"/>
    </xf>
    <xf numFmtId="2" fontId="85" fillId="14" borderId="2" xfId="0" applyNumberFormat="1" applyFont="1" applyFill="1" applyBorder="1" applyAlignment="1" applyProtection="1">
      <alignment horizontal="center"/>
      <protection locked="0"/>
    </xf>
    <xf numFmtId="168" fontId="42" fillId="6" borderId="38" xfId="0" applyNumberFormat="1" applyFont="1" applyFill="1" applyBorder="1" applyAlignment="1" applyProtection="1" quotePrefix="1">
      <alignment horizontal="center"/>
      <protection locked="0"/>
    </xf>
    <xf numFmtId="168" fontId="42" fillId="6" borderId="39" xfId="0" applyNumberFormat="1" applyFont="1" applyFill="1" applyBorder="1" applyAlignment="1" applyProtection="1" quotePrefix="1">
      <alignment horizontal="center"/>
      <protection locked="0"/>
    </xf>
    <xf numFmtId="168" fontId="45" fillId="9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 locked="0"/>
    </xf>
    <xf numFmtId="4" fontId="29" fillId="2" borderId="2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 applyProtection="1">
      <alignment horizontal="center"/>
      <protection locked="0"/>
    </xf>
    <xf numFmtId="2" fontId="85" fillId="14" borderId="3" xfId="0" applyNumberFormat="1" applyFont="1" applyFill="1" applyBorder="1" applyAlignment="1" applyProtection="1">
      <alignment horizontal="center"/>
      <protection locked="0"/>
    </xf>
    <xf numFmtId="168" fontId="42" fillId="6" borderId="41" xfId="0" applyNumberFormat="1" applyFont="1" applyFill="1" applyBorder="1" applyAlignment="1" applyProtection="1" quotePrefix="1">
      <alignment horizontal="center"/>
      <protection locked="0"/>
    </xf>
    <xf numFmtId="168" fontId="42" fillId="6" borderId="42" xfId="0" applyNumberFormat="1" applyFont="1" applyFill="1" applyBorder="1" applyAlignment="1" applyProtection="1" quotePrefix="1">
      <alignment horizontal="center"/>
      <protection locked="0"/>
    </xf>
    <xf numFmtId="168" fontId="45" fillId="9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18" xfId="0" applyNumberFormat="1" applyFont="1" applyBorder="1" applyAlignment="1" applyProtection="1">
      <alignment horizontal="center"/>
      <protection locked="0"/>
    </xf>
    <xf numFmtId="4" fontId="85" fillId="14" borderId="8" xfId="0" applyNumberFormat="1" applyFont="1" applyFill="1" applyBorder="1" applyAlignment="1">
      <alignment horizontal="center"/>
    </xf>
    <xf numFmtId="4" fontId="42" fillId="6" borderId="44" xfId="0" applyNumberFormat="1" applyFont="1" applyFill="1" applyBorder="1" applyAlignment="1">
      <alignment horizontal="center"/>
    </xf>
    <xf numFmtId="4" fontId="42" fillId="6" borderId="9" xfId="0" applyNumberFormat="1" applyFont="1" applyFill="1" applyBorder="1" applyAlignment="1">
      <alignment horizontal="center"/>
    </xf>
    <xf numFmtId="4" fontId="45" fillId="9" borderId="14" xfId="0" applyNumberFormat="1" applyFont="1" applyFill="1" applyBorder="1" applyAlignment="1">
      <alignment horizontal="center"/>
    </xf>
    <xf numFmtId="7" fontId="13" fillId="2" borderId="14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4" xfId="0" applyNumberFormat="1" applyFont="1" applyBorder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8" fillId="0" borderId="0" xfId="0" applyFont="1" applyAlignment="1">
      <alignment/>
    </xf>
    <xf numFmtId="0" fontId="23" fillId="0" borderId="0" xfId="0" applyFont="1" applyAlignment="1">
      <alignment/>
    </xf>
    <xf numFmtId="0" fontId="90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1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9" fillId="15" borderId="14" xfId="0" applyFont="1" applyFill="1" applyBorder="1" applyAlignment="1">
      <alignment horizontal="center" vertical="center" wrapText="1"/>
    </xf>
    <xf numFmtId="0" fontId="92" fillId="3" borderId="8" xfId="0" applyFont="1" applyFill="1" applyBorder="1" applyAlignment="1" applyProtection="1">
      <alignment horizontal="centerContinuous" vertical="center" wrapText="1"/>
      <protection/>
    </xf>
    <xf numFmtId="0" fontId="93" fillId="3" borderId="15" xfId="0" applyFont="1" applyFill="1" applyBorder="1" applyAlignment="1">
      <alignment horizontal="centerContinuous"/>
    </xf>
    <xf numFmtId="0" fontId="92" fillId="3" borderId="9" xfId="0" applyFont="1" applyFill="1" applyBorder="1" applyAlignment="1">
      <alignment horizontal="centerContinuous" vertical="center"/>
    </xf>
    <xf numFmtId="0" fontId="43" fillId="16" borderId="8" xfId="0" applyFont="1" applyFill="1" applyBorder="1" applyAlignment="1">
      <alignment horizontal="centerContinuous" vertical="center" wrapText="1"/>
    </xf>
    <xf numFmtId="0" fontId="44" fillId="16" borderId="15" xfId="0" applyFont="1" applyFill="1" applyBorder="1" applyAlignment="1">
      <alignment horizontal="centerContinuous"/>
    </xf>
    <xf numFmtId="0" fontId="43" fillId="1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Continuous" vertical="center" wrapText="1"/>
    </xf>
    <xf numFmtId="0" fontId="43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4" fillId="2" borderId="17" xfId="0" applyNumberFormat="1" applyFont="1" applyFill="1" applyBorder="1" applyAlignment="1" applyProtection="1">
      <alignment horizontal="center"/>
      <protection/>
    </xf>
    <xf numFmtId="0" fontId="95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83" fillId="15" borderId="17" xfId="0" applyFont="1" applyFill="1" applyBorder="1" applyAlignment="1">
      <alignment horizontal="center"/>
    </xf>
    <xf numFmtId="168" fontId="96" fillId="3" borderId="33" xfId="0" applyNumberFormat="1" applyFont="1" applyFill="1" applyBorder="1" applyAlignment="1" applyProtection="1" quotePrefix="1">
      <alignment horizontal="center"/>
      <protection/>
    </xf>
    <xf numFmtId="168" fontId="96" fillId="3" borderId="55" xfId="0" applyNumberFormat="1" applyFont="1" applyFill="1" applyBorder="1" applyAlignment="1" applyProtection="1" quotePrefix="1">
      <alignment horizontal="center"/>
      <protection/>
    </xf>
    <xf numFmtId="4" fontId="96" fillId="3" borderId="56" xfId="0" applyNumberFormat="1" applyFont="1" applyFill="1" applyBorder="1" applyAlignment="1" applyProtection="1">
      <alignment horizontal="center"/>
      <protection/>
    </xf>
    <xf numFmtId="168" fontId="45" fillId="16" borderId="33" xfId="0" applyNumberFormat="1" applyFont="1" applyFill="1" applyBorder="1" applyAlignment="1" applyProtection="1" quotePrefix="1">
      <alignment horizontal="center"/>
      <protection/>
    </xf>
    <xf numFmtId="168" fontId="45" fillId="16" borderId="55" xfId="0" applyNumberFormat="1" applyFont="1" applyFill="1" applyBorder="1" applyAlignment="1" applyProtection="1" quotePrefix="1">
      <alignment horizontal="center"/>
      <protection/>
    </xf>
    <xf numFmtId="4" fontId="45" fillId="16" borderId="56" xfId="0" applyNumberFormat="1" applyFont="1" applyFill="1" applyBorder="1" applyAlignment="1" applyProtection="1">
      <alignment horizontal="center"/>
      <protection/>
    </xf>
    <xf numFmtId="4" fontId="45" fillId="9" borderId="17" xfId="0" applyNumberFormat="1" applyFont="1" applyFill="1" applyBorder="1" applyAlignment="1" applyProtection="1">
      <alignment horizontal="center"/>
      <protection/>
    </xf>
    <xf numFmtId="4" fontId="45" fillId="17" borderId="17" xfId="0" applyNumberFormat="1" applyFont="1" applyFill="1" applyBorder="1" applyAlignment="1" applyProtection="1">
      <alignment horizontal="center"/>
      <protection/>
    </xf>
    <xf numFmtId="0" fontId="7" fillId="0" borderId="56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4" fillId="2" borderId="2" xfId="0" applyFont="1" applyFill="1" applyBorder="1" applyAlignment="1" applyProtection="1">
      <alignment horizontal="center"/>
      <protection/>
    </xf>
    <xf numFmtId="168" fontId="95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83" fillId="15" borderId="2" xfId="0" applyNumberFormat="1" applyFont="1" applyFill="1" applyBorder="1" applyAlignment="1" applyProtection="1">
      <alignment horizontal="center"/>
      <protection/>
    </xf>
    <xf numFmtId="168" fontId="96" fillId="3" borderId="22" xfId="0" applyNumberFormat="1" applyFont="1" applyFill="1" applyBorder="1" applyAlignment="1" applyProtection="1" quotePrefix="1">
      <alignment horizontal="center"/>
      <protection/>
    </xf>
    <xf numFmtId="168" fontId="96" fillId="3" borderId="25" xfId="0" applyNumberFormat="1" applyFont="1" applyFill="1" applyBorder="1" applyAlignment="1" applyProtection="1" quotePrefix="1">
      <alignment horizontal="center"/>
      <protection/>
    </xf>
    <xf numFmtId="4" fontId="96" fillId="3" borderId="4" xfId="0" applyNumberFormat="1" applyFont="1" applyFill="1" applyBorder="1" applyAlignment="1" applyProtection="1">
      <alignment horizontal="center"/>
      <protection/>
    </xf>
    <xf numFmtId="168" fontId="45" fillId="16" borderId="22" xfId="0" applyNumberFormat="1" applyFont="1" applyFill="1" applyBorder="1" applyAlignment="1" applyProtection="1" quotePrefix="1">
      <alignment horizontal="center"/>
      <protection/>
    </xf>
    <xf numFmtId="168" fontId="45" fillId="16" borderId="25" xfId="0" applyNumberFormat="1" applyFont="1" applyFill="1" applyBorder="1" applyAlignment="1" applyProtection="1" quotePrefix="1">
      <alignment horizontal="center"/>
      <protection/>
    </xf>
    <xf numFmtId="4" fontId="45" fillId="16" borderId="4" xfId="0" applyNumberFormat="1" applyFont="1" applyFill="1" applyBorder="1" applyAlignment="1" applyProtection="1">
      <alignment horizontal="center"/>
      <protection/>
    </xf>
    <xf numFmtId="4" fontId="45" fillId="9" borderId="2" xfId="0" applyNumberFormat="1" applyFont="1" applyFill="1" applyBorder="1" applyAlignment="1" applyProtection="1">
      <alignment horizontal="center"/>
      <protection/>
    </xf>
    <xf numFmtId="4" fontId="45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7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4" fillId="2" borderId="3" xfId="0" applyNumberFormat="1" applyFont="1" applyFill="1" applyBorder="1" applyAlignment="1" applyProtection="1">
      <alignment horizontal="center"/>
      <protection/>
    </xf>
    <xf numFmtId="168" fontId="95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83" fillId="15" borderId="3" xfId="0" applyNumberFormat="1" applyFont="1" applyFill="1" applyBorder="1" applyAlignment="1" applyProtection="1">
      <alignment horizontal="center"/>
      <protection/>
    </xf>
    <xf numFmtId="168" fontId="96" fillId="3" borderId="26" xfId="0" applyNumberFormat="1" applyFont="1" applyFill="1" applyBorder="1" applyAlignment="1" applyProtection="1" quotePrefix="1">
      <alignment horizontal="center"/>
      <protection/>
    </xf>
    <xf numFmtId="168" fontId="96" fillId="3" borderId="57" xfId="0" applyNumberFormat="1" applyFont="1" applyFill="1" applyBorder="1" applyAlignment="1" applyProtection="1" quotePrefix="1">
      <alignment horizontal="center"/>
      <protection/>
    </xf>
    <xf numFmtId="4" fontId="96" fillId="3" borderId="20" xfId="0" applyNumberFormat="1" applyFont="1" applyFill="1" applyBorder="1" applyAlignment="1" applyProtection="1">
      <alignment horizontal="center"/>
      <protection/>
    </xf>
    <xf numFmtId="168" fontId="45" fillId="16" borderId="26" xfId="0" applyNumberFormat="1" applyFont="1" applyFill="1" applyBorder="1" applyAlignment="1" applyProtection="1" quotePrefix="1">
      <alignment horizontal="center"/>
      <protection/>
    </xf>
    <xf numFmtId="168" fontId="45" fillId="16" borderId="57" xfId="0" applyNumberFormat="1" applyFont="1" applyFill="1" applyBorder="1" applyAlignment="1" applyProtection="1" quotePrefix="1">
      <alignment horizontal="center"/>
      <protection/>
    </xf>
    <xf numFmtId="4" fontId="45" fillId="16" borderId="20" xfId="0" applyNumberFormat="1" applyFont="1" applyFill="1" applyBorder="1" applyAlignment="1" applyProtection="1">
      <alignment horizontal="center"/>
      <protection/>
    </xf>
    <xf numFmtId="4" fontId="45" fillId="9" borderId="3" xfId="0" applyNumberFormat="1" applyFont="1" applyFill="1" applyBorder="1" applyAlignment="1" applyProtection="1">
      <alignment horizontal="center"/>
      <protection/>
    </xf>
    <xf numFmtId="4" fontId="45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97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5" fillId="5" borderId="14" xfId="0" applyNumberFormat="1" applyFont="1" applyFill="1" applyBorder="1" applyAlignment="1" applyProtection="1">
      <alignment horizontal="center"/>
      <protection/>
    </xf>
    <xf numFmtId="2" fontId="80" fillId="15" borderId="14" xfId="0" applyNumberFormat="1" applyFont="1" applyFill="1" applyBorder="1" applyAlignment="1" applyProtection="1">
      <alignment horizontal="center"/>
      <protection/>
    </xf>
    <xf numFmtId="2" fontId="98" fillId="3" borderId="14" xfId="0" applyNumberFormat="1" applyFont="1" applyFill="1" applyBorder="1" applyAlignment="1" applyProtection="1">
      <alignment horizontal="center"/>
      <protection/>
    </xf>
    <xf numFmtId="2" fontId="95" fillId="16" borderId="14" xfId="0" applyNumberFormat="1" applyFont="1" applyFill="1" applyBorder="1" applyAlignment="1" applyProtection="1">
      <alignment horizontal="center"/>
      <protection/>
    </xf>
    <xf numFmtId="2" fontId="95" fillId="9" borderId="14" xfId="0" applyNumberFormat="1" applyFont="1" applyFill="1" applyBorder="1" applyAlignment="1" applyProtection="1">
      <alignment horizontal="center"/>
      <protection/>
    </xf>
    <xf numFmtId="2" fontId="95" fillId="17" borderId="1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5" fillId="0" borderId="15" xfId="0" applyNumberFormat="1" applyFont="1" applyFill="1" applyBorder="1" applyAlignment="1" applyProtection="1">
      <alignment horizontal="center"/>
      <protection/>
    </xf>
    <xf numFmtId="2" fontId="80" fillId="0" borderId="15" xfId="0" applyNumberFormat="1" applyFont="1" applyFill="1" applyBorder="1" applyAlignment="1" applyProtection="1">
      <alignment horizontal="center"/>
      <protection/>
    </xf>
    <xf numFmtId="2" fontId="98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9" borderId="14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 applyProtection="1">
      <alignment horizontal="centerContinuous" vertical="center" wrapText="1"/>
      <protection/>
    </xf>
    <xf numFmtId="0" fontId="43" fillId="14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8" borderId="58" xfId="0" applyFont="1" applyFill="1" applyBorder="1" applyAlignment="1">
      <alignment vertical="center" wrapText="1"/>
    </xf>
    <xf numFmtId="0" fontId="43" fillId="18" borderId="16" xfId="0" applyFont="1" applyFill="1" applyBorder="1" applyAlignment="1">
      <alignment vertical="center" wrapText="1"/>
    </xf>
    <xf numFmtId="0" fontId="43" fillId="18" borderId="3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9" fillId="2" borderId="2" xfId="0" applyFont="1" applyFill="1" applyBorder="1" applyAlignment="1">
      <alignment horizontal="center"/>
    </xf>
    <xf numFmtId="0" fontId="99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19" borderId="17" xfId="0" applyFont="1" applyFill="1" applyBorder="1" applyAlignment="1">
      <alignment horizontal="center"/>
    </xf>
    <xf numFmtId="0" fontId="46" fillId="14" borderId="33" xfId="0" applyFont="1" applyFill="1" applyBorder="1" applyAlignment="1">
      <alignment horizontal="center"/>
    </xf>
    <xf numFmtId="0" fontId="46" fillId="14" borderId="34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8" borderId="50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49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68" fontId="99" fillId="2" borderId="2" xfId="0" applyNumberFormat="1" applyFont="1" applyFill="1" applyBorder="1" applyAlignment="1" applyProtection="1">
      <alignment horizontal="center"/>
      <protection/>
    </xf>
    <xf numFmtId="168" fontId="99" fillId="18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5" fillId="19" borderId="2" xfId="0" applyNumberFormat="1" applyFont="1" applyFill="1" applyBorder="1" applyAlignment="1">
      <alignment horizontal="center"/>
    </xf>
    <xf numFmtId="168" fontId="45" fillId="14" borderId="38" xfId="0" applyNumberFormat="1" applyFont="1" applyFill="1" applyBorder="1" applyAlignment="1" applyProtection="1" quotePrefix="1">
      <alignment horizontal="center"/>
      <protection/>
    </xf>
    <xf numFmtId="168" fontId="45" fillId="14" borderId="39" xfId="0" applyNumberFormat="1" applyFont="1" applyFill="1" applyBorder="1" applyAlignment="1" applyProtection="1" quotePrefix="1">
      <alignment horizontal="center"/>
      <protection/>
    </xf>
    <xf numFmtId="168" fontId="45" fillId="18" borderId="50" xfId="0" applyNumberFormat="1" applyFont="1" applyFill="1" applyBorder="1" applyAlignment="1" applyProtection="1" quotePrefix="1">
      <alignment horizontal="center"/>
      <protection/>
    </xf>
    <xf numFmtId="168" fontId="45" fillId="18" borderId="0" xfId="0" applyNumberFormat="1" applyFont="1" applyFill="1" applyBorder="1" applyAlignment="1" applyProtection="1" quotePrefix="1">
      <alignment horizontal="center"/>
      <protection/>
    </xf>
    <xf numFmtId="168" fontId="45" fillId="18" borderId="49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99" fillId="2" borderId="3" xfId="0" applyNumberFormat="1" applyFont="1" applyFill="1" applyBorder="1" applyAlignment="1" applyProtection="1">
      <alignment horizontal="center"/>
      <protection/>
    </xf>
    <xf numFmtId="168" fontId="99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6" fillId="19" borderId="3" xfId="0" applyNumberFormat="1" applyFont="1" applyFill="1" applyBorder="1" applyAlignment="1">
      <alignment horizontal="center"/>
    </xf>
    <xf numFmtId="168" fontId="46" fillId="14" borderId="41" xfId="0" applyNumberFormat="1" applyFont="1" applyFill="1" applyBorder="1" applyAlignment="1" applyProtection="1" quotePrefix="1">
      <alignment horizontal="center"/>
      <protection/>
    </xf>
    <xf numFmtId="168" fontId="46" fillId="14" borderId="42" xfId="0" applyNumberFormat="1" applyFont="1" applyFill="1" applyBorder="1" applyAlignment="1" applyProtection="1" quotePrefix="1">
      <alignment horizontal="center"/>
      <protection/>
    </xf>
    <xf numFmtId="168" fontId="46" fillId="3" borderId="3" xfId="0" applyNumberFormat="1" applyFont="1" applyFill="1" applyBorder="1" applyAlignment="1" applyProtection="1" quotePrefix="1">
      <alignment horizontal="center"/>
      <protection/>
    </xf>
    <xf numFmtId="168" fontId="46" fillId="18" borderId="18" xfId="0" applyNumberFormat="1" applyFont="1" applyFill="1" applyBorder="1" applyAlignment="1" applyProtection="1" quotePrefix="1">
      <alignment horizontal="center"/>
      <protection/>
    </xf>
    <xf numFmtId="168" fontId="46" fillId="18" borderId="23" xfId="0" applyNumberFormat="1" applyFont="1" applyFill="1" applyBorder="1" applyAlignment="1" applyProtection="1" quotePrefix="1">
      <alignment horizontal="center"/>
      <protection/>
    </xf>
    <xf numFmtId="168" fontId="46" fillId="18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6" fillId="0" borderId="0" xfId="0" applyNumberFormat="1" applyFont="1" applyBorder="1" applyAlignment="1" applyProtection="1">
      <alignment horizontal="left"/>
      <protection/>
    </xf>
    <xf numFmtId="168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2" fontId="56" fillId="0" borderId="0" xfId="0" applyNumberFormat="1" applyFont="1" applyBorder="1" applyAlignment="1" applyProtection="1">
      <alignment horizontal="center"/>
      <protection/>
    </xf>
    <xf numFmtId="168" fontId="56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0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1" fillId="0" borderId="0" xfId="0" applyNumberFormat="1" applyFont="1" applyBorder="1" applyAlignment="1" applyProtection="1">
      <alignment horizontal="center"/>
      <protection/>
    </xf>
    <xf numFmtId="168" fontId="97" fillId="0" borderId="0" xfId="0" applyNumberFormat="1" applyFont="1" applyBorder="1" applyAlignment="1" applyProtection="1" quotePrefix="1">
      <alignment horizontal="center"/>
      <protection/>
    </xf>
    <xf numFmtId="4" fontId="97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6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6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2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168" fontId="104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6" fillId="0" borderId="0" xfId="0" applyNumberFormat="1" applyFont="1" applyBorder="1" applyAlignment="1" applyProtection="1">
      <alignment horizontal="center"/>
      <protection/>
    </xf>
    <xf numFmtId="7" fontId="56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6" fillId="0" borderId="47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74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74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5" fillId="0" borderId="23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98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5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/>
    </xf>
    <xf numFmtId="2" fontId="79" fillId="11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70" xfId="0" applyNumberFormat="1" applyFont="1" applyBorder="1" applyAlignment="1" applyProtection="1">
      <alignment horizontal="center"/>
      <protection/>
    </xf>
    <xf numFmtId="164" fontId="46" fillId="4" borderId="40" xfId="0" applyNumberFormat="1" applyFont="1" applyFill="1" applyBorder="1" applyAlignment="1" applyProtection="1">
      <alignment horizontal="center"/>
      <protection/>
    </xf>
    <xf numFmtId="2" fontId="79" fillId="11" borderId="40" xfId="0" applyNumberFormat="1" applyFont="1" applyFill="1" applyBorder="1" applyAlignment="1">
      <alignment horizontal="center"/>
    </xf>
    <xf numFmtId="168" fontId="66" fillId="6" borderId="41" xfId="0" applyNumberFormat="1" applyFont="1" applyFill="1" applyBorder="1" applyAlignment="1" applyProtection="1" quotePrefix="1">
      <alignment horizontal="center"/>
      <protection/>
    </xf>
    <xf numFmtId="168" fontId="66" fillId="6" borderId="42" xfId="0" applyNumberFormat="1" applyFont="1" applyFill="1" applyBorder="1" applyAlignment="1" applyProtection="1" quotePrefix="1">
      <alignment horizontal="center"/>
      <protection/>
    </xf>
    <xf numFmtId="168" fontId="45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4" fillId="20" borderId="14" xfId="0" applyNumberFormat="1" applyFont="1" applyFill="1" applyBorder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horizontal="center" vertical="center"/>
      <protection/>
    </xf>
    <xf numFmtId="0" fontId="64" fillId="6" borderId="14" xfId="0" applyFont="1" applyFill="1" applyBorder="1" applyAlignment="1">
      <alignment horizontal="center" vertical="center" wrapText="1"/>
    </xf>
    <xf numFmtId="0" fontId="50" fillId="21" borderId="8" xfId="0" applyFont="1" applyFill="1" applyBorder="1" applyAlignment="1">
      <alignment horizontal="centerContinuous" vertical="center" wrapText="1"/>
    </xf>
    <xf numFmtId="0" fontId="105" fillId="21" borderId="15" xfId="0" applyFont="1" applyFill="1" applyBorder="1" applyAlignment="1">
      <alignment horizontal="centerContinuous"/>
    </xf>
    <xf numFmtId="0" fontId="50" fillId="21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7" fillId="20" borderId="2" xfId="0" applyFont="1" applyFill="1" applyBorder="1" applyAlignment="1">
      <alignment/>
    </xf>
    <xf numFmtId="0" fontId="61" fillId="4" borderId="2" xfId="0" applyFont="1" applyFill="1" applyBorder="1" applyAlignment="1">
      <alignment/>
    </xf>
    <xf numFmtId="0" fontId="106" fillId="3" borderId="2" xfId="0" applyFont="1" applyFill="1" applyBorder="1" applyAlignment="1">
      <alignment/>
    </xf>
    <xf numFmtId="0" fontId="65" fillId="6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7" fillId="21" borderId="22" xfId="0" applyNumberFormat="1" applyFont="1" applyFill="1" applyBorder="1" applyAlignment="1" applyProtection="1" quotePrefix="1">
      <alignment horizontal="center"/>
      <protection/>
    </xf>
    <xf numFmtId="168" fontId="107" fillId="21" borderId="25" xfId="0" applyNumberFormat="1" applyFont="1" applyFill="1" applyBorder="1" applyAlignment="1" applyProtection="1" quotePrefix="1">
      <alignment horizontal="center"/>
      <protection/>
    </xf>
    <xf numFmtId="4" fontId="107" fillId="21" borderId="4" xfId="0" applyNumberFormat="1" applyFont="1" applyFill="1" applyBorder="1" applyAlignment="1" applyProtection="1">
      <alignment horizontal="center"/>
      <protection/>
    </xf>
    <xf numFmtId="0" fontId="87" fillId="20" borderId="2" xfId="0" applyFont="1" applyFill="1" applyBorder="1" applyAlignment="1" applyProtection="1">
      <alignment horizontal="center"/>
      <protection/>
    </xf>
    <xf numFmtId="174" fontId="61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6" fillId="6" borderId="4" xfId="0" applyNumberFormat="1" applyFont="1" applyFill="1" applyBorder="1" applyAlignment="1" applyProtection="1">
      <alignment horizontal="center"/>
      <protection locked="0"/>
    </xf>
    <xf numFmtId="168" fontId="51" fillId="21" borderId="22" xfId="0" applyNumberFormat="1" applyFont="1" applyFill="1" applyBorder="1" applyAlignment="1" applyProtection="1" quotePrefix="1">
      <alignment horizontal="center"/>
      <protection locked="0"/>
    </xf>
    <xf numFmtId="168" fontId="51" fillId="21" borderId="25" xfId="0" applyNumberFormat="1" applyFont="1" applyFill="1" applyBorder="1" applyAlignment="1" applyProtection="1" quotePrefix="1">
      <alignment horizontal="center"/>
      <protection locked="0"/>
    </xf>
    <xf numFmtId="4" fontId="51" fillId="21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5" applyFont="1" applyFill="1" applyBorder="1" applyAlignment="1" applyProtection="1">
      <alignment horizontal="center"/>
      <protection locked="0"/>
    </xf>
    <xf numFmtId="164" fontId="7" fillId="0" borderId="2" xfId="25" applyNumberFormat="1" applyFont="1" applyFill="1" applyBorder="1" applyAlignment="1" applyProtection="1">
      <alignment horizontal="center"/>
      <protection locked="0"/>
    </xf>
    <xf numFmtId="22" fontId="7" fillId="0" borderId="4" xfId="25" applyNumberFormat="1" applyFont="1" applyFill="1" applyBorder="1" applyAlignment="1" applyProtection="1">
      <alignment horizontal="center"/>
      <protection locked="0"/>
    </xf>
    <xf numFmtId="22" fontId="7" fillId="0" borderId="21" xfId="25" applyNumberFormat="1" applyFont="1" applyFill="1" applyBorder="1" applyAlignment="1" applyProtection="1">
      <alignment horizontal="center"/>
      <protection locked="0"/>
    </xf>
    <xf numFmtId="0" fontId="87" fillId="20" borderId="3" xfId="0" applyFont="1" applyFill="1" applyBorder="1" applyAlignment="1" applyProtection="1">
      <alignment horizontal="center"/>
      <protection/>
    </xf>
    <xf numFmtId="174" fontId="61" fillId="4" borderId="3" xfId="0" applyNumberFormat="1" applyFont="1" applyFill="1" applyBorder="1" applyAlignment="1" applyProtection="1">
      <alignment horizontal="center"/>
      <protection/>
    </xf>
    <xf numFmtId="2" fontId="106" fillId="3" borderId="3" xfId="0" applyNumberFormat="1" applyFont="1" applyFill="1" applyBorder="1" applyAlignment="1" applyProtection="1">
      <alignment horizontal="center"/>
      <protection locked="0"/>
    </xf>
    <xf numFmtId="2" fontId="66" fillId="6" borderId="3" xfId="0" applyNumberFormat="1" applyFont="1" applyFill="1" applyBorder="1" applyAlignment="1" applyProtection="1">
      <alignment horizontal="center"/>
      <protection locked="0"/>
    </xf>
    <xf numFmtId="168" fontId="51" fillId="21" borderId="26" xfId="0" applyNumberFormat="1" applyFont="1" applyFill="1" applyBorder="1" applyAlignment="1" applyProtection="1" quotePrefix="1">
      <alignment horizontal="center"/>
      <protection locked="0"/>
    </xf>
    <xf numFmtId="168" fontId="51" fillId="21" borderId="27" xfId="0" applyNumberFormat="1" applyFont="1" applyFill="1" applyBorder="1" applyAlignment="1" applyProtection="1" quotePrefix="1">
      <alignment horizontal="center"/>
      <protection locked="0"/>
    </xf>
    <xf numFmtId="4" fontId="51" fillId="21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1" fillId="21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22" applyFont="1" applyFill="1" applyAlignment="1">
      <alignment/>
      <protection/>
    </xf>
    <xf numFmtId="0" fontId="0" fillId="0" borderId="65" xfId="0" applyFont="1" applyBorder="1" applyAlignment="1">
      <alignment/>
    </xf>
    <xf numFmtId="0" fontId="0" fillId="2" borderId="6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06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7" fillId="0" borderId="33" xfId="0" applyFont="1" applyFill="1" applyBorder="1" applyAlignment="1">
      <alignment/>
    </xf>
    <xf numFmtId="0" fontId="107" fillId="0" borderId="72" xfId="0" applyFont="1" applyFill="1" applyBorder="1" applyAlignment="1">
      <alignment/>
    </xf>
    <xf numFmtId="0" fontId="107" fillId="0" borderId="34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0" fillId="0" borderId="65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5" xfId="0" applyFont="1" applyBorder="1" applyAlignment="1">
      <alignment/>
    </xf>
    <xf numFmtId="0" fontId="39" fillId="0" borderId="65" xfId="0" applyFont="1" applyFill="1" applyBorder="1" applyAlignment="1">
      <alignment/>
    </xf>
    <xf numFmtId="0" fontId="39" fillId="0" borderId="73" xfId="0" applyFont="1" applyBorder="1" applyAlignment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5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/>
    </xf>
    <xf numFmtId="0" fontId="0" fillId="2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108" fillId="0" borderId="65" xfId="0" applyFont="1" applyBorder="1" applyAlignment="1">
      <alignment/>
    </xf>
    <xf numFmtId="0" fontId="108" fillId="0" borderId="73" xfId="0" applyFont="1" applyBorder="1" applyAlignment="1">
      <alignment/>
    </xf>
    <xf numFmtId="0" fontId="109" fillId="0" borderId="65" xfId="0" applyFont="1" applyBorder="1" applyAlignment="1">
      <alignment/>
    </xf>
    <xf numFmtId="0" fontId="109" fillId="0" borderId="73" xfId="0" applyFont="1" applyBorder="1" applyAlignment="1">
      <alignment/>
    </xf>
    <xf numFmtId="0" fontId="110" fillId="0" borderId="65" xfId="0" applyFont="1" applyBorder="1" applyAlignment="1">
      <alignment/>
    </xf>
    <xf numFmtId="0" fontId="110" fillId="0" borderId="65" xfId="0" applyFont="1" applyFill="1" applyBorder="1" applyAlignment="1">
      <alignment/>
    </xf>
    <xf numFmtId="0" fontId="109" fillId="0" borderId="65" xfId="0" applyFont="1" applyFill="1" applyBorder="1" applyAlignment="1">
      <alignment/>
    </xf>
    <xf numFmtId="0" fontId="74" fillId="0" borderId="0" xfId="0" applyFont="1" applyBorder="1" applyAlignment="1">
      <alignment/>
    </xf>
    <xf numFmtId="0" fontId="111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3" fillId="23" borderId="14" xfId="0" applyFont="1" applyFill="1" applyBorder="1" applyAlignment="1">
      <alignment vertical="center" wrapText="1"/>
    </xf>
    <xf numFmtId="0" fontId="46" fillId="23" borderId="17" xfId="0" applyFont="1" applyFill="1" applyBorder="1" applyAlignment="1">
      <alignment horizontal="left"/>
    </xf>
    <xf numFmtId="2" fontId="45" fillId="23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7" fillId="0" borderId="16" xfId="0" applyNumberFormat="1" applyFont="1" applyFill="1" applyBorder="1" applyAlignment="1" applyProtection="1">
      <alignment horizontal="center"/>
      <protection/>
    </xf>
    <xf numFmtId="2" fontId="62" fillId="0" borderId="16" xfId="0" applyNumberFormat="1" applyFont="1" applyFill="1" applyBorder="1" applyAlignment="1">
      <alignment horizontal="center"/>
    </xf>
    <xf numFmtId="168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5" fillId="23" borderId="40" xfId="0" applyNumberFormat="1" applyFont="1" applyFill="1" applyBorder="1" applyAlignment="1">
      <alignment horizontal="center"/>
    </xf>
    <xf numFmtId="0" fontId="114" fillId="0" borderId="0" xfId="22" applyFont="1" applyFill="1" applyAlignment="1">
      <alignment/>
      <protection/>
    </xf>
    <xf numFmtId="168" fontId="79" fillId="11" borderId="39" xfId="0" applyNumberFormat="1" applyFont="1" applyFill="1" applyBorder="1" applyAlignment="1" applyProtection="1">
      <alignment horizontal="center"/>
      <protection/>
    </xf>
    <xf numFmtId="4" fontId="51" fillId="6" borderId="31" xfId="0" applyNumberFormat="1" applyFont="1" applyFill="1" applyBorder="1" applyAlignment="1">
      <alignment horizontal="center"/>
    </xf>
    <xf numFmtId="7" fontId="29" fillId="0" borderId="31" xfId="0" applyNumberFormat="1" applyFont="1" applyFill="1" applyBorder="1" applyAlignment="1">
      <alignment horizontal="right"/>
    </xf>
    <xf numFmtId="0" fontId="115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Alignment="1">
      <alignment horizontal="centerContinuous"/>
    </xf>
    <xf numFmtId="0" fontId="117" fillId="0" borderId="0" xfId="0" applyFont="1" applyAlignment="1">
      <alignment horizontal="centerContinuous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118" fillId="0" borderId="7" xfId="0" applyFont="1" applyBorder="1" applyAlignment="1">
      <alignment vertical="center"/>
    </xf>
    <xf numFmtId="0" fontId="118" fillId="0" borderId="21" xfId="0" applyFont="1" applyBorder="1" applyAlignment="1">
      <alignment vertical="center"/>
    </xf>
    <xf numFmtId="0" fontId="118" fillId="0" borderId="2" xfId="0" applyFont="1" applyBorder="1" applyAlignment="1">
      <alignment vertical="center"/>
    </xf>
    <xf numFmtId="0" fontId="118" fillId="24" borderId="2" xfId="0" applyFont="1" applyFill="1" applyBorder="1" applyAlignment="1">
      <alignment vertical="center"/>
    </xf>
    <xf numFmtId="0" fontId="118" fillId="0" borderId="31" xfId="0" applyFont="1" applyBorder="1" applyAlignment="1">
      <alignment vertical="center"/>
    </xf>
    <xf numFmtId="0" fontId="118" fillId="0" borderId="1" xfId="0" applyFont="1" applyBorder="1" applyAlignment="1">
      <alignment vertical="center"/>
    </xf>
    <xf numFmtId="0" fontId="118" fillId="1" borderId="22" xfId="0" applyFont="1" applyFill="1" applyBorder="1" applyAlignment="1">
      <alignment horizontal="center" vertical="center"/>
    </xf>
    <xf numFmtId="0" fontId="118" fillId="1" borderId="2" xfId="0" applyFont="1" applyFill="1" applyBorder="1" applyAlignment="1">
      <alignment horizontal="center" vertical="center"/>
    </xf>
    <xf numFmtId="0" fontId="118" fillId="24" borderId="19" xfId="0" applyFont="1" applyFill="1" applyBorder="1" applyAlignment="1">
      <alignment horizontal="center" vertical="center"/>
    </xf>
    <xf numFmtId="0" fontId="118" fillId="0" borderId="46" xfId="0" applyFont="1" applyBorder="1" applyAlignment="1">
      <alignment vertical="center"/>
    </xf>
    <xf numFmtId="0" fontId="118" fillId="0" borderId="38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18" fillId="1" borderId="38" xfId="0" applyFont="1" applyFill="1" applyBorder="1" applyAlignment="1">
      <alignment horizontal="center" vertical="center"/>
    </xf>
    <xf numFmtId="0" fontId="118" fillId="1" borderId="19" xfId="0" applyFont="1" applyFill="1" applyBorder="1" applyAlignment="1">
      <alignment horizontal="center" vertical="center"/>
    </xf>
    <xf numFmtId="0" fontId="118" fillId="0" borderId="41" xfId="0" applyFont="1" applyBorder="1" applyAlignment="1">
      <alignment horizontal="center" vertical="center"/>
    </xf>
    <xf numFmtId="0" fontId="118" fillId="0" borderId="40" xfId="0" applyFont="1" applyBorder="1" applyAlignment="1">
      <alignment horizontal="center" vertical="center"/>
    </xf>
    <xf numFmtId="0" fontId="118" fillId="24" borderId="4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right" vertical="center"/>
    </xf>
    <xf numFmtId="170" fontId="119" fillId="0" borderId="14" xfId="0" applyNumberFormat="1" applyFont="1" applyFill="1" applyBorder="1" applyAlignment="1">
      <alignment horizontal="center" vertical="center"/>
    </xf>
    <xf numFmtId="0" fontId="118" fillId="0" borderId="8" xfId="0" applyFont="1" applyFill="1" applyBorder="1" applyAlignment="1">
      <alignment horizontal="center" vertical="center"/>
    </xf>
    <xf numFmtId="0" fontId="118" fillId="0" borderId="15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vertical="center"/>
    </xf>
    <xf numFmtId="0" fontId="118" fillId="0" borderId="0" xfId="0" applyFont="1" applyBorder="1" applyAlignment="1">
      <alignment horizontal="right" vertical="center"/>
    </xf>
    <xf numFmtId="0" fontId="119" fillId="0" borderId="0" xfId="0" applyFont="1" applyBorder="1" applyAlignment="1">
      <alignment horizontal="right" vertical="center"/>
    </xf>
    <xf numFmtId="0" fontId="118" fillId="0" borderId="14" xfId="0" applyFont="1" applyBorder="1" applyAlignment="1">
      <alignment horizontal="center" vertical="center"/>
    </xf>
    <xf numFmtId="2" fontId="119" fillId="24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0" fillId="24" borderId="60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168" fontId="111" fillId="0" borderId="0" xfId="0" applyNumberFormat="1" applyFont="1" applyBorder="1" applyAlignment="1" applyProtection="1">
      <alignment horizontal="left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64" fontId="7" fillId="0" borderId="51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165" fontId="7" fillId="0" borderId="51" xfId="0" applyNumberFormat="1" applyFont="1" applyBorder="1" applyAlignment="1" applyProtection="1">
      <alignment horizontal="center"/>
      <protection/>
    </xf>
    <xf numFmtId="165" fontId="7" fillId="0" borderId="37" xfId="0" applyNumberFormat="1" applyFont="1" applyBorder="1" applyAlignment="1" applyProtection="1">
      <alignment horizontal="center"/>
      <protection/>
    </xf>
    <xf numFmtId="164" fontId="7" fillId="0" borderId="70" xfId="0" applyNumberFormat="1" applyFont="1" applyBorder="1" applyAlignment="1" applyProtection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7" fontId="10" fillId="0" borderId="47" xfId="0" applyNumberFormat="1" applyFont="1" applyFill="1" applyBorder="1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TRAN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1108NER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T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T54" t="str">
            <v>XXXX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T57" t="str">
            <v>XXXX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T61">
            <v>1</v>
          </cell>
          <cell r="FU61">
            <v>1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T65">
            <v>1</v>
          </cell>
          <cell r="FV65">
            <v>1</v>
          </cell>
          <cell r="FX65">
            <v>1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  <cell r="GD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T87" t="str">
            <v>XXXX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T100">
            <v>0.37</v>
          </cell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1108"/>
      <sheetName val="LI-11 (1)"/>
      <sheetName val="LI-11 (2)"/>
      <sheetName val="Incendio"/>
      <sheetName val="TR-11 (1)"/>
      <sheetName val="TR-11 (2)"/>
      <sheetName val="T4CH - Nota SE N° 2492"/>
      <sheetName val="SA-11 (1)"/>
      <sheetName val="SA-11 (2)"/>
      <sheetName val="RE-11 (1)"/>
      <sheetName val="RE-11 (2)"/>
      <sheetName val="RE-IV-11 (1)"/>
      <sheetName val="RE-LITSA-11 (1)"/>
      <sheetName val="SA-TIBA-11 (1)"/>
      <sheetName val="TR-ENECOR-11 (1)"/>
      <sheetName val="RE-Res.01_03"/>
      <sheetName val="SUP-LITSA"/>
      <sheetName val="SUP-TIBA"/>
      <sheetName val="SUP-ENECOR"/>
      <sheetName val="TASA FALL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8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905"/>
      <c r="B1" s="19"/>
      <c r="E1" s="54"/>
      <c r="K1" s="146"/>
    </row>
    <row r="2" spans="2:10" s="18" customFormat="1" ht="26.25">
      <c r="B2" s="19" t="s">
        <v>389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3"/>
      <c r="D7" s="174"/>
      <c r="E7" s="174"/>
      <c r="F7" s="175"/>
      <c r="G7" s="175"/>
      <c r="H7" s="175"/>
      <c r="I7" s="175"/>
      <c r="J7" s="175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3"/>
      <c r="D9" s="174"/>
      <c r="E9" s="174"/>
      <c r="F9" s="174"/>
      <c r="G9" s="174"/>
      <c r="H9" s="174"/>
      <c r="I9" s="175"/>
      <c r="J9" s="175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388</v>
      </c>
      <c r="C11" s="176"/>
      <c r="D11" s="177"/>
      <c r="E11" s="177"/>
      <c r="F11" s="174"/>
      <c r="G11" s="174"/>
      <c r="H11" s="174"/>
      <c r="I11" s="175"/>
      <c r="J11" s="175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78"/>
      <c r="C13" s="34"/>
      <c r="D13" s="34"/>
      <c r="E13" s="879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273</v>
      </c>
      <c r="C14" s="38"/>
      <c r="D14" s="39"/>
      <c r="E14" s="880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7"/>
      <c r="E15" s="17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7" t="s">
        <v>0</v>
      </c>
      <c r="E16" s="17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7">
        <v>11</v>
      </c>
      <c r="E17" s="168" t="s">
        <v>5</v>
      </c>
      <c r="F17" s="46"/>
      <c r="G17" s="46"/>
      <c r="H17" s="46"/>
      <c r="I17" s="49">
        <f>'LI-12 (1)'!AC43</f>
        <v>134096.24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7">
        <v>14</v>
      </c>
      <c r="E18" s="168" t="s">
        <v>227</v>
      </c>
      <c r="F18" s="46"/>
      <c r="G18" s="46"/>
      <c r="H18" s="46"/>
      <c r="I18" s="49">
        <f>'LI-IV-12 (1)'!AC43</f>
        <v>70752.68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7"/>
      <c r="E19" s="881"/>
      <c r="F19" s="52"/>
      <c r="G19" s="52"/>
      <c r="H19" s="52"/>
      <c r="I19" s="5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6</v>
      </c>
      <c r="D20" s="170" t="s">
        <v>7</v>
      </c>
      <c r="E20" s="171"/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7">
        <v>21</v>
      </c>
      <c r="E21" s="168" t="s">
        <v>8</v>
      </c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7"/>
      <c r="E22" s="169">
        <v>211</v>
      </c>
      <c r="F22" s="54" t="s">
        <v>5</v>
      </c>
      <c r="G22" s="46"/>
      <c r="H22" s="46"/>
      <c r="I22" s="49">
        <f>'TR-12 (1)'!AA42</f>
        <v>12537.98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7"/>
      <c r="E23" s="169" t="s">
        <v>380</v>
      </c>
      <c r="F23" s="54" t="s">
        <v>381</v>
      </c>
      <c r="G23" s="46"/>
      <c r="H23" s="46"/>
      <c r="I23" s="49">
        <f>+'T4CH - Nota SE N° 2492'!AA43</f>
        <v>71200.8</v>
      </c>
      <c r="J23" s="6" t="s">
        <v>386</v>
      </c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7"/>
      <c r="E24" s="169">
        <v>214</v>
      </c>
      <c r="F24" s="54" t="s">
        <v>65</v>
      </c>
      <c r="G24" s="46"/>
      <c r="H24" s="46"/>
      <c r="I24" s="49">
        <f>'TR-ENECOR-12 (1)'!AA41</f>
        <v>19943.88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7">
        <v>22</v>
      </c>
      <c r="E25" s="168" t="s">
        <v>9</v>
      </c>
      <c r="F25" s="46"/>
      <c r="G25" s="46"/>
      <c r="H25" s="46"/>
      <c r="I25" s="49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7"/>
      <c r="E26" s="169">
        <v>221</v>
      </c>
      <c r="F26" s="54" t="s">
        <v>5</v>
      </c>
      <c r="G26" s="46"/>
      <c r="H26" s="46"/>
      <c r="I26" s="49">
        <f>'SA-12 (1)'!T45</f>
        <v>349530.27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7"/>
      <c r="E27" s="169">
        <v>222</v>
      </c>
      <c r="F27" s="54" t="s">
        <v>69</v>
      </c>
      <c r="G27" s="46"/>
      <c r="H27" s="46"/>
      <c r="I27" s="49">
        <f>'SA-TIBA-12 (1)'!T43</f>
        <v>4299.99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ht="12.75" customHeight="1">
      <c r="B28" s="50"/>
      <c r="C28" s="51"/>
      <c r="D28" s="167"/>
      <c r="E28" s="881"/>
      <c r="F28" s="52"/>
      <c r="G28" s="52"/>
      <c r="H28" s="52"/>
      <c r="I28" s="53"/>
      <c r="J28" s="6"/>
      <c r="K28" s="43"/>
      <c r="L28" s="4"/>
      <c r="M28" s="4"/>
      <c r="N28" s="4"/>
      <c r="O28" s="4"/>
      <c r="P28" s="4"/>
      <c r="Q28" s="4"/>
      <c r="R28" s="4"/>
      <c r="S28" s="4"/>
    </row>
    <row r="29" spans="2:19" s="36" customFormat="1" ht="19.5">
      <c r="B29" s="44"/>
      <c r="C29" s="48" t="s">
        <v>10</v>
      </c>
      <c r="D29" s="170" t="s">
        <v>66</v>
      </c>
      <c r="E29" s="171"/>
      <c r="F29" s="46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67">
        <v>31</v>
      </c>
      <c r="E30" s="168" t="s">
        <v>5</v>
      </c>
      <c r="F30" s="46"/>
      <c r="G30" s="46"/>
      <c r="H30" s="46"/>
      <c r="I30" s="49">
        <f>'RE-12 (2)'!X43</f>
        <v>72518.46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67">
        <v>33</v>
      </c>
      <c r="E31" s="168" t="s">
        <v>263</v>
      </c>
      <c r="F31" s="46"/>
      <c r="G31" s="46"/>
      <c r="H31" s="46"/>
      <c r="I31" s="49">
        <f>'RE-LITSA-12 (1)'!V45</f>
        <v>433.94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2.75" customHeight="1">
      <c r="B32" s="44"/>
      <c r="C32" s="48"/>
      <c r="D32" s="167"/>
      <c r="E32" s="168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 t="s">
        <v>67</v>
      </c>
      <c r="D33" s="170" t="s">
        <v>68</v>
      </c>
      <c r="E33" s="171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67">
        <v>42</v>
      </c>
      <c r="E34" s="168" t="s">
        <v>64</v>
      </c>
      <c r="F34" s="46"/>
      <c r="G34" s="46"/>
      <c r="H34" s="46"/>
      <c r="I34" s="49">
        <f>'SUP-LITSA'!K74</f>
        <v>226.00512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167">
        <v>43</v>
      </c>
      <c r="E35" s="168" t="s">
        <v>69</v>
      </c>
      <c r="F35" s="46"/>
      <c r="G35" s="46"/>
      <c r="H35" s="46"/>
      <c r="I35" s="49">
        <f>'SUP-TIBA'!J73</f>
        <v>1070.3025020365603</v>
      </c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67">
        <v>44</v>
      </c>
      <c r="E36" s="168" t="s">
        <v>65</v>
      </c>
      <c r="F36" s="46"/>
      <c r="G36" s="46"/>
      <c r="H36" s="46"/>
      <c r="I36" s="49">
        <f>'SUP-ENECOR'!J59</f>
        <v>4985.97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5.25" customHeight="1">
      <c r="B37" s="44"/>
      <c r="C37" s="48"/>
      <c r="D37" s="167"/>
      <c r="E37" s="168"/>
      <c r="F37" s="46"/>
      <c r="G37" s="46"/>
      <c r="H37" s="930"/>
      <c r="I37" s="49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20.25" thickBot="1">
      <c r="B38" s="44"/>
      <c r="C38" s="45"/>
      <c r="D38" s="167"/>
      <c r="E38" s="171"/>
      <c r="F38" s="46"/>
      <c r="G38" s="46"/>
      <c r="H38" s="46"/>
      <c r="I38" s="43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20.25" thickBot="1" thickTop="1">
      <c r="B39" s="44"/>
      <c r="C39" s="48"/>
      <c r="D39" s="48"/>
      <c r="F39" s="55" t="s">
        <v>11</v>
      </c>
      <c r="G39" s="56">
        <f>SUM(I16:I37)</f>
        <v>741596.5176220365</v>
      </c>
      <c r="H39" s="126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9.75" customHeight="1" thickTop="1">
      <c r="B40" s="44"/>
      <c r="C40" s="48"/>
      <c r="D40" s="48"/>
      <c r="F40" s="166"/>
      <c r="G40" s="126"/>
      <c r="H40" s="126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 customHeight="1">
      <c r="B41" s="44"/>
      <c r="C41" s="172" t="s">
        <v>382</v>
      </c>
      <c r="D41" s="48"/>
      <c r="F41" s="166"/>
      <c r="G41" s="126"/>
      <c r="H41" s="126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0.5" customHeight="1">
      <c r="B42" s="44"/>
      <c r="C42" s="48"/>
      <c r="D42" s="48"/>
      <c r="F42" s="166"/>
      <c r="G42" s="126"/>
      <c r="H42" s="126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8.75">
      <c r="B43" s="44"/>
      <c r="C43" s="172" t="s">
        <v>365</v>
      </c>
      <c r="D43" s="48"/>
      <c r="F43" s="166"/>
      <c r="G43" s="126"/>
      <c r="H43" s="126"/>
      <c r="I43" s="931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2" customFormat="1" ht="10.5" customHeight="1" thickBot="1">
      <c r="B44" s="57"/>
      <c r="C44" s="58"/>
      <c r="D44" s="58"/>
      <c r="E44" s="59"/>
      <c r="F44" s="59"/>
      <c r="G44" s="59"/>
      <c r="H44" s="59"/>
      <c r="I44" s="59"/>
      <c r="J44" s="60"/>
      <c r="K44" s="33"/>
      <c r="L44" s="33"/>
      <c r="M44" s="61"/>
      <c r="N44" s="62"/>
      <c r="O44" s="62"/>
      <c r="P44" s="63"/>
      <c r="Q44" s="64"/>
      <c r="R44" s="33"/>
      <c r="S44" s="33"/>
    </row>
    <row r="45" spans="4:19" ht="13.5" thickTop="1">
      <c r="D45" s="4"/>
      <c r="F45" s="4"/>
      <c r="G45" s="4"/>
      <c r="H45" s="4"/>
      <c r="I45" s="4"/>
      <c r="J45" s="4"/>
      <c r="K45" s="4"/>
      <c r="L45" s="4"/>
      <c r="M45" s="15"/>
      <c r="N45" s="65"/>
      <c r="O45" s="65"/>
      <c r="P45" s="4"/>
      <c r="Q45" s="66"/>
      <c r="R45" s="4"/>
      <c r="S45" s="4"/>
    </row>
    <row r="46" spans="4:19" ht="12.75">
      <c r="D46" s="4"/>
      <c r="F46" s="4"/>
      <c r="G46" s="4"/>
      <c r="H46" s="4"/>
      <c r="I46" s="4"/>
      <c r="J46" s="4"/>
      <c r="K46" s="4"/>
      <c r="L46" s="4"/>
      <c r="M46" s="4"/>
      <c r="N46" s="67"/>
      <c r="O46" s="67"/>
      <c r="P46" s="68"/>
      <c r="Q46" s="66"/>
      <c r="R46" s="4"/>
      <c r="S46" s="4"/>
    </row>
    <row r="47" spans="4:19" ht="12.75">
      <c r="D47" s="4"/>
      <c r="E47" s="4"/>
      <c r="F47" s="4"/>
      <c r="G47" s="4"/>
      <c r="H47" s="4"/>
      <c r="I47" s="4"/>
      <c r="J47" s="4"/>
      <c r="K47" s="4"/>
      <c r="L47" s="4"/>
      <c r="M47" s="4"/>
      <c r="N47" s="67"/>
      <c r="O47" s="67"/>
      <c r="P47" s="68"/>
      <c r="Q47" s="66"/>
      <c r="R47" s="4"/>
      <c r="S47" s="4"/>
    </row>
    <row r="48" spans="4:19" ht="12.75">
      <c r="D48" s="4"/>
      <c r="E48" s="4"/>
      <c r="L48" s="4"/>
      <c r="M48" s="4"/>
      <c r="N48" s="4"/>
      <c r="O48" s="4"/>
      <c r="P48" s="4"/>
      <c r="Q48" s="4"/>
      <c r="R48" s="4"/>
      <c r="S48" s="4"/>
    </row>
    <row r="49" spans="4:19" ht="12.75">
      <c r="D49" s="4"/>
      <c r="E49" s="4"/>
      <c r="P49" s="4"/>
      <c r="Q49" s="4"/>
      <c r="R49" s="4"/>
      <c r="S49" s="4"/>
    </row>
    <row r="50" spans="4:19" ht="12.75">
      <c r="D50" s="4"/>
      <c r="E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16:19" ht="12.75">
      <c r="P54" s="4"/>
      <c r="Q54" s="4"/>
      <c r="R54" s="4"/>
      <c r="S54" s="4"/>
    </row>
    <row r="55" spans="16:19" ht="12.75">
      <c r="P55" s="4"/>
      <c r="Q55" s="4"/>
      <c r="R55" s="4"/>
      <c r="S55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W157"/>
  <sheetViews>
    <sheetView zoomScale="75" zoomScaleNormal="75" workbookViewId="0" topLeftCell="B9">
      <selection activeCell="K23" sqref="K2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+'TOT-1208'!B2</f>
        <v>ANEXO I al Memorándum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70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33" customFormat="1" ht="33" customHeight="1">
      <c r="B10" s="934"/>
      <c r="C10" s="932"/>
      <c r="D10" s="954" t="s">
        <v>259</v>
      </c>
      <c r="E10" s="955"/>
      <c r="F10" s="956"/>
      <c r="G10" s="957"/>
      <c r="I10" s="957"/>
      <c r="J10" s="957"/>
      <c r="K10" s="957"/>
      <c r="L10" s="957"/>
      <c r="M10" s="957"/>
      <c r="N10" s="957"/>
      <c r="O10" s="932"/>
      <c r="P10" s="932"/>
      <c r="Q10" s="932"/>
      <c r="R10" s="932"/>
      <c r="S10" s="932"/>
      <c r="T10" s="932"/>
      <c r="U10" s="958"/>
    </row>
    <row r="11" spans="2:21" s="936" customFormat="1" ht="33" customHeight="1">
      <c r="B11" s="937"/>
      <c r="C11" s="938"/>
      <c r="D11" s="954" t="s">
        <v>265</v>
      </c>
      <c r="E11" s="959"/>
      <c r="F11" s="960"/>
      <c r="G11" s="961"/>
      <c r="H11" s="962"/>
      <c r="I11" s="961"/>
      <c r="J11" s="961"/>
      <c r="K11" s="961"/>
      <c r="L11" s="961"/>
      <c r="M11" s="961"/>
      <c r="N11" s="961"/>
      <c r="O11" s="938"/>
      <c r="P11" s="938"/>
      <c r="Q11" s="938"/>
      <c r="R11" s="938"/>
      <c r="S11" s="938"/>
      <c r="T11" s="938"/>
      <c r="U11" s="963"/>
    </row>
    <row r="12" spans="2:21" s="5" customFormat="1" ht="19.5">
      <c r="B12" s="37" t="str">
        <f>'TOT-1208'!B14</f>
        <v>Desde el 01 al 31 de diciembre de 2008</v>
      </c>
      <c r="C12" s="40"/>
      <c r="D12" s="40"/>
      <c r="E12" s="40"/>
      <c r="F12" s="40"/>
      <c r="G12" s="371"/>
      <c r="H12" s="371"/>
      <c r="I12" s="371"/>
      <c r="J12" s="371"/>
      <c r="K12" s="371"/>
      <c r="L12" s="371"/>
      <c r="M12" s="371"/>
      <c r="N12" s="371"/>
      <c r="O12" s="40"/>
      <c r="P12" s="40"/>
      <c r="Q12" s="40"/>
      <c r="R12" s="40"/>
      <c r="S12" s="40"/>
      <c r="T12" s="40"/>
      <c r="U12" s="372"/>
    </row>
    <row r="13" spans="2:21" s="5" customFormat="1" ht="14.25" thickBot="1">
      <c r="B13" s="373"/>
      <c r="C13" s="374"/>
      <c r="D13" s="374"/>
      <c r="E13" s="374"/>
      <c r="F13" s="374"/>
      <c r="G13" s="375"/>
      <c r="H13" s="375"/>
      <c r="I13" s="375"/>
      <c r="J13" s="375"/>
      <c r="K13" s="375"/>
      <c r="L13" s="375"/>
      <c r="M13" s="375"/>
      <c r="N13" s="375"/>
      <c r="O13" s="374"/>
      <c r="P13" s="374"/>
      <c r="Q13" s="374"/>
      <c r="R13" s="374"/>
      <c r="S13" s="374"/>
      <c r="T13" s="374"/>
      <c r="U13" s="376"/>
    </row>
    <row r="14" spans="2:21" s="5" customFormat="1" ht="15" thickBot="1" thickTop="1">
      <c r="B14" s="50"/>
      <c r="C14" s="4"/>
      <c r="D14" s="377"/>
      <c r="E14" s="377"/>
      <c r="F14" s="118" t="s">
        <v>87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378" t="s">
        <v>88</v>
      </c>
      <c r="E15" s="379">
        <v>23.525</v>
      </c>
      <c r="F15" s="380">
        <v>200</v>
      </c>
      <c r="T15" s="116"/>
      <c r="U15" s="6"/>
    </row>
    <row r="16" spans="2:21" s="5" customFormat="1" ht="16.5" customHeight="1" thickBot="1" thickTop="1">
      <c r="B16" s="50"/>
      <c r="C16" s="4"/>
      <c r="D16" s="381" t="s">
        <v>89</v>
      </c>
      <c r="E16" s="382">
        <v>18.82</v>
      </c>
      <c r="F16" s="380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90</v>
      </c>
      <c r="E17" s="434">
        <v>18.82</v>
      </c>
      <c r="F17" s="380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384"/>
      <c r="D18" s="385"/>
      <c r="E18" s="385"/>
      <c r="F18" s="386"/>
      <c r="G18" s="387"/>
      <c r="H18" s="387"/>
      <c r="I18" s="387"/>
      <c r="J18" s="387"/>
      <c r="K18" s="387"/>
      <c r="L18" s="387"/>
      <c r="M18" s="387"/>
      <c r="N18" s="388"/>
      <c r="O18" s="389"/>
      <c r="P18" s="390"/>
      <c r="Q18" s="390"/>
      <c r="R18" s="390"/>
      <c r="S18" s="391"/>
      <c r="T18" s="392"/>
      <c r="U18" s="6"/>
    </row>
    <row r="19" spans="2:21" s="5" customFormat="1" ht="33.75" customHeight="1" thickBot="1" thickTop="1">
      <c r="B19" s="50"/>
      <c r="C19" s="84" t="s">
        <v>13</v>
      </c>
      <c r="D19" s="86" t="s">
        <v>27</v>
      </c>
      <c r="E19" s="393" t="s">
        <v>28</v>
      </c>
      <c r="F19" s="394" t="s">
        <v>14</v>
      </c>
      <c r="G19" s="130" t="s">
        <v>16</v>
      </c>
      <c r="H19" s="85" t="s">
        <v>17</v>
      </c>
      <c r="I19" s="393" t="s">
        <v>18</v>
      </c>
      <c r="J19" s="395" t="s">
        <v>36</v>
      </c>
      <c r="K19" s="395" t="s">
        <v>31</v>
      </c>
      <c r="L19" s="88" t="s">
        <v>19</v>
      </c>
      <c r="M19" s="183" t="s">
        <v>32</v>
      </c>
      <c r="N19" s="136" t="s">
        <v>37</v>
      </c>
      <c r="O19" s="396" t="s">
        <v>71</v>
      </c>
      <c r="P19" s="184" t="s">
        <v>35</v>
      </c>
      <c r="Q19" s="397"/>
      <c r="R19" s="135" t="s">
        <v>22</v>
      </c>
      <c r="S19" s="133" t="s">
        <v>80</v>
      </c>
      <c r="T19" s="122" t="s">
        <v>24</v>
      </c>
      <c r="U19" s="6"/>
    </row>
    <row r="20" spans="2:21" s="5" customFormat="1" ht="16.5" customHeight="1" thickTop="1">
      <c r="B20" s="50"/>
      <c r="C20" s="7"/>
      <c r="D20" s="398"/>
      <c r="E20" s="398"/>
      <c r="F20" s="398"/>
      <c r="G20" s="232"/>
      <c r="H20" s="398"/>
      <c r="I20" s="398"/>
      <c r="J20" s="398"/>
      <c r="K20" s="398"/>
      <c r="L20" s="398"/>
      <c r="M20" s="398"/>
      <c r="N20" s="399"/>
      <c r="O20" s="400"/>
      <c r="P20" s="401"/>
      <c r="Q20" s="402"/>
      <c r="R20" s="403"/>
      <c r="S20" s="398"/>
      <c r="T20" s="404"/>
      <c r="U20" s="6"/>
    </row>
    <row r="21" spans="2:21" s="5" customFormat="1" ht="16.5" customHeight="1">
      <c r="B21" s="50"/>
      <c r="C21" s="289"/>
      <c r="D21" s="405"/>
      <c r="E21" s="405"/>
      <c r="F21" s="405"/>
      <c r="G21" s="406"/>
      <c r="H21" s="405"/>
      <c r="I21" s="405"/>
      <c r="J21" s="405"/>
      <c r="K21" s="405"/>
      <c r="L21" s="405"/>
      <c r="M21" s="405"/>
      <c r="N21" s="407"/>
      <c r="O21" s="408"/>
      <c r="P21" s="196"/>
      <c r="Q21" s="409"/>
      <c r="R21" s="410"/>
      <c r="S21" s="405"/>
      <c r="T21" s="411"/>
      <c r="U21" s="6"/>
    </row>
    <row r="22" spans="2:21" s="5" customFormat="1" ht="16.5" customHeight="1">
      <c r="B22" s="50"/>
      <c r="C22" s="157">
        <v>74</v>
      </c>
      <c r="D22" s="412" t="s">
        <v>316</v>
      </c>
      <c r="E22" s="412" t="s">
        <v>342</v>
      </c>
      <c r="F22" s="413">
        <v>132</v>
      </c>
      <c r="G22" s="131">
        <f aca="true" t="shared" si="0" ref="G22:G41">IF(F22=500,$E$15,IF(F22=220,$E$16,$E$17))</f>
        <v>18.82</v>
      </c>
      <c r="H22" s="414">
        <v>39783.375</v>
      </c>
      <c r="I22" s="153">
        <v>39783.46805555555</v>
      </c>
      <c r="J22" s="415">
        <f aca="true" t="shared" si="1" ref="J22:J41">IF(D22="","",(I22-H22)*24)</f>
        <v>2.233333333279006</v>
      </c>
      <c r="K22" s="416">
        <f aca="true" t="shared" si="2" ref="K22:K41">IF(D22="","",ROUND((I22-H22)*24*60,0))</f>
        <v>134</v>
      </c>
      <c r="L22" s="234" t="s">
        <v>250</v>
      </c>
      <c r="M22" s="155" t="str">
        <f aca="true" t="shared" si="3" ref="M22:M41">IF(D22="","",IF(L22="P","--","NO"))</f>
        <v>--</v>
      </c>
      <c r="N22" s="417">
        <f aca="true" t="shared" si="4" ref="N22:N41">IF(F22=500,$F$15,IF(F22=220,$F$16,$F$17))</f>
        <v>40</v>
      </c>
      <c r="O22" s="418">
        <f aca="true" t="shared" si="5" ref="O22:O41">IF(L22="P",G22*N22*ROUND(K22/60,2)*0.1,"--")</f>
        <v>167.8744</v>
      </c>
      <c r="P22" s="419" t="str">
        <f aca="true" t="shared" si="6" ref="P22:P41">IF(AND(L22="F",M22="NO"),G22*N22,"--")</f>
        <v>--</v>
      </c>
      <c r="Q22" s="420" t="str">
        <f aca="true" t="shared" si="7" ref="Q22:Q41">IF(L22="F",G22*N22*ROUND(K22/60,2),"--")</f>
        <v>--</v>
      </c>
      <c r="R22" s="162" t="str">
        <f aca="true" t="shared" si="8" ref="R22:R41">IF(L22="RF",G22*N22*ROUND(K22/60,2),"--")</f>
        <v>--</v>
      </c>
      <c r="S22" s="155" t="str">
        <f aca="true" t="shared" si="9" ref="S22:S41">IF(D22="","","SI")</f>
        <v>SI</v>
      </c>
      <c r="T22" s="421">
        <f aca="true" t="shared" si="10" ref="T22:T41">IF(D22="","",SUM(O22:R22)*IF(S22="SI",1,2))</f>
        <v>167.8744</v>
      </c>
      <c r="U22" s="6"/>
    </row>
    <row r="23" spans="2:21" s="5" customFormat="1" ht="16.5" customHeight="1">
      <c r="B23" s="50"/>
      <c r="C23" s="289">
        <v>75</v>
      </c>
      <c r="D23" s="412" t="s">
        <v>331</v>
      </c>
      <c r="E23" s="412" t="s">
        <v>343</v>
      </c>
      <c r="F23" s="413">
        <v>132</v>
      </c>
      <c r="G23" s="131">
        <f t="shared" si="0"/>
        <v>18.82</v>
      </c>
      <c r="H23" s="414">
        <v>39783.416666666664</v>
      </c>
      <c r="I23" s="153">
        <v>39783.618055555555</v>
      </c>
      <c r="J23" s="415">
        <f t="shared" si="1"/>
        <v>4.833333333372138</v>
      </c>
      <c r="K23" s="416">
        <f t="shared" si="2"/>
        <v>290</v>
      </c>
      <c r="L23" s="234" t="s">
        <v>250</v>
      </c>
      <c r="M23" s="155" t="str">
        <f t="shared" si="3"/>
        <v>--</v>
      </c>
      <c r="N23" s="417">
        <f t="shared" si="4"/>
        <v>40</v>
      </c>
      <c r="O23" s="418">
        <f t="shared" si="5"/>
        <v>363.6024</v>
      </c>
      <c r="P23" s="419" t="str">
        <f t="shared" si="6"/>
        <v>--</v>
      </c>
      <c r="Q23" s="420" t="str">
        <f t="shared" si="7"/>
        <v>--</v>
      </c>
      <c r="R23" s="162" t="str">
        <f t="shared" si="8"/>
        <v>--</v>
      </c>
      <c r="S23" s="155" t="str">
        <f t="shared" si="9"/>
        <v>SI</v>
      </c>
      <c r="T23" s="421">
        <f t="shared" si="10"/>
        <v>363.6024</v>
      </c>
      <c r="U23" s="6"/>
    </row>
    <row r="24" spans="2:21" s="5" customFormat="1" ht="16.5" customHeight="1">
      <c r="B24" s="50"/>
      <c r="C24" s="157">
        <v>76</v>
      </c>
      <c r="D24" s="412" t="s">
        <v>331</v>
      </c>
      <c r="E24" s="412" t="s">
        <v>344</v>
      </c>
      <c r="F24" s="413">
        <v>132</v>
      </c>
      <c r="G24" s="131">
        <f t="shared" si="0"/>
        <v>18.82</v>
      </c>
      <c r="H24" s="414">
        <v>39785.347916666666</v>
      </c>
      <c r="I24" s="153">
        <v>39785.65555555555</v>
      </c>
      <c r="J24" s="415">
        <f t="shared" si="1"/>
        <v>7.383333333302289</v>
      </c>
      <c r="K24" s="416">
        <f t="shared" si="2"/>
        <v>443</v>
      </c>
      <c r="L24" s="234" t="s">
        <v>250</v>
      </c>
      <c r="M24" s="155" t="str">
        <f t="shared" si="3"/>
        <v>--</v>
      </c>
      <c r="N24" s="417">
        <f t="shared" si="4"/>
        <v>40</v>
      </c>
      <c r="O24" s="418">
        <f t="shared" si="5"/>
        <v>555.5664</v>
      </c>
      <c r="P24" s="419" t="str">
        <f t="shared" si="6"/>
        <v>--</v>
      </c>
      <c r="Q24" s="420" t="str">
        <f t="shared" si="7"/>
        <v>--</v>
      </c>
      <c r="R24" s="162" t="str">
        <f t="shared" si="8"/>
        <v>--</v>
      </c>
      <c r="S24" s="155" t="str">
        <f t="shared" si="9"/>
        <v>SI</v>
      </c>
      <c r="T24" s="421">
        <f t="shared" si="10"/>
        <v>555.5664</v>
      </c>
      <c r="U24" s="6"/>
    </row>
    <row r="25" spans="2:21" s="5" customFormat="1" ht="16.5" customHeight="1">
      <c r="B25" s="50"/>
      <c r="C25" s="289">
        <v>77</v>
      </c>
      <c r="D25" s="412" t="s">
        <v>316</v>
      </c>
      <c r="E25" s="412" t="s">
        <v>345</v>
      </c>
      <c r="F25" s="413">
        <v>132</v>
      </c>
      <c r="G25" s="131">
        <f t="shared" si="0"/>
        <v>18.82</v>
      </c>
      <c r="H25" s="414">
        <v>39793.36319444444</v>
      </c>
      <c r="I25" s="153">
        <v>39793.65833333333</v>
      </c>
      <c r="J25" s="415">
        <f t="shared" si="1"/>
        <v>7.083333333372138</v>
      </c>
      <c r="K25" s="416">
        <f t="shared" si="2"/>
        <v>425</v>
      </c>
      <c r="L25" s="234" t="s">
        <v>250</v>
      </c>
      <c r="M25" s="155" t="str">
        <f t="shared" si="3"/>
        <v>--</v>
      </c>
      <c r="N25" s="417">
        <f t="shared" si="4"/>
        <v>40</v>
      </c>
      <c r="O25" s="418">
        <f t="shared" si="5"/>
        <v>532.9824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f t="shared" si="10"/>
        <v>532.9824</v>
      </c>
      <c r="U25" s="6"/>
    </row>
    <row r="26" spans="2:21" s="5" customFormat="1" ht="16.5" customHeight="1">
      <c r="B26" s="50"/>
      <c r="C26" s="157">
        <v>78</v>
      </c>
      <c r="D26" s="412" t="s">
        <v>316</v>
      </c>
      <c r="E26" s="412" t="s">
        <v>345</v>
      </c>
      <c r="F26" s="413">
        <v>132</v>
      </c>
      <c r="G26" s="131">
        <f t="shared" si="0"/>
        <v>18.82</v>
      </c>
      <c r="H26" s="414">
        <v>39794.3875</v>
      </c>
      <c r="I26" s="153">
        <v>39794.69236111111</v>
      </c>
      <c r="J26" s="415">
        <f t="shared" si="1"/>
        <v>7.31666666676756</v>
      </c>
      <c r="K26" s="416">
        <f t="shared" si="2"/>
        <v>439</v>
      </c>
      <c r="L26" s="234" t="s">
        <v>250</v>
      </c>
      <c r="M26" s="155" t="str">
        <f t="shared" si="3"/>
        <v>--</v>
      </c>
      <c r="N26" s="417">
        <f t="shared" si="4"/>
        <v>40</v>
      </c>
      <c r="O26" s="418">
        <f t="shared" si="5"/>
        <v>551.0496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f t="shared" si="10"/>
        <v>551.0496</v>
      </c>
      <c r="U26" s="6"/>
    </row>
    <row r="27" spans="2:21" s="5" customFormat="1" ht="16.5" customHeight="1">
      <c r="B27" s="50"/>
      <c r="C27" s="289">
        <v>79</v>
      </c>
      <c r="D27" s="412" t="s">
        <v>316</v>
      </c>
      <c r="E27" s="412" t="s">
        <v>346</v>
      </c>
      <c r="F27" s="413">
        <v>132</v>
      </c>
      <c r="G27" s="131">
        <f t="shared" si="0"/>
        <v>18.82</v>
      </c>
      <c r="H27" s="414">
        <v>39797.33611111111</v>
      </c>
      <c r="I27" s="153">
        <v>39797.64513888889</v>
      </c>
      <c r="J27" s="415">
        <f t="shared" si="1"/>
        <v>7.416666666744277</v>
      </c>
      <c r="K27" s="416">
        <f t="shared" si="2"/>
        <v>445</v>
      </c>
      <c r="L27" s="234" t="s">
        <v>250</v>
      </c>
      <c r="M27" s="155" t="str">
        <f t="shared" si="3"/>
        <v>--</v>
      </c>
      <c r="N27" s="417">
        <f t="shared" si="4"/>
        <v>40</v>
      </c>
      <c r="O27" s="418">
        <f t="shared" si="5"/>
        <v>558.5776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f t="shared" si="10"/>
        <v>558.5776</v>
      </c>
      <c r="U27" s="6"/>
    </row>
    <row r="28" spans="2:21" s="5" customFormat="1" ht="16.5" customHeight="1">
      <c r="B28" s="50"/>
      <c r="C28" s="157">
        <v>80</v>
      </c>
      <c r="D28" s="412" t="s">
        <v>331</v>
      </c>
      <c r="E28" s="412" t="s">
        <v>347</v>
      </c>
      <c r="F28" s="413">
        <v>132</v>
      </c>
      <c r="G28" s="131">
        <f t="shared" si="0"/>
        <v>18.82</v>
      </c>
      <c r="H28" s="414">
        <v>39797.45763888889</v>
      </c>
      <c r="I28" s="153">
        <v>39797.638194444444</v>
      </c>
      <c r="J28" s="415">
        <f t="shared" si="1"/>
        <v>4.333333333313931</v>
      </c>
      <c r="K28" s="416">
        <f t="shared" si="2"/>
        <v>260</v>
      </c>
      <c r="L28" s="234" t="s">
        <v>250</v>
      </c>
      <c r="M28" s="155" t="str">
        <f t="shared" si="3"/>
        <v>--</v>
      </c>
      <c r="N28" s="417">
        <f t="shared" si="4"/>
        <v>40</v>
      </c>
      <c r="O28" s="418">
        <f t="shared" si="5"/>
        <v>325.9624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 t="str">
        <f t="shared" si="9"/>
        <v>SI</v>
      </c>
      <c r="T28" s="421">
        <f t="shared" si="10"/>
        <v>325.9624</v>
      </c>
      <c r="U28" s="6"/>
    </row>
    <row r="29" spans="2:21" s="5" customFormat="1" ht="16.5" customHeight="1">
      <c r="B29" s="50"/>
      <c r="C29" s="289">
        <v>81</v>
      </c>
      <c r="D29" s="412" t="s">
        <v>348</v>
      </c>
      <c r="E29" s="412" t="s">
        <v>349</v>
      </c>
      <c r="F29" s="413">
        <v>132</v>
      </c>
      <c r="G29" s="131">
        <f t="shared" si="0"/>
        <v>18.82</v>
      </c>
      <c r="H29" s="414">
        <v>39811.336805555555</v>
      </c>
      <c r="I29" s="153">
        <v>39811.751388888886</v>
      </c>
      <c r="J29" s="415">
        <f t="shared" si="1"/>
        <v>9.949999999953434</v>
      </c>
      <c r="K29" s="416">
        <f t="shared" si="2"/>
        <v>597</v>
      </c>
      <c r="L29" s="234" t="s">
        <v>250</v>
      </c>
      <c r="M29" s="155" t="str">
        <f t="shared" si="3"/>
        <v>--</v>
      </c>
      <c r="N29" s="417">
        <f t="shared" si="4"/>
        <v>40</v>
      </c>
      <c r="O29" s="418">
        <f t="shared" si="5"/>
        <v>749.036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 t="str">
        <f t="shared" si="9"/>
        <v>SI</v>
      </c>
      <c r="T29" s="421">
        <f t="shared" si="10"/>
        <v>749.036</v>
      </c>
      <c r="U29" s="6"/>
    </row>
    <row r="30" spans="2:21" s="5" customFormat="1" ht="16.5" customHeight="1">
      <c r="B30" s="50"/>
      <c r="C30" s="157">
        <v>82</v>
      </c>
      <c r="D30" s="412" t="s">
        <v>348</v>
      </c>
      <c r="E30" s="412" t="s">
        <v>349</v>
      </c>
      <c r="F30" s="413">
        <v>132</v>
      </c>
      <c r="G30" s="131">
        <f t="shared" si="0"/>
        <v>18.82</v>
      </c>
      <c r="H30" s="414">
        <v>39812.30416666667</v>
      </c>
      <c r="I30" s="153">
        <v>39812.57847222222</v>
      </c>
      <c r="J30" s="415">
        <f t="shared" si="1"/>
        <v>6.583333333313931</v>
      </c>
      <c r="K30" s="416">
        <f t="shared" si="2"/>
        <v>395</v>
      </c>
      <c r="L30" s="234" t="s">
        <v>250</v>
      </c>
      <c r="M30" s="155" t="str">
        <f t="shared" si="3"/>
        <v>--</v>
      </c>
      <c r="N30" s="417">
        <f t="shared" si="4"/>
        <v>40</v>
      </c>
      <c r="O30" s="418">
        <f t="shared" si="5"/>
        <v>495.3424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 t="str">
        <f t="shared" si="9"/>
        <v>SI</v>
      </c>
      <c r="T30" s="421">
        <f t="shared" si="10"/>
        <v>495.3424</v>
      </c>
      <c r="U30" s="6"/>
    </row>
    <row r="31" spans="2:21" s="5" customFormat="1" ht="16.5" customHeight="1">
      <c r="B31" s="50"/>
      <c r="C31" s="289"/>
      <c r="D31" s="412"/>
      <c r="E31" s="412"/>
      <c r="F31" s="413"/>
      <c r="G31" s="131">
        <f t="shared" si="0"/>
        <v>18.82</v>
      </c>
      <c r="H31" s="414"/>
      <c r="I31" s="153"/>
      <c r="J31" s="415">
        <f t="shared" si="1"/>
      </c>
      <c r="K31" s="416">
        <f t="shared" si="2"/>
      </c>
      <c r="L31" s="234"/>
      <c r="M31" s="155">
        <f t="shared" si="3"/>
      </c>
      <c r="N31" s="417">
        <f t="shared" si="4"/>
        <v>40</v>
      </c>
      <c r="O31" s="418" t="str">
        <f t="shared" si="5"/>
        <v>--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>
        <f t="shared" si="9"/>
      </c>
      <c r="T31" s="421">
        <f t="shared" si="10"/>
      </c>
      <c r="U31" s="6"/>
    </row>
    <row r="32" spans="2:21" s="5" customFormat="1" ht="16.5" customHeight="1">
      <c r="B32" s="50"/>
      <c r="C32" s="157"/>
      <c r="D32" s="412"/>
      <c r="E32" s="412"/>
      <c r="F32" s="413"/>
      <c r="G32" s="131">
        <f t="shared" si="0"/>
        <v>18.82</v>
      </c>
      <c r="H32" s="414"/>
      <c r="I32" s="153"/>
      <c r="J32" s="415">
        <f t="shared" si="1"/>
      </c>
      <c r="K32" s="416">
        <f t="shared" si="2"/>
      </c>
      <c r="L32" s="234"/>
      <c r="M32" s="155">
        <f t="shared" si="3"/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>
        <f t="shared" si="9"/>
      </c>
      <c r="T32" s="421">
        <f t="shared" si="10"/>
      </c>
      <c r="U32" s="6"/>
    </row>
    <row r="33" spans="2:21" s="5" customFormat="1" ht="16.5" customHeight="1">
      <c r="B33" s="50"/>
      <c r="C33" s="289"/>
      <c r="D33" s="412"/>
      <c r="E33" s="412"/>
      <c r="F33" s="413"/>
      <c r="G33" s="131">
        <f t="shared" si="0"/>
        <v>18.82</v>
      </c>
      <c r="H33" s="414"/>
      <c r="I33" s="153"/>
      <c r="J33" s="415">
        <f t="shared" si="1"/>
      </c>
      <c r="K33" s="416">
        <f t="shared" si="2"/>
      </c>
      <c r="L33" s="234"/>
      <c r="M33" s="155">
        <f t="shared" si="3"/>
      </c>
      <c r="N33" s="417">
        <f t="shared" si="4"/>
        <v>40</v>
      </c>
      <c r="O33" s="418" t="str">
        <f t="shared" si="5"/>
        <v>--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>
        <f t="shared" si="9"/>
      </c>
      <c r="T33" s="421">
        <f t="shared" si="10"/>
      </c>
      <c r="U33" s="6"/>
    </row>
    <row r="34" spans="2:21" s="5" customFormat="1" ht="16.5" customHeight="1">
      <c r="B34" s="50"/>
      <c r="C34" s="157"/>
      <c r="D34" s="412"/>
      <c r="E34" s="412"/>
      <c r="F34" s="413"/>
      <c r="G34" s="131">
        <f t="shared" si="0"/>
        <v>18.82</v>
      </c>
      <c r="H34" s="414"/>
      <c r="I34" s="153"/>
      <c r="J34" s="415">
        <f t="shared" si="1"/>
      </c>
      <c r="K34" s="416">
        <f t="shared" si="2"/>
      </c>
      <c r="L34" s="234"/>
      <c r="M34" s="155">
        <f t="shared" si="3"/>
      </c>
      <c r="N34" s="417">
        <f t="shared" si="4"/>
        <v>40</v>
      </c>
      <c r="O34" s="418" t="str">
        <f t="shared" si="5"/>
        <v>--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>
        <f t="shared" si="9"/>
      </c>
      <c r="T34" s="421">
        <f t="shared" si="10"/>
      </c>
      <c r="U34" s="6"/>
    </row>
    <row r="35" spans="2:21" s="5" customFormat="1" ht="16.5" customHeight="1">
      <c r="B35" s="50"/>
      <c r="C35" s="289"/>
      <c r="D35" s="412"/>
      <c r="E35" s="412"/>
      <c r="F35" s="413"/>
      <c r="G35" s="131">
        <f t="shared" si="0"/>
        <v>18.82</v>
      </c>
      <c r="H35" s="414"/>
      <c r="I35" s="153"/>
      <c r="J35" s="415">
        <f t="shared" si="1"/>
      </c>
      <c r="K35" s="416">
        <f t="shared" si="2"/>
      </c>
      <c r="L35" s="234"/>
      <c r="M35" s="155">
        <f t="shared" si="3"/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>
        <f t="shared" si="9"/>
      </c>
      <c r="T35" s="421">
        <f t="shared" si="10"/>
      </c>
      <c r="U35" s="6"/>
    </row>
    <row r="36" spans="2:21" s="5" customFormat="1" ht="16.5" customHeight="1">
      <c r="B36" s="50"/>
      <c r="C36" s="157"/>
      <c r="D36" s="412"/>
      <c r="E36" s="412"/>
      <c r="F36" s="413"/>
      <c r="G36" s="131">
        <f t="shared" si="0"/>
        <v>18.82</v>
      </c>
      <c r="H36" s="414"/>
      <c r="I36" s="153"/>
      <c r="J36" s="415">
        <f t="shared" si="1"/>
      </c>
      <c r="K36" s="416">
        <f t="shared" si="2"/>
      </c>
      <c r="L36" s="234"/>
      <c r="M36" s="155">
        <f t="shared" si="3"/>
      </c>
      <c r="N36" s="417">
        <f t="shared" si="4"/>
        <v>40</v>
      </c>
      <c r="O36" s="418" t="str">
        <f t="shared" si="5"/>
        <v>--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>
        <f t="shared" si="9"/>
      </c>
      <c r="T36" s="421">
        <f t="shared" si="10"/>
      </c>
      <c r="U36" s="6"/>
    </row>
    <row r="37" spans="2:21" s="5" customFormat="1" ht="16.5" customHeight="1">
      <c r="B37" s="50"/>
      <c r="C37" s="289"/>
      <c r="D37" s="412"/>
      <c r="E37" s="412"/>
      <c r="F37" s="413"/>
      <c r="G37" s="131">
        <f t="shared" si="0"/>
        <v>18.82</v>
      </c>
      <c r="H37" s="414"/>
      <c r="I37" s="153"/>
      <c r="J37" s="415">
        <f t="shared" si="1"/>
      </c>
      <c r="K37" s="416">
        <f t="shared" si="2"/>
      </c>
      <c r="L37" s="234"/>
      <c r="M37" s="155">
        <f t="shared" si="3"/>
      </c>
      <c r="N37" s="417">
        <f t="shared" si="4"/>
        <v>40</v>
      </c>
      <c r="O37" s="418" t="str">
        <f t="shared" si="5"/>
        <v>--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>
        <f t="shared" si="9"/>
      </c>
      <c r="T37" s="421">
        <f t="shared" si="10"/>
      </c>
      <c r="U37" s="6"/>
    </row>
    <row r="38" spans="2:21" s="5" customFormat="1" ht="16.5" customHeight="1">
      <c r="B38" s="50"/>
      <c r="C38" s="157"/>
      <c r="D38" s="412"/>
      <c r="E38" s="412"/>
      <c r="F38" s="413"/>
      <c r="G38" s="131">
        <f t="shared" si="0"/>
        <v>18.82</v>
      </c>
      <c r="H38" s="414"/>
      <c r="I38" s="153"/>
      <c r="J38" s="415">
        <f t="shared" si="1"/>
      </c>
      <c r="K38" s="416">
        <f t="shared" si="2"/>
      </c>
      <c r="L38" s="234"/>
      <c r="M38" s="155">
        <f t="shared" si="3"/>
      </c>
      <c r="N38" s="417">
        <f t="shared" si="4"/>
        <v>40</v>
      </c>
      <c r="O38" s="418" t="str">
        <f t="shared" si="5"/>
        <v>--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>
        <f t="shared" si="9"/>
      </c>
      <c r="T38" s="421">
        <f t="shared" si="10"/>
      </c>
      <c r="U38" s="6"/>
    </row>
    <row r="39" spans="2:21" s="5" customFormat="1" ht="16.5" customHeight="1">
      <c r="B39" s="50"/>
      <c r="C39" s="289"/>
      <c r="D39" s="412"/>
      <c r="E39" s="412"/>
      <c r="F39" s="413"/>
      <c r="G39" s="131">
        <f t="shared" si="0"/>
        <v>18.82</v>
      </c>
      <c r="H39" s="414"/>
      <c r="I39" s="153"/>
      <c r="J39" s="415">
        <f t="shared" si="1"/>
      </c>
      <c r="K39" s="416">
        <f t="shared" si="2"/>
      </c>
      <c r="L39" s="234"/>
      <c r="M39" s="155">
        <f t="shared" si="3"/>
      </c>
      <c r="N39" s="417">
        <f t="shared" si="4"/>
        <v>40</v>
      </c>
      <c r="O39" s="418" t="str">
        <f t="shared" si="5"/>
        <v>--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>
        <f t="shared" si="9"/>
      </c>
      <c r="T39" s="421">
        <f t="shared" si="10"/>
      </c>
      <c r="U39" s="6"/>
    </row>
    <row r="40" spans="2:21" s="5" customFormat="1" ht="16.5" customHeight="1">
      <c r="B40" s="50"/>
      <c r="C40" s="157"/>
      <c r="D40" s="412"/>
      <c r="E40" s="412"/>
      <c r="F40" s="413"/>
      <c r="G40" s="131">
        <f t="shared" si="0"/>
        <v>18.82</v>
      </c>
      <c r="H40" s="414"/>
      <c r="I40" s="153"/>
      <c r="J40" s="415">
        <f t="shared" si="1"/>
      </c>
      <c r="K40" s="416">
        <f t="shared" si="2"/>
      </c>
      <c r="L40" s="234"/>
      <c r="M40" s="155">
        <f t="shared" si="3"/>
      </c>
      <c r="N40" s="417">
        <f t="shared" si="4"/>
        <v>40</v>
      </c>
      <c r="O40" s="418" t="str">
        <f t="shared" si="5"/>
        <v>--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>
        <f t="shared" si="9"/>
      </c>
      <c r="T40" s="421">
        <f t="shared" si="10"/>
      </c>
      <c r="U40" s="6"/>
    </row>
    <row r="41" spans="2:21" s="5" customFormat="1" ht="16.5" customHeight="1">
      <c r="B41" s="50"/>
      <c r="C41" s="289"/>
      <c r="D41" s="412"/>
      <c r="E41" s="412"/>
      <c r="F41" s="413"/>
      <c r="G41" s="131">
        <f t="shared" si="0"/>
        <v>18.82</v>
      </c>
      <c r="H41" s="414"/>
      <c r="I41" s="153"/>
      <c r="J41" s="415">
        <f t="shared" si="1"/>
      </c>
      <c r="K41" s="416">
        <f t="shared" si="2"/>
      </c>
      <c r="L41" s="234"/>
      <c r="M41" s="155">
        <f t="shared" si="3"/>
      </c>
      <c r="N41" s="417">
        <f t="shared" si="4"/>
        <v>40</v>
      </c>
      <c r="O41" s="418" t="str">
        <f t="shared" si="5"/>
        <v>--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>
        <f t="shared" si="9"/>
      </c>
      <c r="T41" s="421">
        <f t="shared" si="10"/>
      </c>
      <c r="U41" s="6"/>
    </row>
    <row r="42" spans="2:21" s="5" customFormat="1" ht="16.5" customHeight="1" thickBot="1">
      <c r="B42" s="50"/>
      <c r="C42" s="157"/>
      <c r="D42" s="149"/>
      <c r="E42" s="149"/>
      <c r="F42" s="243"/>
      <c r="G42" s="132"/>
      <c r="H42" s="422"/>
      <c r="I42" s="422"/>
      <c r="J42" s="423"/>
      <c r="K42" s="423"/>
      <c r="L42" s="422"/>
      <c r="M42" s="154"/>
      <c r="N42" s="424"/>
      <c r="O42" s="425"/>
      <c r="P42" s="426"/>
      <c r="Q42" s="427"/>
      <c r="R42" s="164"/>
      <c r="S42" s="154"/>
      <c r="T42" s="428"/>
      <c r="U42" s="6"/>
    </row>
    <row r="43" spans="2:21" s="5" customFormat="1" ht="16.5" customHeight="1" thickBot="1" thickTop="1">
      <c r="B43" s="50"/>
      <c r="C43" s="128" t="s">
        <v>25</v>
      </c>
      <c r="D43" s="129" t="s">
        <v>356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29">
        <f>SUM(O20:O42)</f>
        <v>4299.9936</v>
      </c>
      <c r="P43" s="430">
        <f>SUM(P20:P42)</f>
        <v>0</v>
      </c>
      <c r="Q43" s="431">
        <f>SUM(Q20:Q42)</f>
        <v>0</v>
      </c>
      <c r="R43" s="432">
        <f>SUM(R20:R42)</f>
        <v>0</v>
      </c>
      <c r="S43" s="433"/>
      <c r="T43" s="101">
        <f>ROUND(SUM(T20:T42),2)</f>
        <v>4299.99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79"/>
      <c r="V45" s="179"/>
      <c r="W45" s="179"/>
    </row>
    <row r="46" spans="21:23" ht="16.5" customHeight="1">
      <c r="U46" s="179"/>
      <c r="V46" s="179"/>
      <c r="W46" s="179"/>
    </row>
    <row r="47" spans="21:23" ht="16.5" customHeight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4:23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</row>
    <row r="51" spans="4:23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60" ht="12.75"/>
    <row r="161" ht="12.75"/>
    <row r="162" ht="12.75"/>
    <row r="163" ht="12.75"/>
    <row r="164" ht="12.75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4">
    <pageSetUpPr fitToPage="1"/>
  </sheetPr>
  <dimension ref="A1:AC154"/>
  <sheetViews>
    <sheetView zoomScale="75" zoomScaleNormal="75" workbookViewId="0" topLeftCell="C7">
      <selection activeCell="K23" sqref="K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+'TOT-1208'!B2</f>
        <v>ANEXO I al Memorándum D.T.E.E. N°   770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3" customFormat="1" ht="33" customHeight="1">
      <c r="A10" s="956"/>
      <c r="B10" s="964"/>
      <c r="C10" s="956"/>
      <c r="D10" s="965" t="s">
        <v>260</v>
      </c>
      <c r="E10" s="956"/>
      <c r="F10" s="966"/>
      <c r="G10" s="967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67"/>
      <c r="S10" s="967"/>
      <c r="T10" s="967"/>
      <c r="U10" s="967"/>
      <c r="V10" s="967"/>
      <c r="W10" s="967"/>
      <c r="X10" s="967"/>
      <c r="Y10" s="967"/>
      <c r="Z10" s="967"/>
      <c r="AA10" s="967"/>
      <c r="AB10" s="935"/>
    </row>
    <row r="11" spans="1:28" s="936" customFormat="1" ht="33" customHeight="1">
      <c r="A11" s="960"/>
      <c r="B11" s="968"/>
      <c r="C11" s="960"/>
      <c r="D11" s="969" t="s">
        <v>85</v>
      </c>
      <c r="E11" s="970"/>
      <c r="F11" s="970"/>
      <c r="G11" s="971"/>
      <c r="H11" s="970"/>
      <c r="I11" s="970"/>
      <c r="J11" s="970"/>
      <c r="K11" s="970"/>
      <c r="L11" s="970"/>
      <c r="M11" s="960"/>
      <c r="N11" s="960"/>
      <c r="O11" s="960"/>
      <c r="P11" s="960"/>
      <c r="Q11" s="960"/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39"/>
    </row>
    <row r="12" spans="1:28" s="36" customFormat="1" ht="19.5">
      <c r="A12" s="110"/>
      <c r="B12" s="37" t="str">
        <f>'TOT-1208'!B14</f>
        <v>Desde el 01 al 31 de diciembre de 2008</v>
      </c>
      <c r="C12" s="263"/>
      <c r="D12" s="113"/>
      <c r="E12" s="113"/>
      <c r="F12" s="113"/>
      <c r="G12" s="113"/>
      <c r="H12" s="113"/>
      <c r="I12" s="113"/>
      <c r="J12" s="113"/>
      <c r="K12" s="113"/>
      <c r="L12" s="113"/>
      <c r="M12" s="263"/>
      <c r="N12" s="263"/>
      <c r="O12" s="263"/>
      <c r="P12" s="263"/>
      <c r="Q12" s="26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64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265" t="s">
        <v>82</v>
      </c>
      <c r="E14" s="266"/>
      <c r="F14" s="267">
        <v>0.319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20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268" t="s">
        <v>37</v>
      </c>
      <c r="R17" s="269" t="s">
        <v>20</v>
      </c>
      <c r="S17" s="270" t="s">
        <v>21</v>
      </c>
      <c r="T17" s="222" t="s">
        <v>83</v>
      </c>
      <c r="U17" s="224"/>
      <c r="V17" s="271" t="s">
        <v>84</v>
      </c>
      <c r="W17" s="272"/>
      <c r="X17" s="273" t="s">
        <v>22</v>
      </c>
      <c r="Y17" s="274" t="s">
        <v>79</v>
      </c>
      <c r="Z17" s="133" t="s">
        <v>80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275"/>
      <c r="D18" s="275"/>
      <c r="E18" s="275"/>
      <c r="F18" s="275"/>
      <c r="G18" s="276"/>
      <c r="H18" s="277"/>
      <c r="I18" s="275"/>
      <c r="J18" s="275"/>
      <c r="K18" s="275"/>
      <c r="L18" s="275"/>
      <c r="M18" s="275"/>
      <c r="N18" s="185"/>
      <c r="O18" s="278"/>
      <c r="P18" s="275"/>
      <c r="Q18" s="279"/>
      <c r="R18" s="280"/>
      <c r="S18" s="281"/>
      <c r="T18" s="282"/>
      <c r="U18" s="283"/>
      <c r="V18" s="284"/>
      <c r="W18" s="285"/>
      <c r="X18" s="286"/>
      <c r="Y18" s="287"/>
      <c r="Z18" s="278"/>
      <c r="AA18" s="288"/>
      <c r="AB18" s="17"/>
    </row>
    <row r="19" spans="1:28" s="5" customFormat="1" ht="16.5" customHeight="1">
      <c r="A19" s="90"/>
      <c r="B19" s="95"/>
      <c r="C19" s="289"/>
      <c r="D19" s="289"/>
      <c r="E19" s="289"/>
      <c r="F19" s="289"/>
      <c r="G19" s="290"/>
      <c r="H19" s="291"/>
      <c r="I19" s="289"/>
      <c r="J19" s="289"/>
      <c r="K19" s="289"/>
      <c r="L19" s="289"/>
      <c r="M19" s="289"/>
      <c r="N19" s="188"/>
      <c r="O19" s="292"/>
      <c r="P19" s="289"/>
      <c r="Q19" s="293"/>
      <c r="R19" s="294"/>
      <c r="S19" s="295"/>
      <c r="T19" s="296"/>
      <c r="U19" s="297"/>
      <c r="V19" s="298"/>
      <c r="W19" s="299"/>
      <c r="X19" s="300"/>
      <c r="Y19" s="301"/>
      <c r="Z19" s="292"/>
      <c r="AA19" s="302"/>
      <c r="AB19" s="17"/>
    </row>
    <row r="20" spans="1:28" s="5" customFormat="1" ht="16.5" customHeight="1">
      <c r="A20" s="90"/>
      <c r="B20" s="95"/>
      <c r="C20" s="157">
        <v>83</v>
      </c>
      <c r="D20" s="151" t="s">
        <v>350</v>
      </c>
      <c r="E20" s="303" t="s">
        <v>351</v>
      </c>
      <c r="F20" s="304">
        <v>300</v>
      </c>
      <c r="G20" s="305" t="s">
        <v>150</v>
      </c>
      <c r="H20" s="306">
        <f aca="true" t="shared" si="0" ref="H20:H39">F20*$F$14</f>
        <v>95.7</v>
      </c>
      <c r="I20" s="158">
        <v>39804.55138888889</v>
      </c>
      <c r="J20" s="158">
        <v>39804.94375</v>
      </c>
      <c r="K20" s="307">
        <f aca="true" t="shared" si="1" ref="K20:K39">IF(D20="","",(J20-I20)*24)</f>
        <v>9.416666666627862</v>
      </c>
      <c r="L20" s="14">
        <f aca="true" t="shared" si="2" ref="L20:L39">IF(D20="","",ROUND((J20-I20)*24*60,0))</f>
        <v>565</v>
      </c>
      <c r="M20" s="159" t="s">
        <v>286</v>
      </c>
      <c r="N20" s="235" t="str">
        <f aca="true" t="shared" si="3" ref="N20:N39">IF(D20="","","--")</f>
        <v>--</v>
      </c>
      <c r="O20" s="156" t="str">
        <f>IF(D20="","",IF(OR(M20="P",M20="RP"),"--","NO"))</f>
        <v>NO</v>
      </c>
      <c r="P20" s="155" t="str">
        <f aca="true" t="shared" si="4" ref="P20:P39">IF(D20="","","NO")</f>
        <v>NO</v>
      </c>
      <c r="Q20" s="367">
        <f aca="true" t="shared" si="5" ref="Q20:Q39">$F$15*IF(OR(M20="P",M20="RP"),0.1,1)*IF(P20="SI",1,0.1)</f>
        <v>20</v>
      </c>
      <c r="R20" s="349" t="str">
        <f aca="true" t="shared" si="6" ref="R20:R39">IF(M20="P",H20*Q20*ROUND(L20/60,2),"--")</f>
        <v>--</v>
      </c>
      <c r="S20" s="350" t="str">
        <f aca="true" t="shared" si="7" ref="S20:S39">IF(M20="RP",H20*Q20*N20/100*ROUND(L20/60,2),"--")</f>
        <v>--</v>
      </c>
      <c r="T20" s="351">
        <f aca="true" t="shared" si="8" ref="T20:T39">IF(AND(M20="F",O20="NO"),H20*Q20,"--")</f>
        <v>1914</v>
      </c>
      <c r="U20" s="352">
        <f aca="true" t="shared" si="9" ref="U20:U39">IF(M20="F",H20*Q20*ROUND(L20/60,2),"--")</f>
        <v>18029.88</v>
      </c>
      <c r="V20" s="353" t="str">
        <f aca="true" t="shared" si="10" ref="V20:V39">IF(AND(M20="R",O20="NO"),H20*Q20*N20/100,"--")</f>
        <v>--</v>
      </c>
      <c r="W20" s="354" t="str">
        <f aca="true" t="shared" si="11" ref="W20:W39">IF(M20="R",H20*Q20*N20/100*ROUND(L20/60,2),"--")</f>
        <v>--</v>
      </c>
      <c r="X20" s="355" t="str">
        <f aca="true" t="shared" si="12" ref="X20:X39">IF(M20="RF",H20*Q20*ROUND(L20/60,2),"--")</f>
        <v>--</v>
      </c>
      <c r="Y20" s="356" t="str">
        <f aca="true" t="shared" si="13" ref="Y20:Y39">IF(M20="RR",H20*Q20*N20/100*ROUND(L20/60,2),"--")</f>
        <v>--</v>
      </c>
      <c r="Z20" s="161" t="s">
        <v>247</v>
      </c>
      <c r="AA20" s="318">
        <f aca="true" t="shared" si="14" ref="AA20:AA39">IF(D20="","",SUM(R20:Y20)*IF(Z20="SI",1,2)*IF(AND(N22&lt;&gt;"--",M22="RF"),N22/100,1))</f>
        <v>19943.88</v>
      </c>
      <c r="AB20" s="17"/>
    </row>
    <row r="21" spans="1:28" s="5" customFormat="1" ht="16.5" customHeight="1">
      <c r="A21" s="90"/>
      <c r="B21" s="95"/>
      <c r="C21" s="289"/>
      <c r="D21" s="151"/>
      <c r="E21" s="303"/>
      <c r="F21" s="304"/>
      <c r="G21" s="305"/>
      <c r="H21" s="306">
        <f t="shared" si="0"/>
        <v>0</v>
      </c>
      <c r="I21" s="158"/>
      <c r="J21" s="158"/>
      <c r="K21" s="307">
        <f t="shared" si="1"/>
      </c>
      <c r="L21" s="14">
        <f t="shared" si="2"/>
      </c>
      <c r="M21" s="159"/>
      <c r="N21" s="235">
        <f t="shared" si="3"/>
      </c>
      <c r="O21" s="156">
        <f aca="true" t="shared" si="15" ref="O21:O39">IF(D21="","",IF(M21="P","--","NO"))</f>
      </c>
      <c r="P21" s="155">
        <f t="shared" si="4"/>
      </c>
      <c r="Q21" s="367">
        <f t="shared" si="5"/>
        <v>20</v>
      </c>
      <c r="R21" s="349" t="str">
        <f t="shared" si="6"/>
        <v>--</v>
      </c>
      <c r="S21" s="350" t="str">
        <f t="shared" si="7"/>
        <v>--</v>
      </c>
      <c r="T21" s="351" t="str">
        <f t="shared" si="8"/>
        <v>--</v>
      </c>
      <c r="U21" s="352" t="str">
        <f t="shared" si="9"/>
        <v>--</v>
      </c>
      <c r="V21" s="353" t="str">
        <f t="shared" si="10"/>
        <v>--</v>
      </c>
      <c r="W21" s="354" t="str">
        <f t="shared" si="11"/>
        <v>--</v>
      </c>
      <c r="X21" s="355" t="str">
        <f t="shared" si="12"/>
        <v>--</v>
      </c>
      <c r="Y21" s="356" t="str">
        <f t="shared" si="13"/>
        <v>--</v>
      </c>
      <c r="Z21" s="161">
        <f aca="true" t="shared" si="16" ref="Z21:Z39">IF(D21="","","SI")</f>
      </c>
      <c r="AA21" s="318">
        <f t="shared" si="14"/>
      </c>
      <c r="AB21" s="17"/>
    </row>
    <row r="22" spans="1:28" s="5" customFormat="1" ht="16.5" customHeight="1">
      <c r="A22" s="90"/>
      <c r="B22" s="95"/>
      <c r="C22" s="157"/>
      <c r="D22" s="151"/>
      <c r="E22" s="303"/>
      <c r="F22" s="304"/>
      <c r="G22" s="305"/>
      <c r="H22" s="306">
        <f t="shared" si="0"/>
        <v>0</v>
      </c>
      <c r="I22" s="158"/>
      <c r="J22" s="158"/>
      <c r="K22" s="307">
        <f t="shared" si="1"/>
      </c>
      <c r="L22" s="14">
        <f t="shared" si="2"/>
      </c>
      <c r="M22" s="159"/>
      <c r="N22" s="235">
        <f t="shared" si="3"/>
      </c>
      <c r="O22" s="156">
        <f t="shared" si="15"/>
      </c>
      <c r="P22" s="155">
        <f t="shared" si="4"/>
      </c>
      <c r="Q22" s="367">
        <f t="shared" si="5"/>
        <v>20</v>
      </c>
      <c r="R22" s="349" t="str">
        <f t="shared" si="6"/>
        <v>--</v>
      </c>
      <c r="S22" s="350" t="str">
        <f t="shared" si="7"/>
        <v>--</v>
      </c>
      <c r="T22" s="351" t="str">
        <f t="shared" si="8"/>
        <v>--</v>
      </c>
      <c r="U22" s="352" t="str">
        <f t="shared" si="9"/>
        <v>--</v>
      </c>
      <c r="V22" s="353" t="str">
        <f t="shared" si="10"/>
        <v>--</v>
      </c>
      <c r="W22" s="354" t="str">
        <f t="shared" si="11"/>
        <v>--</v>
      </c>
      <c r="X22" s="355" t="str">
        <f t="shared" si="12"/>
        <v>--</v>
      </c>
      <c r="Y22" s="356" t="str">
        <f t="shared" si="13"/>
        <v>--</v>
      </c>
      <c r="Z22" s="161">
        <f t="shared" si="16"/>
      </c>
      <c r="AA22" s="318">
        <f t="shared" si="14"/>
      </c>
      <c r="AB22" s="17"/>
    </row>
    <row r="23" spans="1:28" s="5" customFormat="1" ht="16.5" customHeight="1">
      <c r="A23" s="90"/>
      <c r="B23" s="95"/>
      <c r="C23" s="289"/>
      <c r="D23" s="151"/>
      <c r="E23" s="303"/>
      <c r="F23" s="304"/>
      <c r="G23" s="305"/>
      <c r="H23" s="306">
        <f t="shared" si="0"/>
        <v>0</v>
      </c>
      <c r="I23" s="158"/>
      <c r="J23" s="158"/>
      <c r="K23" s="307">
        <f t="shared" si="1"/>
      </c>
      <c r="L23" s="14">
        <f t="shared" si="2"/>
      </c>
      <c r="M23" s="159"/>
      <c r="N23" s="235">
        <f t="shared" si="3"/>
      </c>
      <c r="O23" s="156">
        <f t="shared" si="15"/>
      </c>
      <c r="P23" s="155">
        <f t="shared" si="4"/>
      </c>
      <c r="Q23" s="367">
        <f t="shared" si="5"/>
        <v>20</v>
      </c>
      <c r="R23" s="349" t="str">
        <f t="shared" si="6"/>
        <v>--</v>
      </c>
      <c r="S23" s="350" t="str">
        <f t="shared" si="7"/>
        <v>--</v>
      </c>
      <c r="T23" s="351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354" t="str">
        <f t="shared" si="11"/>
        <v>--</v>
      </c>
      <c r="X23" s="355" t="str">
        <f t="shared" si="12"/>
        <v>--</v>
      </c>
      <c r="Y23" s="356" t="str">
        <f t="shared" si="13"/>
        <v>--</v>
      </c>
      <c r="Z23" s="161">
        <f t="shared" si="16"/>
      </c>
      <c r="AA23" s="318">
        <f t="shared" si="14"/>
      </c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>
        <f t="shared" si="0"/>
        <v>0</v>
      </c>
      <c r="I24" s="158"/>
      <c r="J24" s="158"/>
      <c r="K24" s="307">
        <f t="shared" si="1"/>
      </c>
      <c r="L24" s="14">
        <f t="shared" si="2"/>
      </c>
      <c r="M24" s="159"/>
      <c r="N24" s="235">
        <f t="shared" si="3"/>
      </c>
      <c r="O24" s="156">
        <f t="shared" si="15"/>
      </c>
      <c r="P24" s="155">
        <f t="shared" si="4"/>
      </c>
      <c r="Q24" s="367">
        <f t="shared" si="5"/>
        <v>20</v>
      </c>
      <c r="R24" s="349" t="str">
        <f t="shared" si="6"/>
        <v>--</v>
      </c>
      <c r="S24" s="350" t="str">
        <f t="shared" si="7"/>
        <v>--</v>
      </c>
      <c r="T24" s="351" t="str">
        <f t="shared" si="8"/>
        <v>--</v>
      </c>
      <c r="U24" s="352" t="str">
        <f t="shared" si="9"/>
        <v>--</v>
      </c>
      <c r="V24" s="353" t="str">
        <f t="shared" si="10"/>
        <v>--</v>
      </c>
      <c r="W24" s="354" t="str">
        <f t="shared" si="11"/>
        <v>--</v>
      </c>
      <c r="X24" s="355" t="str">
        <f t="shared" si="12"/>
        <v>--</v>
      </c>
      <c r="Y24" s="356" t="str">
        <f t="shared" si="13"/>
        <v>--</v>
      </c>
      <c r="Z24" s="161">
        <f t="shared" si="16"/>
      </c>
      <c r="AA24" s="318">
        <f t="shared" si="14"/>
      </c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>
        <f t="shared" si="0"/>
        <v>0</v>
      </c>
      <c r="I25" s="158"/>
      <c r="J25" s="158"/>
      <c r="K25" s="307">
        <f t="shared" si="1"/>
      </c>
      <c r="L25" s="14">
        <f t="shared" si="2"/>
      </c>
      <c r="M25" s="159"/>
      <c r="N25" s="235">
        <f t="shared" si="3"/>
      </c>
      <c r="O25" s="156">
        <f t="shared" si="15"/>
      </c>
      <c r="P25" s="155">
        <f t="shared" si="4"/>
      </c>
      <c r="Q25" s="367">
        <f t="shared" si="5"/>
        <v>20</v>
      </c>
      <c r="R25" s="349" t="str">
        <f t="shared" si="6"/>
        <v>--</v>
      </c>
      <c r="S25" s="350" t="str">
        <f t="shared" si="7"/>
        <v>--</v>
      </c>
      <c r="T25" s="351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354" t="str">
        <f t="shared" si="11"/>
        <v>--</v>
      </c>
      <c r="X25" s="355" t="str">
        <f t="shared" si="12"/>
        <v>--</v>
      </c>
      <c r="Y25" s="356" t="str">
        <f t="shared" si="13"/>
        <v>--</v>
      </c>
      <c r="Z25" s="161">
        <f t="shared" si="16"/>
      </c>
      <c r="AA25" s="318">
        <f t="shared" si="14"/>
      </c>
      <c r="AB25" s="17"/>
    </row>
    <row r="26" spans="1:29" s="5" customFormat="1" ht="16.5" customHeight="1">
      <c r="A26" s="90"/>
      <c r="B26" s="95"/>
      <c r="C26" s="157"/>
      <c r="D26" s="151"/>
      <c r="E26" s="303"/>
      <c r="F26" s="304"/>
      <c r="G26" s="305"/>
      <c r="H26" s="306">
        <f t="shared" si="0"/>
        <v>0</v>
      </c>
      <c r="I26" s="158"/>
      <c r="J26" s="158"/>
      <c r="K26" s="307">
        <f t="shared" si="1"/>
      </c>
      <c r="L26" s="14">
        <f t="shared" si="2"/>
      </c>
      <c r="M26" s="159"/>
      <c r="N26" s="235">
        <f t="shared" si="3"/>
      </c>
      <c r="O26" s="156">
        <f t="shared" si="15"/>
      </c>
      <c r="P26" s="155">
        <f t="shared" si="4"/>
      </c>
      <c r="Q26" s="367">
        <f t="shared" si="5"/>
        <v>20</v>
      </c>
      <c r="R26" s="349" t="str">
        <f t="shared" si="6"/>
        <v>--</v>
      </c>
      <c r="S26" s="350" t="str">
        <f t="shared" si="7"/>
        <v>--</v>
      </c>
      <c r="T26" s="351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354" t="str">
        <f t="shared" si="11"/>
        <v>--</v>
      </c>
      <c r="X26" s="355" t="str">
        <f t="shared" si="12"/>
        <v>--</v>
      </c>
      <c r="Y26" s="356" t="str">
        <f t="shared" si="13"/>
        <v>--</v>
      </c>
      <c r="Z26" s="161">
        <f t="shared" si="16"/>
      </c>
      <c r="AA26" s="318">
        <f t="shared" si="14"/>
      </c>
      <c r="AB26" s="17"/>
      <c r="AC26" s="15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>
        <f t="shared" si="0"/>
        <v>0</v>
      </c>
      <c r="I27" s="158"/>
      <c r="J27" s="158"/>
      <c r="K27" s="307">
        <f t="shared" si="1"/>
      </c>
      <c r="L27" s="14">
        <f t="shared" si="2"/>
      </c>
      <c r="M27" s="159"/>
      <c r="N27" s="235">
        <f t="shared" si="3"/>
      </c>
      <c r="O27" s="156">
        <f t="shared" si="15"/>
      </c>
      <c r="P27" s="155">
        <f t="shared" si="4"/>
      </c>
      <c r="Q27" s="367">
        <f t="shared" si="5"/>
        <v>20</v>
      </c>
      <c r="R27" s="349" t="str">
        <f t="shared" si="6"/>
        <v>--</v>
      </c>
      <c r="S27" s="350" t="str">
        <f t="shared" si="7"/>
        <v>--</v>
      </c>
      <c r="T27" s="351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354" t="str">
        <f t="shared" si="11"/>
        <v>--</v>
      </c>
      <c r="X27" s="355" t="str">
        <f t="shared" si="12"/>
        <v>--</v>
      </c>
      <c r="Y27" s="356" t="str">
        <f t="shared" si="13"/>
        <v>--</v>
      </c>
      <c r="Z27" s="161">
        <f t="shared" si="16"/>
      </c>
      <c r="AA27" s="318">
        <f t="shared" si="14"/>
      </c>
      <c r="AB27" s="17"/>
    </row>
    <row r="28" spans="1:28" s="5" customFormat="1" ht="16.5" customHeight="1">
      <c r="A28" s="90"/>
      <c r="B28" s="95"/>
      <c r="C28" s="157"/>
      <c r="D28" s="151"/>
      <c r="E28" s="303"/>
      <c r="F28" s="304"/>
      <c r="G28" s="305"/>
      <c r="H28" s="306">
        <f t="shared" si="0"/>
        <v>0</v>
      </c>
      <c r="I28" s="158"/>
      <c r="J28" s="158"/>
      <c r="K28" s="307">
        <f t="shared" si="1"/>
      </c>
      <c r="L28" s="14">
        <f t="shared" si="2"/>
      </c>
      <c r="M28" s="159"/>
      <c r="N28" s="235">
        <f t="shared" si="3"/>
      </c>
      <c r="O28" s="156">
        <f t="shared" si="15"/>
      </c>
      <c r="P28" s="155">
        <f t="shared" si="4"/>
      </c>
      <c r="Q28" s="367">
        <f t="shared" si="5"/>
        <v>20</v>
      </c>
      <c r="R28" s="349" t="str">
        <f t="shared" si="6"/>
        <v>--</v>
      </c>
      <c r="S28" s="350" t="str">
        <f t="shared" si="7"/>
        <v>--</v>
      </c>
      <c r="T28" s="351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354" t="str">
        <f t="shared" si="11"/>
        <v>--</v>
      </c>
      <c r="X28" s="355" t="str">
        <f t="shared" si="12"/>
        <v>--</v>
      </c>
      <c r="Y28" s="356" t="str">
        <f t="shared" si="13"/>
        <v>--</v>
      </c>
      <c r="Z28" s="161">
        <f t="shared" si="16"/>
      </c>
      <c r="AA28" s="318">
        <f t="shared" si="14"/>
      </c>
      <c r="AB28" s="17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>
        <f t="shared" si="0"/>
        <v>0</v>
      </c>
      <c r="I29" s="158"/>
      <c r="J29" s="158"/>
      <c r="K29" s="307">
        <f t="shared" si="1"/>
      </c>
      <c r="L29" s="14">
        <f t="shared" si="2"/>
      </c>
      <c r="M29" s="159"/>
      <c r="N29" s="235">
        <f t="shared" si="3"/>
      </c>
      <c r="O29" s="156">
        <f t="shared" si="15"/>
      </c>
      <c r="P29" s="155">
        <f t="shared" si="4"/>
      </c>
      <c r="Q29" s="367">
        <f t="shared" si="5"/>
        <v>20</v>
      </c>
      <c r="R29" s="349" t="str">
        <f t="shared" si="6"/>
        <v>--</v>
      </c>
      <c r="S29" s="350" t="str">
        <f t="shared" si="7"/>
        <v>--</v>
      </c>
      <c r="T29" s="351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354" t="str">
        <f t="shared" si="11"/>
        <v>--</v>
      </c>
      <c r="X29" s="355" t="str">
        <f t="shared" si="12"/>
        <v>--</v>
      </c>
      <c r="Y29" s="356" t="str">
        <f t="shared" si="13"/>
        <v>--</v>
      </c>
      <c r="Z29" s="161">
        <f t="shared" si="16"/>
      </c>
      <c r="AA29" s="318">
        <f t="shared" si="14"/>
      </c>
      <c r="AB29" s="17"/>
    </row>
    <row r="30" spans="1:28" s="5" customFormat="1" ht="16.5" customHeight="1">
      <c r="A30" s="90"/>
      <c r="B30" s="95"/>
      <c r="C30" s="157"/>
      <c r="D30" s="151"/>
      <c r="E30" s="319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15"/>
      </c>
      <c r="P30" s="155">
        <f t="shared" si="4"/>
      </c>
      <c r="Q30" s="367">
        <f t="shared" si="5"/>
        <v>20</v>
      </c>
      <c r="R30" s="349" t="str">
        <f t="shared" si="6"/>
        <v>--</v>
      </c>
      <c r="S30" s="350" t="str">
        <f t="shared" si="7"/>
        <v>--</v>
      </c>
      <c r="T30" s="351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354" t="str">
        <f t="shared" si="11"/>
        <v>--</v>
      </c>
      <c r="X30" s="355" t="str">
        <f t="shared" si="12"/>
        <v>--</v>
      </c>
      <c r="Y30" s="356" t="str">
        <f t="shared" si="13"/>
        <v>--</v>
      </c>
      <c r="Z30" s="161">
        <f t="shared" si="16"/>
      </c>
      <c r="AA30" s="318">
        <f t="shared" si="14"/>
      </c>
      <c r="AB30" s="17"/>
    </row>
    <row r="31" spans="1:28" s="5" customFormat="1" ht="16.5" customHeight="1">
      <c r="A31" s="90"/>
      <c r="B31" s="95"/>
      <c r="C31" s="289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15"/>
      </c>
      <c r="P31" s="155">
        <f t="shared" si="4"/>
      </c>
      <c r="Q31" s="367">
        <f t="shared" si="5"/>
        <v>20</v>
      </c>
      <c r="R31" s="349" t="str">
        <f t="shared" si="6"/>
        <v>--</v>
      </c>
      <c r="S31" s="350" t="str">
        <f t="shared" si="7"/>
        <v>--</v>
      </c>
      <c r="T31" s="351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354" t="str">
        <f t="shared" si="11"/>
        <v>--</v>
      </c>
      <c r="X31" s="355" t="str">
        <f t="shared" si="12"/>
        <v>--</v>
      </c>
      <c r="Y31" s="356" t="str">
        <f t="shared" si="13"/>
        <v>--</v>
      </c>
      <c r="Z31" s="161">
        <f t="shared" si="16"/>
      </c>
      <c r="AA31" s="318">
        <f t="shared" si="14"/>
      </c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15"/>
      </c>
      <c r="P32" s="155">
        <f t="shared" si="4"/>
      </c>
      <c r="Q32" s="367">
        <f t="shared" si="5"/>
        <v>20</v>
      </c>
      <c r="R32" s="349" t="str">
        <f t="shared" si="6"/>
        <v>--</v>
      </c>
      <c r="S32" s="350" t="str">
        <f t="shared" si="7"/>
        <v>--</v>
      </c>
      <c r="T32" s="351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354" t="str">
        <f t="shared" si="11"/>
        <v>--</v>
      </c>
      <c r="X32" s="355" t="str">
        <f t="shared" si="12"/>
        <v>--</v>
      </c>
      <c r="Y32" s="356" t="str">
        <f t="shared" si="13"/>
        <v>--</v>
      </c>
      <c r="Z32" s="161">
        <f t="shared" si="16"/>
      </c>
      <c r="AA32" s="318">
        <f t="shared" si="14"/>
      </c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15"/>
      </c>
      <c r="P33" s="155">
        <f t="shared" si="4"/>
      </c>
      <c r="Q33" s="367">
        <f t="shared" si="5"/>
        <v>20</v>
      </c>
      <c r="R33" s="349" t="str">
        <f t="shared" si="6"/>
        <v>--</v>
      </c>
      <c r="S33" s="350" t="str">
        <f t="shared" si="7"/>
        <v>--</v>
      </c>
      <c r="T33" s="351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354" t="str">
        <f t="shared" si="11"/>
        <v>--</v>
      </c>
      <c r="X33" s="355" t="str">
        <f t="shared" si="12"/>
        <v>--</v>
      </c>
      <c r="Y33" s="356" t="str">
        <f t="shared" si="13"/>
        <v>--</v>
      </c>
      <c r="Z33" s="161">
        <f t="shared" si="16"/>
      </c>
      <c r="AA33" s="318">
        <f t="shared" si="14"/>
      </c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15"/>
      </c>
      <c r="P34" s="155">
        <f t="shared" si="4"/>
      </c>
      <c r="Q34" s="367">
        <f t="shared" si="5"/>
        <v>20</v>
      </c>
      <c r="R34" s="349" t="str">
        <f t="shared" si="6"/>
        <v>--</v>
      </c>
      <c r="S34" s="350" t="str">
        <f t="shared" si="7"/>
        <v>--</v>
      </c>
      <c r="T34" s="351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354" t="str">
        <f t="shared" si="11"/>
        <v>--</v>
      </c>
      <c r="X34" s="355" t="str">
        <f t="shared" si="12"/>
        <v>--</v>
      </c>
      <c r="Y34" s="356" t="str">
        <f t="shared" si="13"/>
        <v>--</v>
      </c>
      <c r="Z34" s="161">
        <f t="shared" si="16"/>
      </c>
      <c r="AA34" s="318">
        <f t="shared" si="14"/>
      </c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15"/>
      </c>
      <c r="P35" s="155">
        <f t="shared" si="4"/>
      </c>
      <c r="Q35" s="367">
        <f t="shared" si="5"/>
        <v>20</v>
      </c>
      <c r="R35" s="349" t="str">
        <f t="shared" si="6"/>
        <v>--</v>
      </c>
      <c r="S35" s="350" t="str">
        <f t="shared" si="7"/>
        <v>--</v>
      </c>
      <c r="T35" s="351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354" t="str">
        <f t="shared" si="11"/>
        <v>--</v>
      </c>
      <c r="X35" s="355" t="str">
        <f t="shared" si="12"/>
        <v>--</v>
      </c>
      <c r="Y35" s="356" t="str">
        <f t="shared" si="13"/>
        <v>--</v>
      </c>
      <c r="Z35" s="161">
        <f t="shared" si="16"/>
      </c>
      <c r="AA35" s="318">
        <f t="shared" si="14"/>
      </c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15"/>
      </c>
      <c r="P36" s="155">
        <f t="shared" si="4"/>
      </c>
      <c r="Q36" s="367">
        <f t="shared" si="5"/>
        <v>20</v>
      </c>
      <c r="R36" s="349" t="str">
        <f t="shared" si="6"/>
        <v>--</v>
      </c>
      <c r="S36" s="350" t="str">
        <f t="shared" si="7"/>
        <v>--</v>
      </c>
      <c r="T36" s="351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354" t="str">
        <f t="shared" si="11"/>
        <v>--</v>
      </c>
      <c r="X36" s="355" t="str">
        <f t="shared" si="12"/>
        <v>--</v>
      </c>
      <c r="Y36" s="356" t="str">
        <f t="shared" si="13"/>
        <v>--</v>
      </c>
      <c r="Z36" s="161">
        <f t="shared" si="16"/>
      </c>
      <c r="AA36" s="318">
        <f t="shared" si="14"/>
      </c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15"/>
      </c>
      <c r="P37" s="155">
        <f t="shared" si="4"/>
      </c>
      <c r="Q37" s="367">
        <f t="shared" si="5"/>
        <v>20</v>
      </c>
      <c r="R37" s="349" t="str">
        <f t="shared" si="6"/>
        <v>--</v>
      </c>
      <c r="S37" s="350" t="str">
        <f t="shared" si="7"/>
        <v>--</v>
      </c>
      <c r="T37" s="351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354" t="str">
        <f t="shared" si="11"/>
        <v>--</v>
      </c>
      <c r="X37" s="355" t="str">
        <f t="shared" si="12"/>
        <v>--</v>
      </c>
      <c r="Y37" s="356" t="str">
        <f t="shared" si="13"/>
        <v>--</v>
      </c>
      <c r="Z37" s="161">
        <f t="shared" si="16"/>
      </c>
      <c r="AA37" s="318">
        <f t="shared" si="14"/>
      </c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15"/>
      </c>
      <c r="P38" s="155">
        <f t="shared" si="4"/>
      </c>
      <c r="Q38" s="367">
        <f t="shared" si="5"/>
        <v>20</v>
      </c>
      <c r="R38" s="349" t="str">
        <f t="shared" si="6"/>
        <v>--</v>
      </c>
      <c r="S38" s="350" t="str">
        <f t="shared" si="7"/>
        <v>--</v>
      </c>
      <c r="T38" s="351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354" t="str">
        <f t="shared" si="11"/>
        <v>--</v>
      </c>
      <c r="X38" s="355" t="str">
        <f t="shared" si="12"/>
        <v>--</v>
      </c>
      <c r="Y38" s="356" t="str">
        <f t="shared" si="13"/>
        <v>--</v>
      </c>
      <c r="Z38" s="161">
        <f t="shared" si="16"/>
      </c>
      <c r="AA38" s="318">
        <f t="shared" si="14"/>
      </c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15"/>
      </c>
      <c r="P39" s="155">
        <f t="shared" si="4"/>
      </c>
      <c r="Q39" s="367">
        <f t="shared" si="5"/>
        <v>20</v>
      </c>
      <c r="R39" s="349" t="str">
        <f t="shared" si="6"/>
        <v>--</v>
      </c>
      <c r="S39" s="350" t="str">
        <f t="shared" si="7"/>
        <v>--</v>
      </c>
      <c r="T39" s="351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354" t="str">
        <f t="shared" si="11"/>
        <v>--</v>
      </c>
      <c r="X39" s="355" t="str">
        <f t="shared" si="12"/>
        <v>--</v>
      </c>
      <c r="Y39" s="356" t="str">
        <f t="shared" si="13"/>
        <v>--</v>
      </c>
      <c r="Z39" s="161">
        <f t="shared" si="16"/>
      </c>
      <c r="AA39" s="318">
        <f t="shared" si="14"/>
      </c>
      <c r="AB39" s="17"/>
    </row>
    <row r="40" spans="1:28" s="5" customFormat="1" ht="16.5" customHeight="1" thickBot="1">
      <c r="A40" s="90"/>
      <c r="B40" s="95"/>
      <c r="C40" s="157"/>
      <c r="D40" s="320"/>
      <c r="E40" s="321"/>
      <c r="F40" s="320"/>
      <c r="G40" s="322"/>
      <c r="H40" s="132"/>
      <c r="I40" s="160"/>
      <c r="J40" s="323"/>
      <c r="K40" s="324"/>
      <c r="L40" s="325"/>
      <c r="M40" s="165"/>
      <c r="N40" s="197"/>
      <c r="O40" s="163"/>
      <c r="P40" s="165"/>
      <c r="Q40" s="368"/>
      <c r="R40" s="357"/>
      <c r="S40" s="358"/>
      <c r="T40" s="359"/>
      <c r="U40" s="360"/>
      <c r="V40" s="361"/>
      <c r="W40" s="362"/>
      <c r="X40" s="363"/>
      <c r="Y40" s="364"/>
      <c r="Z40" s="365"/>
      <c r="AA40" s="336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353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37">
        <f aca="true" t="shared" si="17" ref="R41:Y41">SUM(R18:R40)</f>
        <v>0</v>
      </c>
      <c r="S41" s="338">
        <f t="shared" si="17"/>
        <v>0</v>
      </c>
      <c r="T41" s="339">
        <f t="shared" si="17"/>
        <v>1914</v>
      </c>
      <c r="U41" s="340">
        <f t="shared" si="17"/>
        <v>18029.88</v>
      </c>
      <c r="V41" s="341">
        <f t="shared" si="17"/>
        <v>0</v>
      </c>
      <c r="W41" s="342">
        <f t="shared" si="17"/>
        <v>0</v>
      </c>
      <c r="X41" s="343">
        <f t="shared" si="17"/>
        <v>0</v>
      </c>
      <c r="Y41" s="344">
        <f t="shared" si="17"/>
        <v>0</v>
      </c>
      <c r="Z41" s="90"/>
      <c r="AA41" s="345">
        <f>ROUND(SUM(AA18:AA40),2)</f>
        <v>19943.88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6.5" customHeight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4:29" ht="16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ht="16.5" customHeight="1"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/>
    <row r="156" ht="16.5" customHeight="1"/>
    <row r="1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6"/>
  <sheetViews>
    <sheetView zoomScale="50" zoomScaleNormal="50" workbookViewId="0" topLeftCell="B19">
      <selection activeCell="K23" sqref="K23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2" width="8.421875" style="0" hidden="1" customWidth="1"/>
    <col min="23" max="23" width="15.574218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+'TOT-1208'!B2</f>
        <v>ANEXO I al Memorándum D.T.E.E. N°   770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7" t="s">
        <v>2</v>
      </c>
      <c r="B4" s="778"/>
    </row>
    <row r="5" spans="1:2" s="25" customFormat="1" ht="12" thickBot="1">
      <c r="A5" s="777" t="s">
        <v>3</v>
      </c>
      <c r="B5" s="777"/>
    </row>
    <row r="6" spans="1:30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0"/>
      <c r="X6" s="180"/>
      <c r="Y6" s="180"/>
      <c r="Z6" s="180"/>
      <c r="AA6" s="180"/>
      <c r="AB6" s="180"/>
      <c r="AC6" s="180"/>
      <c r="AD6" s="94"/>
    </row>
    <row r="7" spans="1:30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3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8" t="s">
        <v>117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3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'TOT-1208'!B14</f>
        <v>Desde el 01 al 31 de diciembre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548"/>
      <c r="Y13" s="548"/>
      <c r="Z13" s="548"/>
      <c r="AA13" s="548"/>
      <c r="AB13" s="127"/>
      <c r="AC13" s="17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50"/>
      <c r="C18" s="33"/>
      <c r="D18" s="551"/>
      <c r="E18" s="552"/>
      <c r="F18" s="553"/>
      <c r="G18" s="33"/>
      <c r="H18" s="33"/>
      <c r="I18" s="33"/>
      <c r="J18" s="554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55"/>
    </row>
    <row r="19" spans="2:30" s="32" customFormat="1" ht="16.5" customHeight="1">
      <c r="B19" s="550"/>
      <c r="C19" s="33"/>
      <c r="D19" s="556" t="s">
        <v>103</v>
      </c>
      <c r="F19" s="557">
        <v>117.179</v>
      </c>
      <c r="G19" s="556" t="s">
        <v>104</v>
      </c>
      <c r="H19" s="33"/>
      <c r="I19" s="33"/>
      <c r="J19" s="558"/>
      <c r="K19" s="559" t="s">
        <v>40</v>
      </c>
      <c r="L19" s="560">
        <v>0.04</v>
      </c>
      <c r="R19" s="33"/>
      <c r="S19" s="33"/>
      <c r="T19" s="33"/>
      <c r="U19" s="33"/>
      <c r="V19" s="33"/>
      <c r="W19"/>
      <c r="AD19" s="555"/>
    </row>
    <row r="20" spans="2:30" s="32" customFormat="1" ht="16.5" customHeight="1">
      <c r="B20" s="550"/>
      <c r="C20" s="33"/>
      <c r="D20" s="556" t="s">
        <v>118</v>
      </c>
      <c r="F20" s="557">
        <v>0.319</v>
      </c>
      <c r="G20" s="556" t="s">
        <v>119</v>
      </c>
      <c r="H20" s="33"/>
      <c r="I20" s="33"/>
      <c r="J20" s="33"/>
      <c r="K20" s="551" t="s">
        <v>38</v>
      </c>
      <c r="L20" s="33">
        <f>MID(B13,16,2)*24</f>
        <v>744</v>
      </c>
      <c r="M20" s="33" t="s">
        <v>39</v>
      </c>
      <c r="N20" s="33"/>
      <c r="O20" s="33"/>
      <c r="P20" s="779"/>
      <c r="Q20" s="33"/>
      <c r="R20" s="33"/>
      <c r="S20" s="33"/>
      <c r="T20" s="33"/>
      <c r="U20" s="33"/>
      <c r="V20" s="33"/>
      <c r="W20"/>
      <c r="AD20" s="555"/>
    </row>
    <row r="21" spans="2:30" s="32" customFormat="1" ht="16.5" customHeight="1">
      <c r="B21" s="550"/>
      <c r="C21" s="33"/>
      <c r="D21" s="556" t="s">
        <v>120</v>
      </c>
      <c r="F21" s="557">
        <v>51.126</v>
      </c>
      <c r="G21" s="556" t="s">
        <v>121</v>
      </c>
      <c r="H21" s="33"/>
      <c r="I21" s="33"/>
      <c r="J21" s="33"/>
      <c r="K21" s="214"/>
      <c r="L21" s="215"/>
      <c r="M21" s="33"/>
      <c r="N21" s="33"/>
      <c r="O21" s="33"/>
      <c r="P21" s="779"/>
      <c r="Q21" s="33"/>
      <c r="R21" s="33"/>
      <c r="S21" s="33"/>
      <c r="T21" s="33"/>
      <c r="U21" s="33"/>
      <c r="V21" s="33"/>
      <c r="W21"/>
      <c r="AD21" s="555"/>
    </row>
    <row r="22" spans="2:30" s="32" customFormat="1" ht="16.5" customHeight="1">
      <c r="B22" s="550"/>
      <c r="C22" s="33"/>
      <c r="D22" s="556" t="s">
        <v>122</v>
      </c>
      <c r="F22" s="557">
        <v>63.904</v>
      </c>
      <c r="G22" s="556" t="s">
        <v>121</v>
      </c>
      <c r="H22" s="33"/>
      <c r="I22" s="33"/>
      <c r="J22" s="33"/>
      <c r="K22" s="214"/>
      <c r="L22" s="215"/>
      <c r="M22" s="33"/>
      <c r="N22" s="33"/>
      <c r="O22" s="33"/>
      <c r="P22" s="779"/>
      <c r="Q22" s="33"/>
      <c r="R22" s="33"/>
      <c r="S22" s="33"/>
      <c r="T22" s="33"/>
      <c r="U22" s="33"/>
      <c r="V22" s="33"/>
      <c r="W22"/>
      <c r="AD22" s="555"/>
    </row>
    <row r="23" spans="2:30" s="32" customFormat="1" ht="8.25" customHeight="1">
      <c r="B23" s="550"/>
      <c r="C23" s="33"/>
      <c r="D23" s="33"/>
      <c r="E23" s="56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55"/>
    </row>
    <row r="24" spans="1:30" ht="16.5" customHeight="1">
      <c r="A24" s="5"/>
      <c r="B24" s="50"/>
      <c r="C24" s="166" t="s">
        <v>105</v>
      </c>
      <c r="D24" s="3" t="s">
        <v>153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50"/>
      <c r="C26" s="553"/>
      <c r="D26"/>
      <c r="E26"/>
      <c r="F26"/>
      <c r="G26"/>
      <c r="H26"/>
      <c r="I26"/>
      <c r="J26" s="563" t="s">
        <v>45</v>
      </c>
      <c r="K26" s="564">
        <f>L19*AC68</f>
        <v>40301.15800640001</v>
      </c>
      <c r="L26"/>
      <c r="S26"/>
      <c r="T26"/>
      <c r="U26"/>
      <c r="W26"/>
      <c r="AD26" s="555"/>
    </row>
    <row r="27" spans="2:30" s="32" customFormat="1" ht="11.25" customHeight="1" thickTop="1">
      <c r="B27" s="550"/>
      <c r="C27" s="553"/>
      <c r="D27" s="33"/>
      <c r="E27" s="56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55"/>
    </row>
    <row r="28" spans="1:30" ht="16.5" customHeight="1">
      <c r="A28" s="5"/>
      <c r="B28" s="50"/>
      <c r="C28" s="166" t="s">
        <v>106</v>
      </c>
      <c r="D28" s="3" t="s">
        <v>154</v>
      </c>
      <c r="E28" s="2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19" t="s">
        <v>0</v>
      </c>
      <c r="E30" s="182" t="s">
        <v>14</v>
      </c>
      <c r="F30" s="87" t="s">
        <v>15</v>
      </c>
      <c r="G30" s="220" t="s">
        <v>77</v>
      </c>
      <c r="H30" s="221" t="s">
        <v>37</v>
      </c>
      <c r="I30" s="136" t="s">
        <v>16</v>
      </c>
      <c r="J30" s="85" t="s">
        <v>17</v>
      </c>
      <c r="K30" s="183" t="s">
        <v>18</v>
      </c>
      <c r="L30" s="88" t="s">
        <v>36</v>
      </c>
      <c r="M30" s="86" t="s">
        <v>31</v>
      </c>
      <c r="N30" s="88" t="s">
        <v>107</v>
      </c>
      <c r="O30" s="88" t="s">
        <v>58</v>
      </c>
      <c r="P30" s="183" t="s">
        <v>59</v>
      </c>
      <c r="Q30" s="85" t="s">
        <v>32</v>
      </c>
      <c r="R30" s="138" t="s">
        <v>20</v>
      </c>
      <c r="S30" s="565" t="s">
        <v>21</v>
      </c>
      <c r="T30" s="566" t="s">
        <v>78</v>
      </c>
      <c r="U30" s="567"/>
      <c r="V30" s="568"/>
      <c r="W30" s="569" t="s">
        <v>108</v>
      </c>
      <c r="X30" s="570"/>
      <c r="Y30" s="571"/>
      <c r="Z30" s="572" t="s">
        <v>22</v>
      </c>
      <c r="AA30" s="573" t="s">
        <v>23</v>
      </c>
      <c r="AB30" s="89" t="s">
        <v>80</v>
      </c>
      <c r="AC30" s="122" t="s">
        <v>24</v>
      </c>
      <c r="AD30" s="227"/>
      <c r="AE30"/>
    </row>
    <row r="31" spans="1:30" ht="16.5" customHeight="1" thickTop="1">
      <c r="A31" s="5"/>
      <c r="B31" s="50"/>
      <c r="C31" s="7"/>
      <c r="D31" s="574"/>
      <c r="E31" s="575"/>
      <c r="F31" s="576"/>
      <c r="G31" s="577"/>
      <c r="H31" s="578"/>
      <c r="I31" s="579"/>
      <c r="J31" s="580"/>
      <c r="K31" s="581"/>
      <c r="L31" s="7"/>
      <c r="M31" s="7"/>
      <c r="N31" s="189"/>
      <c r="O31" s="189"/>
      <c r="P31" s="7"/>
      <c r="Q31" s="186"/>
      <c r="R31" s="582"/>
      <c r="S31" s="583"/>
      <c r="T31" s="584"/>
      <c r="U31" s="585"/>
      <c r="V31" s="586"/>
      <c r="W31" s="587"/>
      <c r="X31" s="588"/>
      <c r="Y31" s="589"/>
      <c r="Z31" s="590"/>
      <c r="AA31" s="591"/>
      <c r="AB31" s="592"/>
      <c r="AC31" s="593"/>
      <c r="AD31" s="17"/>
    </row>
    <row r="32" spans="1:30" ht="16.5" customHeight="1">
      <c r="A32" s="5"/>
      <c r="B32" s="50"/>
      <c r="C32" s="916" t="s">
        <v>232</v>
      </c>
      <c r="D32" s="7"/>
      <c r="E32" s="542"/>
      <c r="F32" s="594"/>
      <c r="G32" s="595"/>
      <c r="H32" s="596">
        <f>IF(G32="A",200,IF(G32="B",60,20))</f>
        <v>20</v>
      </c>
      <c r="I32" s="597">
        <f>IF(F32&gt;100,F32,100)*$F$19/100</f>
        <v>117.179</v>
      </c>
      <c r="J32" s="598"/>
      <c r="K32" s="543"/>
      <c r="L32" s="599">
        <f>IF(D32="","",(K32-J32)*24)</f>
      </c>
      <c r="M32" s="416">
        <f>IF(D32="","",ROUND((K32-J32)*24*60,0))</f>
      </c>
      <c r="N32" s="600"/>
      <c r="O32" s="601">
        <f>IF(D32="","","--")</f>
      </c>
      <c r="P32" s="236">
        <f>IF(D32="","","NO")</f>
      </c>
      <c r="Q32" s="236">
        <f>IF(D32="","",IF(OR(N32="P",N32="RP"),"--","NO"))</f>
      </c>
      <c r="R32" s="602" t="str">
        <f>IF(N32="P",+I32*H32*ROUND(M32/60,2)/100,"--")</f>
        <v>--</v>
      </c>
      <c r="S32" s="603" t="str">
        <f>IF(N32="RP",I32*H32*ROUND(M32/60,2)*0.01*O32/100,"--")</f>
        <v>--</v>
      </c>
      <c r="T32" s="604" t="str">
        <f>IF(AND(N32="F",Q32="NO"),IF(P32="SI",1.2,1)*I32*H32,"--")</f>
        <v>--</v>
      </c>
      <c r="U32" s="605" t="str">
        <f>IF(AND(M32&gt;10,N32="F"),IF(M32&lt;=300,ROUND(M32/60,2),5)*I32*H32*IF(P32="SI",1.2,1),"--")</f>
        <v>--</v>
      </c>
      <c r="V32" s="606" t="str">
        <f>IF(AND(N32="F",M32&gt;300),IF(P32="SI",1.2,1)*(ROUND(M32/60,2)-5)*I32*H32*0.1,"--")</f>
        <v>--</v>
      </c>
      <c r="W32" s="607" t="str">
        <f>IF(AND(N32="R",Q32="NO"),IF(P32="SI",1.2,1)*I32*H32*O32/100,"--")</f>
        <v>--</v>
      </c>
      <c r="X32" s="608" t="str">
        <f>IF(AND(M32&gt;10,N32="R"),IF(M32&lt;=300,ROUND(M32/60,2),5)*I32*H32*O32/100*IF(P32="SI",1.2,1),"--")</f>
        <v>--</v>
      </c>
      <c r="Y32" s="609" t="str">
        <f>IF(AND(N32="R",M32&gt;300),IF(P32="SI",1.2,1)*(ROUND(M32/60,2)-5)*I32*H32*O32/100*0.1,"--")</f>
        <v>--</v>
      </c>
      <c r="Z32" s="610" t="str">
        <f>IF(N32="RF",IF(P32="SI",1.2,1)*ROUND(M32/60,2)*I32*H32*0.1,"--")</f>
        <v>--</v>
      </c>
      <c r="AA32" s="611" t="str">
        <f>IF(N32="RR",IF(P32="SI",1.2,1)*ROUND(M32/60,2)*I32*H32*O32/100*0.1,"--")</f>
        <v>--</v>
      </c>
      <c r="AB32" s="612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916" t="s">
        <v>233</v>
      </c>
      <c r="D33" s="7"/>
      <c r="E33" s="542"/>
      <c r="F33" s="594"/>
      <c r="G33" s="595"/>
      <c r="H33" s="596">
        <f>IF(G33="A",200,IF(G33="B",60,20))</f>
        <v>20</v>
      </c>
      <c r="I33" s="597">
        <f>IF(F33&gt;100,F33,100)*$F$19/100</f>
        <v>117.179</v>
      </c>
      <c r="J33" s="598"/>
      <c r="K33" s="543"/>
      <c r="L33" s="599">
        <f>IF(D33="","",(K33-J33)*24)</f>
      </c>
      <c r="M33" s="416">
        <f>IF(D33="","",ROUND((K33-J33)*24*60,0))</f>
      </c>
      <c r="N33" s="600"/>
      <c r="O33" s="601">
        <f>IF(D33="","","--")</f>
      </c>
      <c r="P33" s="236">
        <f>IF(D33="","","NO")</f>
      </c>
      <c r="Q33" s="236">
        <f>IF(D33="","",IF(OR(N33="P",N33="RP"),"--","NO"))</f>
      </c>
      <c r="R33" s="602" t="str">
        <f>IF(N33="P",+I33*H33*ROUND(M33/60,2)/100,"--")</f>
        <v>--</v>
      </c>
      <c r="S33" s="603" t="str">
        <f>IF(N33="RP",I33*H33*ROUND(M33/60,2)*0.01*O33/100,"--")</f>
        <v>--</v>
      </c>
      <c r="T33" s="604" t="str">
        <f>IF(AND(N33="F",Q33="NO"),IF(P33="SI",1.2,1)*I33*H33,"--")</f>
        <v>--</v>
      </c>
      <c r="U33" s="605" t="str">
        <f>IF(AND(M33&gt;10,N33="F"),IF(M33&lt;=300,ROUND(M33/60,2),5)*I33*H33*IF(P33="SI",1.2,1),"--")</f>
        <v>--</v>
      </c>
      <c r="V33" s="606" t="str">
        <f>IF(AND(N33="F",M33&gt;300),IF(P33="SI",1.2,1)*(ROUND(M33/60,2)-5)*I33*H33*0.1,"--")</f>
        <v>--</v>
      </c>
      <c r="W33" s="607" t="str">
        <f>IF(AND(N33="R",Q33="NO"),IF(P33="SI",1.2,1)*I33*H33*O33/100,"--")</f>
        <v>--</v>
      </c>
      <c r="X33" s="608" t="str">
        <f>IF(AND(M33&gt;10,N33="R"),IF(M33&lt;=300,ROUND(M33/60,2),5)*I33*H33*O33/100*IF(P33="SI",1.2,1),"--")</f>
        <v>--</v>
      </c>
      <c r="Y33" s="609" t="str">
        <f>IF(AND(N33="R",M33&gt;300),IF(P33="SI",1.2,1)*(ROUND(M33/60,2)-5)*I33*H33*O33/100*0.1,"--")</f>
        <v>--</v>
      </c>
      <c r="Z33" s="610" t="str">
        <f>IF(N33="RF",IF(P33="SI",1.2,1)*ROUND(M33/60,2)*I33*H33*0.1,"--")</f>
        <v>--</v>
      </c>
      <c r="AA33" s="611" t="str">
        <f>IF(N33="RR",IF(P33="SI",1.2,1)*ROUND(M33/60,2)*I33*H33*O33/100*0.1,"--")</f>
        <v>--</v>
      </c>
      <c r="AB33" s="612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690"/>
      <c r="D34" s="613"/>
      <c r="E34" s="614"/>
      <c r="F34" s="615"/>
      <c r="G34" s="616"/>
      <c r="H34" s="617"/>
      <c r="I34" s="618"/>
      <c r="J34" s="619"/>
      <c r="K34" s="619"/>
      <c r="L34" s="9"/>
      <c r="M34" s="9"/>
      <c r="N34" s="9"/>
      <c r="O34" s="620"/>
      <c r="P34" s="9"/>
      <c r="Q34" s="9"/>
      <c r="R34" s="621"/>
      <c r="S34" s="622"/>
      <c r="T34" s="623"/>
      <c r="U34" s="624"/>
      <c r="V34" s="625"/>
      <c r="W34" s="626"/>
      <c r="X34" s="627"/>
      <c r="Y34" s="628"/>
      <c r="Z34" s="629"/>
      <c r="AA34" s="630"/>
      <c r="AB34" s="631"/>
      <c r="AC34" s="632"/>
      <c r="AD34" s="242"/>
    </row>
    <row r="35" spans="1:30" ht="16.5" customHeight="1" thickBot="1" thickTop="1">
      <c r="A35" s="32"/>
      <c r="B35" s="50"/>
      <c r="C35" s="553"/>
      <c r="D35" s="553"/>
      <c r="E35" s="633"/>
      <c r="F35" s="562"/>
      <c r="G35" s="634"/>
      <c r="H35" s="634"/>
      <c r="I35" s="635"/>
      <c r="J35" s="635"/>
      <c r="K35" s="635"/>
      <c r="L35" s="635"/>
      <c r="M35" s="635"/>
      <c r="N35" s="635"/>
      <c r="O35" s="636"/>
      <c r="P35" s="635"/>
      <c r="Q35" s="635"/>
      <c r="R35" s="637">
        <f aca="true" t="shared" si="0" ref="R35:AA35">SUM(R31:R34)</f>
        <v>0</v>
      </c>
      <c r="S35" s="638">
        <f t="shared" si="0"/>
        <v>0</v>
      </c>
      <c r="T35" s="639">
        <f t="shared" si="0"/>
        <v>0</v>
      </c>
      <c r="U35" s="639">
        <f t="shared" si="0"/>
        <v>0</v>
      </c>
      <c r="V35" s="639">
        <f t="shared" si="0"/>
        <v>0</v>
      </c>
      <c r="W35" s="640">
        <f t="shared" si="0"/>
        <v>0</v>
      </c>
      <c r="X35" s="640">
        <f t="shared" si="0"/>
        <v>0</v>
      </c>
      <c r="Y35" s="640">
        <f t="shared" si="0"/>
        <v>0</v>
      </c>
      <c r="Z35" s="641">
        <f t="shared" si="0"/>
        <v>0</v>
      </c>
      <c r="AA35" s="642">
        <f t="shared" si="0"/>
        <v>0</v>
      </c>
      <c r="AB35" s="643"/>
      <c r="AC35" s="644">
        <f>SUM(AC31:AC34)</f>
        <v>0</v>
      </c>
      <c r="AD35" s="242"/>
    </row>
    <row r="36" spans="1:30" ht="13.5" customHeight="1" thickBot="1" thickTop="1">
      <c r="A36" s="32"/>
      <c r="B36" s="50"/>
      <c r="C36" s="553"/>
      <c r="D36" s="553"/>
      <c r="E36" s="633"/>
      <c r="F36" s="562"/>
      <c r="G36" s="634"/>
      <c r="H36" s="634"/>
      <c r="I36" s="635"/>
      <c r="J36" s="635"/>
      <c r="K36" s="635"/>
      <c r="L36" s="635"/>
      <c r="M36" s="635"/>
      <c r="N36" s="635"/>
      <c r="O36" s="636"/>
      <c r="P36" s="635"/>
      <c r="Q36" s="635"/>
      <c r="R36" s="645"/>
      <c r="S36" s="646"/>
      <c r="T36" s="647"/>
      <c r="U36" s="647"/>
      <c r="V36" s="647"/>
      <c r="W36" s="645"/>
      <c r="X36" s="645"/>
      <c r="Y36" s="645"/>
      <c r="Z36" s="645"/>
      <c r="AA36" s="645"/>
      <c r="AB36" s="648"/>
      <c r="AC36" s="649"/>
      <c r="AD36" s="242"/>
    </row>
    <row r="37" spans="1:33" s="5" customFormat="1" ht="33.75" customHeight="1" thickBot="1" thickTop="1">
      <c r="A37" s="90"/>
      <c r="B37" s="95"/>
      <c r="C37" s="124" t="s">
        <v>13</v>
      </c>
      <c r="D37" s="120" t="s">
        <v>27</v>
      </c>
      <c r="E37" s="119" t="s">
        <v>28</v>
      </c>
      <c r="F37" s="121" t="s">
        <v>29</v>
      </c>
      <c r="G37" s="122" t="s">
        <v>14</v>
      </c>
      <c r="H37" s="130" t="s">
        <v>16</v>
      </c>
      <c r="I37" s="650"/>
      <c r="J37" s="119" t="s">
        <v>17</v>
      </c>
      <c r="K37" s="119" t="s">
        <v>18</v>
      </c>
      <c r="L37" s="120" t="s">
        <v>30</v>
      </c>
      <c r="M37" s="120" t="s">
        <v>31</v>
      </c>
      <c r="N37" s="88" t="s">
        <v>109</v>
      </c>
      <c r="O37" s="119" t="s">
        <v>32</v>
      </c>
      <c r="P37" s="651" t="s">
        <v>33</v>
      </c>
      <c r="Q37" s="652"/>
      <c r="R37" s="130" t="s">
        <v>34</v>
      </c>
      <c r="S37" s="653" t="s">
        <v>20</v>
      </c>
      <c r="T37" s="654" t="s">
        <v>110</v>
      </c>
      <c r="U37" s="655"/>
      <c r="V37" s="656" t="s">
        <v>22</v>
      </c>
      <c r="W37" s="657"/>
      <c r="X37" s="658"/>
      <c r="Y37" s="658"/>
      <c r="Z37" s="658"/>
      <c r="AA37" s="659"/>
      <c r="AB37" s="133" t="s">
        <v>80</v>
      </c>
      <c r="AC37" s="122" t="s">
        <v>24</v>
      </c>
      <c r="AD37" s="17"/>
      <c r="AF37"/>
      <c r="AG37"/>
    </row>
    <row r="38" spans="1:30" ht="16.5" customHeight="1" thickTop="1">
      <c r="A38" s="5"/>
      <c r="B38" s="50"/>
      <c r="C38" s="7"/>
      <c r="D38" s="10"/>
      <c r="E38" s="10"/>
      <c r="F38" s="10"/>
      <c r="G38" s="660"/>
      <c r="H38" s="661"/>
      <c r="I38" s="662"/>
      <c r="J38" s="10"/>
      <c r="K38" s="10"/>
      <c r="L38" s="10"/>
      <c r="M38" s="10"/>
      <c r="N38" s="10"/>
      <c r="O38" s="663"/>
      <c r="P38" s="664"/>
      <c r="Q38" s="665"/>
      <c r="R38" s="134"/>
      <c r="S38" s="666"/>
      <c r="T38" s="667"/>
      <c r="U38" s="668"/>
      <c r="V38" s="669"/>
      <c r="W38" s="670"/>
      <c r="X38" s="671"/>
      <c r="Y38" s="671"/>
      <c r="Z38" s="671"/>
      <c r="AA38" s="672"/>
      <c r="AB38" s="663"/>
      <c r="AC38" s="673"/>
      <c r="AD38" s="17"/>
    </row>
    <row r="39" spans="1:30" ht="16.5" customHeight="1">
      <c r="A39" s="5"/>
      <c r="B39" s="50"/>
      <c r="C39" s="916" t="s">
        <v>232</v>
      </c>
      <c r="D39" s="674" t="s">
        <v>340</v>
      </c>
      <c r="E39" s="675" t="s">
        <v>341</v>
      </c>
      <c r="F39" s="676">
        <v>80</v>
      </c>
      <c r="G39" s="677">
        <v>500</v>
      </c>
      <c r="H39" s="678">
        <f>F39*$F$20</f>
        <v>25.52</v>
      </c>
      <c r="I39" s="679"/>
      <c r="J39" s="680">
        <v>39804.521527777775</v>
      </c>
      <c r="K39" s="680">
        <v>39804.643055555556</v>
      </c>
      <c r="L39" s="307">
        <f>IF(D39="","",(K39-J39)*24)</f>
        <v>2.916666666744277</v>
      </c>
      <c r="M39" s="14">
        <f>IF(D39="","",(K39-J39)*24*60)</f>
        <v>175.0000000046566</v>
      </c>
      <c r="N39" s="13" t="s">
        <v>250</v>
      </c>
      <c r="O39" s="8" t="str">
        <f>IF(D39="","",IF(OR(N39="P",N39="RP"),"--","NO"))</f>
        <v>--</v>
      </c>
      <c r="P39" s="681" t="str">
        <f>IF(D39="","","NO")</f>
        <v>NO</v>
      </c>
      <c r="Q39" s="682"/>
      <c r="R39" s="683">
        <f>200*IF(P39="SI",1,0.1)*IF(N39="P",0.1,1)</f>
        <v>2</v>
      </c>
      <c r="S39" s="684">
        <f>IF(N39="P",H39*R39*ROUND(M39/60,2),"--")</f>
        <v>149.0368</v>
      </c>
      <c r="T39" s="685" t="str">
        <f>IF(AND(N39="F",O39="NO"),H39*R39,"--")</f>
        <v>--</v>
      </c>
      <c r="U39" s="686" t="str">
        <f>IF(N39="F",H39*R39*ROUND(M39/60,2),"--")</f>
        <v>--</v>
      </c>
      <c r="V39" s="410" t="str">
        <f>IF(N39="RF",H39*R39*ROUND(M39/60,2),"--")</f>
        <v>--</v>
      </c>
      <c r="W39" s="687"/>
      <c r="X39" s="688"/>
      <c r="Y39" s="688"/>
      <c r="Z39" s="688"/>
      <c r="AA39" s="689"/>
      <c r="AB39" s="317" t="str">
        <f>IF(D39="","","SI")</f>
        <v>SI</v>
      </c>
      <c r="AC39" s="318">
        <f>IF(D39="","",SUM(S39:V39)*IF(AB39="SI",1,2))</f>
        <v>149.0368</v>
      </c>
      <c r="AD39" s="17"/>
    </row>
    <row r="40" spans="1:30" ht="16.5" customHeight="1">
      <c r="A40" s="5"/>
      <c r="B40" s="50"/>
      <c r="C40" s="916" t="s">
        <v>233</v>
      </c>
      <c r="D40" s="674" t="s">
        <v>340</v>
      </c>
      <c r="E40" s="675" t="s">
        <v>341</v>
      </c>
      <c r="F40" s="676">
        <v>80</v>
      </c>
      <c r="G40" s="677">
        <v>500</v>
      </c>
      <c r="H40" s="678">
        <f>F40*$F$20</f>
        <v>25.52</v>
      </c>
      <c r="I40" s="679"/>
      <c r="J40" s="680">
        <v>39805.34375</v>
      </c>
      <c r="K40" s="680">
        <v>39805.683333333334</v>
      </c>
      <c r="L40" s="307">
        <f>IF(D40="","",(K40-J40)*24)</f>
        <v>8.150000000023283</v>
      </c>
      <c r="M40" s="14">
        <f>IF(D40="","",(K40-J40)*24*60)</f>
        <v>489.000000001397</v>
      </c>
      <c r="N40" s="13" t="s">
        <v>250</v>
      </c>
      <c r="O40" s="8" t="str">
        <f>IF(D40="","",IF(OR(N40="P",N40="RP"),"--","NO"))</f>
        <v>--</v>
      </c>
      <c r="P40" s="681" t="str">
        <f>IF(D40="","","NO")</f>
        <v>NO</v>
      </c>
      <c r="Q40" s="682"/>
      <c r="R40" s="683">
        <f>200*IF(P40="SI",1,0.1)*IF(N40="P",0.1,1)</f>
        <v>2</v>
      </c>
      <c r="S40" s="684">
        <f>IF(N40="P",H40*R40*ROUND(M40/60,2),"--")</f>
        <v>415.976</v>
      </c>
      <c r="T40" s="685" t="str">
        <f>IF(AND(N40="F",O40="NO"),H40*R40,"--")</f>
        <v>--</v>
      </c>
      <c r="U40" s="686" t="str">
        <f>IF(N40="F",H40*R40*ROUND(M40/60,2),"--")</f>
        <v>--</v>
      </c>
      <c r="V40" s="410" t="str">
        <f>IF(N40="RF",H40*R40*ROUND(M40/60,2),"--")</f>
        <v>--</v>
      </c>
      <c r="W40" s="687"/>
      <c r="X40" s="688"/>
      <c r="Y40" s="688"/>
      <c r="Z40" s="688"/>
      <c r="AA40" s="689"/>
      <c r="AB40" s="317" t="str">
        <f>IF(D40="","","SI")</f>
        <v>SI</v>
      </c>
      <c r="AC40" s="318">
        <f>IF(D40="","",SUM(S40:V40)*IF(AB40="SI",1,2))</f>
        <v>415.976</v>
      </c>
      <c r="AD40" s="17"/>
    </row>
    <row r="41" spans="1:30" ht="16.5" customHeight="1" thickBot="1">
      <c r="A41" s="32"/>
      <c r="B41" s="50"/>
      <c r="C41" s="690"/>
      <c r="D41" s="691"/>
      <c r="E41" s="692"/>
      <c r="F41" s="693"/>
      <c r="G41" s="694"/>
      <c r="H41" s="695"/>
      <c r="I41" s="696"/>
      <c r="J41" s="697"/>
      <c r="K41" s="698"/>
      <c r="L41" s="699"/>
      <c r="M41" s="700"/>
      <c r="N41" s="701"/>
      <c r="O41" s="9"/>
      <c r="P41" s="702"/>
      <c r="Q41" s="703"/>
      <c r="R41" s="704"/>
      <c r="S41" s="705"/>
      <c r="T41" s="706"/>
      <c r="U41" s="707"/>
      <c r="V41" s="708"/>
      <c r="W41" s="709"/>
      <c r="X41" s="710"/>
      <c r="Y41" s="710"/>
      <c r="Z41" s="710"/>
      <c r="AA41" s="711"/>
      <c r="AB41" s="712"/>
      <c r="AC41" s="713"/>
      <c r="AD41" s="242"/>
    </row>
    <row r="42" spans="1:30" ht="16.5" customHeight="1" thickBot="1" thickTop="1">
      <c r="A42" s="32"/>
      <c r="B42" s="50"/>
      <c r="C42" s="98"/>
      <c r="D42" s="217"/>
      <c r="E42" s="217"/>
      <c r="F42" s="447"/>
      <c r="G42" s="714"/>
      <c r="H42" s="715"/>
      <c r="I42" s="716"/>
      <c r="J42" s="717"/>
      <c r="K42" s="718"/>
      <c r="L42" s="719"/>
      <c r="M42" s="715"/>
      <c r="N42" s="720"/>
      <c r="O42" s="198"/>
      <c r="P42" s="978"/>
      <c r="Q42" s="979"/>
      <c r="R42" s="972"/>
      <c r="S42" s="972"/>
      <c r="T42" s="972"/>
      <c r="U42" s="973"/>
      <c r="V42" s="973"/>
      <c r="W42" s="973"/>
      <c r="X42" s="973"/>
      <c r="Y42" s="973"/>
      <c r="Z42" s="973"/>
      <c r="AA42" s="973"/>
      <c r="AB42" s="973"/>
      <c r="AC42" s="724">
        <f>SUM(AC38:AC41)</f>
        <v>565.0128</v>
      </c>
      <c r="AD42" s="242"/>
    </row>
    <row r="43" spans="1:30" ht="13.5" customHeight="1" thickBot="1" thickTop="1">
      <c r="A43" s="32"/>
      <c r="B43" s="50"/>
      <c r="C43" s="553"/>
      <c r="D43" s="553"/>
      <c r="E43" s="633"/>
      <c r="F43" s="562"/>
      <c r="G43" s="634"/>
      <c r="H43" s="634"/>
      <c r="I43" s="635"/>
      <c r="J43" s="635"/>
      <c r="K43" s="635"/>
      <c r="L43" s="635"/>
      <c r="M43" s="635"/>
      <c r="N43" s="635"/>
      <c r="O43" s="636"/>
      <c r="P43" s="980"/>
      <c r="Q43" s="980"/>
      <c r="R43" s="800"/>
      <c r="S43" s="801"/>
      <c r="T43" s="802"/>
      <c r="U43" s="802"/>
      <c r="V43" s="802"/>
      <c r="W43" s="800"/>
      <c r="X43" s="800"/>
      <c r="Y43" s="800"/>
      <c r="Z43" s="800"/>
      <c r="AA43" s="800"/>
      <c r="AB43" s="981"/>
      <c r="AC43" s="649"/>
      <c r="AD43" s="242"/>
    </row>
    <row r="44" spans="1:33" s="5" customFormat="1" ht="33.75" customHeight="1" thickBot="1" thickTop="1">
      <c r="A44" s="90"/>
      <c r="B44" s="95"/>
      <c r="C44" s="124" t="s">
        <v>13</v>
      </c>
      <c r="D44" s="120" t="s">
        <v>27</v>
      </c>
      <c r="E44" s="119" t="s">
        <v>28</v>
      </c>
      <c r="F44" s="1059" t="s">
        <v>272</v>
      </c>
      <c r="G44" s="1060"/>
      <c r="H44" s="130" t="s">
        <v>16</v>
      </c>
      <c r="I44" s="650"/>
      <c r="J44" s="119" t="s">
        <v>17</v>
      </c>
      <c r="K44" s="119" t="s">
        <v>18</v>
      </c>
      <c r="L44" s="120" t="s">
        <v>30</v>
      </c>
      <c r="M44" s="120" t="s">
        <v>31</v>
      </c>
      <c r="N44" s="88" t="s">
        <v>109</v>
      </c>
      <c r="O44" s="119" t="s">
        <v>32</v>
      </c>
      <c r="P44" s="651" t="s">
        <v>33</v>
      </c>
      <c r="Q44" s="652"/>
      <c r="R44" s="130" t="s">
        <v>34</v>
      </c>
      <c r="S44" s="653" t="s">
        <v>20</v>
      </c>
      <c r="T44" s="654" t="s">
        <v>110</v>
      </c>
      <c r="U44" s="655"/>
      <c r="V44" s="656" t="s">
        <v>22</v>
      </c>
      <c r="W44" s="974" t="s">
        <v>262</v>
      </c>
      <c r="X44" s="658"/>
      <c r="Y44" s="658"/>
      <c r="Z44" s="658"/>
      <c r="AA44" s="659"/>
      <c r="AB44" s="133" t="s">
        <v>80</v>
      </c>
      <c r="AC44" s="122" t="s">
        <v>24</v>
      </c>
      <c r="AD44" s="17"/>
      <c r="AF44"/>
      <c r="AG44"/>
    </row>
    <row r="45" spans="1:30" ht="16.5" customHeight="1" thickTop="1">
      <c r="A45" s="5"/>
      <c r="B45" s="50"/>
      <c r="C45" s="7"/>
      <c r="D45" s="10"/>
      <c r="E45" s="10"/>
      <c r="F45" s="1061"/>
      <c r="G45" s="1062"/>
      <c r="H45" s="661"/>
      <c r="I45" s="662"/>
      <c r="J45" s="10"/>
      <c r="K45" s="10"/>
      <c r="L45" s="10"/>
      <c r="M45" s="10"/>
      <c r="N45" s="10"/>
      <c r="O45" s="663"/>
      <c r="P45" s="664"/>
      <c r="Q45" s="665"/>
      <c r="R45" s="134"/>
      <c r="S45" s="666"/>
      <c r="T45" s="667"/>
      <c r="U45" s="668"/>
      <c r="V45" s="669"/>
      <c r="W45" s="975"/>
      <c r="X45" s="671"/>
      <c r="Y45" s="671"/>
      <c r="Z45" s="671"/>
      <c r="AA45" s="672"/>
      <c r="AB45" s="663"/>
      <c r="AC45" s="673"/>
      <c r="AD45" s="17"/>
    </row>
    <row r="46" spans="1:30" ht="15">
      <c r="A46" s="5"/>
      <c r="B46" s="50"/>
      <c r="C46" s="916" t="s">
        <v>232</v>
      </c>
      <c r="D46" s="674"/>
      <c r="E46" s="675"/>
      <c r="F46" s="1063"/>
      <c r="G46" s="1064"/>
      <c r="H46" s="678">
        <f>F46*$F$20</f>
        <v>0</v>
      </c>
      <c r="I46" s="679"/>
      <c r="J46" s="414"/>
      <c r="K46" s="192"/>
      <c r="L46" s="307">
        <f>IF(D46="","",(K46-J46)*24)</f>
      </c>
      <c r="M46" s="14">
        <f>IF(D46="","",(K46-J46)*24*60)</f>
      </c>
      <c r="N46" s="13"/>
      <c r="O46" s="8">
        <f>IF(D46="","",IF(N46="P","--","NO"))</f>
      </c>
      <c r="P46" s="1065">
        <f>IF(D46="","","--")</f>
      </c>
      <c r="Q46" s="1066"/>
      <c r="R46" s="486">
        <f>IF(OR(N46="P",N46="RP"),20/10,20)</f>
        <v>20</v>
      </c>
      <c r="S46" s="684" t="str">
        <f>IF(N46="P",H46*R46*ROUND(M46/60,2),"--")</f>
        <v>--</v>
      </c>
      <c r="T46" s="685" t="str">
        <f>IF(AND(N46="F",O46="NO"),H46*R46,"--")</f>
        <v>--</v>
      </c>
      <c r="U46" s="686" t="str">
        <f>IF(N46="F",H46*R46*ROUND(M46/60,2),"--")</f>
        <v>--</v>
      </c>
      <c r="V46" s="410" t="str">
        <f>IF(N46="RF",H46*R46*ROUND(M46/60,2),"--")</f>
        <v>--</v>
      </c>
      <c r="W46" s="976" t="str">
        <f>IF(N46="RP",H46*R46*P46/100*ROUND(M46/60,2),"--")</f>
        <v>--</v>
      </c>
      <c r="X46" s="688"/>
      <c r="Y46" s="688"/>
      <c r="Z46" s="688"/>
      <c r="AA46" s="689"/>
      <c r="AB46" s="317">
        <f>IF(D46="","","SI")</f>
      </c>
      <c r="AC46" s="318">
        <f>IF(D46="","",SUM(S46:W46)*IF(AB46="SI",1,2)*IF(AND(P46&lt;&gt;"--",N46="RF"),P46/100,1))</f>
      </c>
      <c r="AD46" s="242"/>
    </row>
    <row r="47" spans="1:30" ht="16.5" customHeight="1">
      <c r="A47" s="5"/>
      <c r="B47" s="50"/>
      <c r="C47" s="916" t="s">
        <v>233</v>
      </c>
      <c r="D47" s="674"/>
      <c r="E47" s="675"/>
      <c r="F47" s="1063"/>
      <c r="G47" s="1064"/>
      <c r="H47" s="678">
        <f>F47*$F$20</f>
        <v>0</v>
      </c>
      <c r="I47" s="679"/>
      <c r="J47" s="680"/>
      <c r="K47" s="680"/>
      <c r="L47" s="307">
        <f>IF(D47="","",(K47-J47)*24)</f>
      </c>
      <c r="M47" s="14">
        <f>IF(D47="","",(K47-J47)*24*60)</f>
      </c>
      <c r="N47" s="13"/>
      <c r="O47" s="8">
        <f>IF(D47="","",IF(OR(N47="P",N47="RP"),"--","NO"))</f>
      </c>
      <c r="P47" s="681">
        <f>IF(D47="","","NO")</f>
      </c>
      <c r="Q47" s="682"/>
      <c r="R47" s="486">
        <f>IF(OR(N47="P",N47="RP"),20/10,20)</f>
        <v>20</v>
      </c>
      <c r="S47" s="684" t="str">
        <f>IF(N47="P",H47*R47*ROUND(M47/60,2),"--")</f>
        <v>--</v>
      </c>
      <c r="T47" s="685" t="str">
        <f>IF(AND(N47="F",O47="NO"),H47*R47,"--")</f>
        <v>--</v>
      </c>
      <c r="U47" s="686" t="str">
        <f>IF(N47="F",H47*R47*ROUND(M47/60,2),"--")</f>
        <v>--</v>
      </c>
      <c r="V47" s="410" t="str">
        <f>IF(N47="RF",H47*R47*ROUND(M47/60,2),"--")</f>
        <v>--</v>
      </c>
      <c r="W47" s="976" t="str">
        <f>IF(N47="RP",H47*R47*P47/100*ROUND(M47/60,2),"--")</f>
        <v>--</v>
      </c>
      <c r="X47" s="688"/>
      <c r="Y47" s="688"/>
      <c r="Z47" s="688"/>
      <c r="AA47" s="689"/>
      <c r="AB47" s="317">
        <f>IF(D47="","","SI")</f>
      </c>
      <c r="AC47" s="318">
        <f>IF(D47="","",SUM(S47:V47)*IF(AB47="SI",1,2))</f>
      </c>
      <c r="AD47" s="17"/>
    </row>
    <row r="48" spans="1:30" ht="16.5" customHeight="1">
      <c r="A48" s="5"/>
      <c r="B48" s="50"/>
      <c r="C48" s="916" t="s">
        <v>234</v>
      </c>
      <c r="D48" s="674"/>
      <c r="E48" s="675"/>
      <c r="F48" s="1063"/>
      <c r="G48" s="1064"/>
      <c r="H48" s="678">
        <f>F48*$F$20</f>
        <v>0</v>
      </c>
      <c r="I48" s="679"/>
      <c r="J48" s="680"/>
      <c r="K48" s="680"/>
      <c r="L48" s="307">
        <f>IF(D48="","",(K48-J48)*24)</f>
      </c>
      <c r="M48" s="14">
        <f>IF(D48="","",(K48-J48)*24*60)</f>
      </c>
      <c r="N48" s="13"/>
      <c r="O48" s="8">
        <f>IF(D48="","",IF(OR(N48="P",N48="RP"),"--","NO"))</f>
      </c>
      <c r="P48" s="681">
        <f>IF(D48="","","NO")</f>
      </c>
      <c r="Q48" s="682"/>
      <c r="R48" s="486">
        <f>IF(OR(N48="P",N48="RP"),20/10,20)</f>
        <v>20</v>
      </c>
      <c r="S48" s="684" t="str">
        <f>IF(N48="P",H48*R48*ROUND(M48/60,2),"--")</f>
        <v>--</v>
      </c>
      <c r="T48" s="685" t="str">
        <f>IF(AND(N48="F",O48="NO"),H48*R48,"--")</f>
        <v>--</v>
      </c>
      <c r="U48" s="686" t="str">
        <f>IF(N48="F",H48*R48*ROUND(M48/60,2),"--")</f>
        <v>--</v>
      </c>
      <c r="V48" s="410" t="str">
        <f>IF(N48="RF",H48*R48*ROUND(M48/60,2),"--")</f>
        <v>--</v>
      </c>
      <c r="W48" s="976" t="str">
        <f>IF(N48="RP",H48*R48*P48/100*ROUND(M48/60,2),"--")</f>
        <v>--</v>
      </c>
      <c r="X48" s="688"/>
      <c r="Y48" s="688"/>
      <c r="Z48" s="688"/>
      <c r="AA48" s="689"/>
      <c r="AB48" s="317">
        <f>IF(D48="","","SI")</f>
      </c>
      <c r="AC48" s="318">
        <f>IF(D48="","",SUM(S48:V48)*IF(AB48="SI",1,2))</f>
      </c>
      <c r="AD48" s="17"/>
    </row>
    <row r="49" spans="1:30" ht="16.5" customHeight="1">
      <c r="A49" s="5"/>
      <c r="B49" s="50"/>
      <c r="C49" s="916" t="s">
        <v>235</v>
      </c>
      <c r="D49" s="674"/>
      <c r="E49" s="675"/>
      <c r="F49" s="1063"/>
      <c r="G49" s="1064"/>
      <c r="H49" s="678">
        <f>F49*$F$20</f>
        <v>0</v>
      </c>
      <c r="I49" s="679"/>
      <c r="J49" s="680"/>
      <c r="K49" s="680"/>
      <c r="L49" s="307">
        <f>IF(D49="","",(K49-J49)*24)</f>
      </c>
      <c r="M49" s="14">
        <f>IF(D49="","",(K49-J49)*24*60)</f>
      </c>
      <c r="N49" s="13"/>
      <c r="O49" s="8">
        <f>IF(D49="","",IF(OR(N49="P",N49="RP"),"--","NO"))</f>
      </c>
      <c r="P49" s="681">
        <f>IF(D49="","","NO")</f>
      </c>
      <c r="Q49" s="682"/>
      <c r="R49" s="486">
        <f>IF(OR(N49="P",N49="RP"),20/10,20)</f>
        <v>20</v>
      </c>
      <c r="S49" s="684" t="str">
        <f>IF(N49="P",H49*R49*ROUND(M49/60,2),"--")</f>
        <v>--</v>
      </c>
      <c r="T49" s="685" t="str">
        <f>IF(AND(N49="F",O49="NO"),H49*R49,"--")</f>
        <v>--</v>
      </c>
      <c r="U49" s="686" t="str">
        <f>IF(N49="F",H49*R49*ROUND(M49/60,2),"--")</f>
        <v>--</v>
      </c>
      <c r="V49" s="410" t="str">
        <f>IF(N49="RF",H49*R49*ROUND(M49/60,2),"--")</f>
        <v>--</v>
      </c>
      <c r="W49" s="976" t="str">
        <f>IF(N49="RP",H49*R49*P49/100*ROUND(M49/60,2),"--")</f>
        <v>--</v>
      </c>
      <c r="X49" s="688"/>
      <c r="Y49" s="688"/>
      <c r="Z49" s="688"/>
      <c r="AA49" s="689"/>
      <c r="AB49" s="317">
        <f>IF(D49="","","SI")</f>
      </c>
      <c r="AC49" s="318">
        <f>IF(D49="","",SUM(S49:V49)*IF(AB49="SI",1,2))</f>
      </c>
      <c r="AD49" s="17"/>
    </row>
    <row r="50" spans="1:30" ht="16.5" customHeight="1">
      <c r="A50" s="5"/>
      <c r="B50" s="50"/>
      <c r="C50" s="916" t="s">
        <v>236</v>
      </c>
      <c r="D50" s="674"/>
      <c r="E50" s="675"/>
      <c r="F50" s="1063"/>
      <c r="G50" s="1064"/>
      <c r="H50" s="678">
        <f>F50*$F$20</f>
        <v>0</v>
      </c>
      <c r="I50" s="679"/>
      <c r="J50" s="680"/>
      <c r="K50" s="680"/>
      <c r="L50" s="307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681">
        <f>IF(D50="","","NO")</f>
      </c>
      <c r="Q50" s="682"/>
      <c r="R50" s="486">
        <f>IF(OR(N50="P",N50="RP"),20/10,20)</f>
        <v>20</v>
      </c>
      <c r="S50" s="684" t="str">
        <f>IF(N50="P",H50*R50*ROUND(M50/60,2),"--")</f>
        <v>--</v>
      </c>
      <c r="T50" s="685" t="str">
        <f>IF(AND(N50="F",O50="NO"),H50*R50,"--")</f>
        <v>--</v>
      </c>
      <c r="U50" s="686" t="str">
        <f>IF(N50="F",H50*R50*ROUND(M50/60,2),"--")</f>
        <v>--</v>
      </c>
      <c r="V50" s="410" t="str">
        <f>IF(N50="RF",H50*R50*ROUND(M50/60,2),"--")</f>
        <v>--</v>
      </c>
      <c r="W50" s="976" t="str">
        <f>IF(N50="RP",H50*R50*P50/100*ROUND(M50/60,2),"--")</f>
        <v>--</v>
      </c>
      <c r="X50" s="688"/>
      <c r="Y50" s="688"/>
      <c r="Z50" s="688"/>
      <c r="AA50" s="689"/>
      <c r="AB50" s="317">
        <f>IF(D50="","","SI")</f>
      </c>
      <c r="AC50" s="318">
        <f>IF(D50="","",SUM(S50:V50)*IF(AB50="SI",1,2))</f>
      </c>
      <c r="AD50" s="17"/>
    </row>
    <row r="51" spans="1:30" ht="16.5" customHeight="1" thickBot="1">
      <c r="A51" s="32"/>
      <c r="B51" s="50"/>
      <c r="C51" s="690"/>
      <c r="D51" s="691"/>
      <c r="E51" s="692"/>
      <c r="F51" s="1067"/>
      <c r="G51" s="1068"/>
      <c r="H51" s="695"/>
      <c r="I51" s="696"/>
      <c r="J51" s="697"/>
      <c r="K51" s="698"/>
      <c r="L51" s="699"/>
      <c r="M51" s="700"/>
      <c r="N51" s="701"/>
      <c r="O51" s="9"/>
      <c r="P51" s="702"/>
      <c r="Q51" s="703"/>
      <c r="R51" s="704"/>
      <c r="S51" s="705"/>
      <c r="T51" s="706"/>
      <c r="U51" s="707"/>
      <c r="V51" s="708"/>
      <c r="W51" s="982"/>
      <c r="X51" s="710"/>
      <c r="Y51" s="710"/>
      <c r="Z51" s="710"/>
      <c r="AA51" s="711"/>
      <c r="AB51" s="712"/>
      <c r="AC51" s="713"/>
      <c r="AD51" s="242"/>
    </row>
    <row r="52" spans="1:30" ht="16.5" customHeight="1" thickBot="1" thickTop="1">
      <c r="A52" s="32"/>
      <c r="B52" s="50"/>
      <c r="C52" s="98"/>
      <c r="D52" s="217"/>
      <c r="E52" s="217"/>
      <c r="F52" s="447"/>
      <c r="G52" s="714"/>
      <c r="H52" s="715"/>
      <c r="I52" s="716"/>
      <c r="J52" s="717"/>
      <c r="K52" s="718"/>
      <c r="L52" s="719"/>
      <c r="M52" s="715"/>
      <c r="N52" s="720"/>
      <c r="O52" s="198"/>
      <c r="P52" s="721"/>
      <c r="Q52" s="722"/>
      <c r="R52" s="723"/>
      <c r="S52" s="723"/>
      <c r="T52" s="723"/>
      <c r="U52" s="199"/>
      <c r="V52" s="199"/>
      <c r="W52" s="199"/>
      <c r="X52" s="199"/>
      <c r="Y52" s="199"/>
      <c r="Z52" s="199"/>
      <c r="AA52" s="199"/>
      <c r="AB52" s="199"/>
      <c r="AC52" s="724">
        <f>SUM(AC45:AC51)</f>
        <v>0</v>
      </c>
      <c r="AD52" s="242"/>
    </row>
    <row r="53" spans="1:30" ht="16.5" customHeight="1" thickBot="1" thickTop="1">
      <c r="A53" s="32"/>
      <c r="B53" s="50"/>
      <c r="C53" s="98"/>
      <c r="D53" s="217"/>
      <c r="E53" s="217"/>
      <c r="F53" s="447"/>
      <c r="G53" s="714"/>
      <c r="H53" s="715"/>
      <c r="I53" s="716"/>
      <c r="J53" s="563" t="s">
        <v>42</v>
      </c>
      <c r="K53" s="564">
        <f>+AC42+AC35+AC52</f>
        <v>565.0128</v>
      </c>
      <c r="L53" s="719"/>
      <c r="M53" s="715"/>
      <c r="N53" s="725"/>
      <c r="O53" s="726"/>
      <c r="P53" s="721"/>
      <c r="Q53" s="722"/>
      <c r="R53" s="723"/>
      <c r="S53" s="723"/>
      <c r="T53" s="723"/>
      <c r="U53" s="199"/>
      <c r="V53" s="199"/>
      <c r="W53" s="199"/>
      <c r="X53" s="199"/>
      <c r="Y53" s="199"/>
      <c r="Z53" s="199"/>
      <c r="AA53" s="199"/>
      <c r="AB53" s="199"/>
      <c r="AC53" s="727"/>
      <c r="AD53" s="242"/>
    </row>
    <row r="54" spans="1:30" ht="13.5" customHeight="1" thickTop="1">
      <c r="A54" s="32"/>
      <c r="B54" s="550"/>
      <c r="C54" s="553"/>
      <c r="D54" s="728"/>
      <c r="E54" s="729"/>
      <c r="F54" s="730"/>
      <c r="G54" s="731"/>
      <c r="H54" s="731"/>
      <c r="I54" s="729"/>
      <c r="J54" s="541"/>
      <c r="K54" s="541"/>
      <c r="L54" s="729"/>
      <c r="M54" s="729"/>
      <c r="N54" s="729"/>
      <c r="O54" s="732"/>
      <c r="P54" s="729"/>
      <c r="Q54" s="729"/>
      <c r="R54" s="733"/>
      <c r="S54" s="734"/>
      <c r="T54" s="734"/>
      <c r="U54" s="735"/>
      <c r="AC54" s="735"/>
      <c r="AD54" s="736"/>
    </row>
    <row r="55" spans="1:30" ht="16.5" customHeight="1">
      <c r="A55" s="32"/>
      <c r="B55" s="550"/>
      <c r="C55" s="737" t="s">
        <v>111</v>
      </c>
      <c r="D55" s="738" t="s">
        <v>155</v>
      </c>
      <c r="E55" s="729"/>
      <c r="F55" s="730"/>
      <c r="G55" s="731"/>
      <c r="H55" s="731"/>
      <c r="I55" s="729"/>
      <c r="J55" s="541"/>
      <c r="K55" s="541"/>
      <c r="L55" s="729"/>
      <c r="M55" s="729"/>
      <c r="N55" s="729"/>
      <c r="O55" s="732"/>
      <c r="P55" s="729"/>
      <c r="Q55" s="729"/>
      <c r="R55" s="733"/>
      <c r="S55" s="734"/>
      <c r="T55" s="734"/>
      <c r="U55" s="735"/>
      <c r="AC55" s="735"/>
      <c r="AD55" s="736"/>
    </row>
    <row r="56" spans="1:30" ht="16.5" customHeight="1">
      <c r="A56" s="32"/>
      <c r="B56" s="550"/>
      <c r="C56" s="737"/>
      <c r="D56" s="728"/>
      <c r="E56" s="729"/>
      <c r="F56" s="730"/>
      <c r="G56" s="731"/>
      <c r="H56" s="731"/>
      <c r="I56" s="729"/>
      <c r="J56" s="541"/>
      <c r="K56" s="541"/>
      <c r="L56" s="729"/>
      <c r="M56" s="729"/>
      <c r="N56" s="729"/>
      <c r="O56" s="732"/>
      <c r="P56" s="729"/>
      <c r="Q56" s="729"/>
      <c r="R56" s="729"/>
      <c r="S56" s="733"/>
      <c r="T56" s="734"/>
      <c r="AD56" s="736"/>
    </row>
    <row r="57" spans="2:30" s="32" customFormat="1" ht="16.5" customHeight="1">
      <c r="B57" s="550"/>
      <c r="C57" s="553"/>
      <c r="D57" s="739" t="s">
        <v>0</v>
      </c>
      <c r="E57" s="635" t="s">
        <v>112</v>
      </c>
      <c r="F57" s="635" t="s">
        <v>43</v>
      </c>
      <c r="G57" s="740" t="s">
        <v>156</v>
      </c>
      <c r="H57" s="636"/>
      <c r="I57" s="635"/>
      <c r="J57"/>
      <c r="K57"/>
      <c r="L57" s="741" t="s">
        <v>157</v>
      </c>
      <c r="M57"/>
      <c r="N57"/>
      <c r="O57"/>
      <c r="P57"/>
      <c r="Q57" s="744"/>
      <c r="R57" s="744"/>
      <c r="S57" s="33"/>
      <c r="T57"/>
      <c r="U57"/>
      <c r="V57"/>
      <c r="W57"/>
      <c r="X57" s="33"/>
      <c r="Y57" s="33"/>
      <c r="Z57" s="33"/>
      <c r="AA57" s="33"/>
      <c r="AB57" s="33"/>
      <c r="AC57" s="745" t="s">
        <v>159</v>
      </c>
      <c r="AD57" s="736"/>
    </row>
    <row r="58" spans="2:30" s="32" customFormat="1" ht="16.5" customHeight="1">
      <c r="B58" s="550"/>
      <c r="C58" s="553"/>
      <c r="D58" s="635" t="s">
        <v>123</v>
      </c>
      <c r="E58" s="746">
        <v>506</v>
      </c>
      <c r="F58" s="746">
        <v>500</v>
      </c>
      <c r="G58" s="747">
        <f>E58*$F$19*$L$20/100</f>
        <v>441136.75056</v>
      </c>
      <c r="H58" s="747"/>
      <c r="I58" s="747"/>
      <c r="J58" s="176"/>
      <c r="K58"/>
      <c r="L58" s="748">
        <v>299155</v>
      </c>
      <c r="M58" s="176"/>
      <c r="N58" s="749" t="str">
        <f>"(DTE "&amp;DATO!$G$14&amp;DATO!$H$14&amp;")"</f>
        <v>(DTE 1208)</v>
      </c>
      <c r="O58"/>
      <c r="P58"/>
      <c r="Q58" s="744"/>
      <c r="R58" s="744"/>
      <c r="S58" s="33"/>
      <c r="T58"/>
      <c r="U58"/>
      <c r="V58"/>
      <c r="W58"/>
      <c r="X58" s="33"/>
      <c r="Y58" s="33"/>
      <c r="Z58" s="33"/>
      <c r="AA58" s="33"/>
      <c r="AB58" s="750"/>
      <c r="AC58" s="561">
        <f>L58+G58</f>
        <v>740291.7505600001</v>
      </c>
      <c r="AD58" s="736"/>
    </row>
    <row r="59" spans="2:30" s="32" customFormat="1" ht="16.5" customHeight="1">
      <c r="B59" s="550"/>
      <c r="C59" s="553"/>
      <c r="D59" s="751" t="s">
        <v>124</v>
      </c>
      <c r="E59" s="746">
        <v>85</v>
      </c>
      <c r="F59" s="746">
        <v>500</v>
      </c>
      <c r="G59" s="747">
        <f>E59*$F$19*$L$20/100</f>
        <v>74103.9996</v>
      </c>
      <c r="H59" s="751"/>
      <c r="I59" s="752"/>
      <c r="J59" s="176"/>
      <c r="K59"/>
      <c r="L59" s="747">
        <v>86332</v>
      </c>
      <c r="M59" s="176"/>
      <c r="N59" s="749" t="str">
        <f>"(DTE "&amp;DATO!$G$14&amp;DATO!$H$14&amp;")"</f>
        <v>(DTE 1208)</v>
      </c>
      <c r="O59" s="753"/>
      <c r="P59"/>
      <c r="Q59" s="744"/>
      <c r="R59" s="744"/>
      <c r="S59" s="33"/>
      <c r="T59"/>
      <c r="U59"/>
      <c r="V59"/>
      <c r="W59"/>
      <c r="X59" s="33"/>
      <c r="Y59" s="33"/>
      <c r="Z59" s="33"/>
      <c r="AA59" s="33"/>
      <c r="AB59" s="33"/>
      <c r="AC59" s="561">
        <f>L59+G59</f>
        <v>160435.99959999998</v>
      </c>
      <c r="AD59" s="736"/>
    </row>
    <row r="60" spans="2:30" s="32" customFormat="1" ht="16.5" customHeight="1">
      <c r="B60" s="550"/>
      <c r="C60" s="553"/>
      <c r="E60" s="558"/>
      <c r="F60" s="635"/>
      <c r="G60" s="636"/>
      <c r="H60"/>
      <c r="I60" s="635"/>
      <c r="J60" s="635"/>
      <c r="K60"/>
      <c r="L60" s="561"/>
      <c r="M60" s="743"/>
      <c r="N60" s="743"/>
      <c r="O60" s="744"/>
      <c r="P60" s="744"/>
      <c r="Q60" s="744"/>
      <c r="R60" s="744"/>
      <c r="S60" s="33"/>
      <c r="T60"/>
      <c r="U60"/>
      <c r="V60"/>
      <c r="W60"/>
      <c r="X60" s="33"/>
      <c r="Y60" s="33"/>
      <c r="Z60" s="33"/>
      <c r="AA60" s="33"/>
      <c r="AB60" s="33"/>
      <c r="AC60" s="561"/>
      <c r="AD60" s="736"/>
    </row>
    <row r="61" spans="1:30" ht="16.5" customHeight="1">
      <c r="A61" s="32"/>
      <c r="B61" s="550"/>
      <c r="C61" s="553"/>
      <c r="D61" s="739" t="s">
        <v>125</v>
      </c>
      <c r="E61" s="635" t="s">
        <v>126</v>
      </c>
      <c r="F61" s="635" t="s">
        <v>43</v>
      </c>
      <c r="G61" s="740" t="s">
        <v>160</v>
      </c>
      <c r="I61" s="742"/>
      <c r="J61" s="635"/>
      <c r="L61" s="741" t="s">
        <v>158</v>
      </c>
      <c r="M61" s="742"/>
      <c r="N61" s="743"/>
      <c r="O61" s="744"/>
      <c r="P61" s="744"/>
      <c r="Q61" s="744"/>
      <c r="R61" s="744"/>
      <c r="S61" s="744"/>
      <c r="AC61" s="561">
        <f>+L62</f>
        <v>0</v>
      </c>
      <c r="AD61" s="736"/>
    </row>
    <row r="62" spans="1:30" ht="16.5" customHeight="1">
      <c r="A62" s="32"/>
      <c r="B62" s="550"/>
      <c r="C62" s="553"/>
      <c r="D62" s="635" t="s">
        <v>127</v>
      </c>
      <c r="E62" s="746">
        <v>300</v>
      </c>
      <c r="F62" s="746" t="s">
        <v>128</v>
      </c>
      <c r="G62" s="747">
        <f>E62*F20*L20</f>
        <v>71200.8</v>
      </c>
      <c r="H62" s="176"/>
      <c r="I62" s="176"/>
      <c r="J62" s="748"/>
      <c r="L62" s="748">
        <v>0</v>
      </c>
      <c r="M62" s="176"/>
      <c r="N62" s="749" t="str">
        <f>"(DTE "&amp;DATO!$G$14&amp;DATO!$H$14&amp;")"</f>
        <v>(DTE 1208)</v>
      </c>
      <c r="O62" s="780"/>
      <c r="P62" s="780"/>
      <c r="Q62" s="780"/>
      <c r="R62" s="780"/>
      <c r="S62" s="780"/>
      <c r="AC62" s="781">
        <f>G62</f>
        <v>71200.8</v>
      </c>
      <c r="AD62" s="736"/>
    </row>
    <row r="63" spans="1:30" ht="16.5" customHeight="1">
      <c r="A63" s="32"/>
      <c r="B63" s="550"/>
      <c r="C63" s="553"/>
      <c r="D63" s="635" t="s">
        <v>129</v>
      </c>
      <c r="E63" s="746">
        <v>150</v>
      </c>
      <c r="F63" s="746" t="s">
        <v>130</v>
      </c>
      <c r="G63" s="747">
        <f>E63*F20*L20</f>
        <v>35600.4</v>
      </c>
      <c r="H63" s="176"/>
      <c r="I63" s="176"/>
      <c r="J63" s="748"/>
      <c r="L63" s="748">
        <v>0</v>
      </c>
      <c r="M63" s="176"/>
      <c r="N63" s="749" t="str">
        <f>"(DTE "&amp;DATO!$G$14&amp;DATO!$H$14&amp;")"</f>
        <v>(DTE 1208)</v>
      </c>
      <c r="O63" s="780"/>
      <c r="P63" s="780"/>
      <c r="Q63" s="780"/>
      <c r="R63" s="780"/>
      <c r="S63" s="780"/>
      <c r="AC63" s="781">
        <f>G63</f>
        <v>35600.4</v>
      </c>
      <c r="AD63" s="736"/>
    </row>
    <row r="64" spans="1:30" ht="16.5" customHeight="1">
      <c r="A64" s="32"/>
      <c r="B64" s="550"/>
      <c r="C64" s="553"/>
      <c r="D64" s="635"/>
      <c r="E64" s="746"/>
      <c r="F64" s="746"/>
      <c r="G64" s="747"/>
      <c r="H64" s="176"/>
      <c r="I64" s="176"/>
      <c r="J64" s="748"/>
      <c r="L64" s="748"/>
      <c r="M64" s="176"/>
      <c r="N64" s="749"/>
      <c r="O64" s="780"/>
      <c r="P64" s="780"/>
      <c r="Q64" s="780"/>
      <c r="R64" s="780"/>
      <c r="S64" s="780"/>
      <c r="AC64" s="781"/>
      <c r="AD64" s="736"/>
    </row>
    <row r="65" spans="1:30" ht="16.5" customHeight="1">
      <c r="A65" s="32"/>
      <c r="B65" s="550"/>
      <c r="C65" s="553"/>
      <c r="D65" s="739" t="s">
        <v>61</v>
      </c>
      <c r="E65" s="752" t="s">
        <v>1</v>
      </c>
      <c r="F65" s="752"/>
      <c r="G65" s="635" t="s">
        <v>43</v>
      </c>
      <c r="I65" s="742"/>
      <c r="J65" s="740" t="s">
        <v>161</v>
      </c>
      <c r="L65" s="741"/>
      <c r="M65" s="742"/>
      <c r="N65" s="743"/>
      <c r="O65" s="744"/>
      <c r="P65" s="744"/>
      <c r="Q65" s="744"/>
      <c r="R65" s="744"/>
      <c r="S65" s="744"/>
      <c r="AC65" s="561"/>
      <c r="AD65" s="736"/>
    </row>
    <row r="66" spans="1:30" ht="16.5" customHeight="1">
      <c r="A66" s="32"/>
      <c r="B66" s="550"/>
      <c r="C66" s="553"/>
      <c r="D66" s="635" t="s">
        <v>131</v>
      </c>
      <c r="E66" s="782" t="s">
        <v>132</v>
      </c>
      <c r="F66" s="783"/>
      <c r="G66" s="746">
        <v>132</v>
      </c>
      <c r="H66" s="176"/>
      <c r="I66" s="176"/>
      <c r="J66" s="747">
        <f>0*F21*L20</f>
        <v>0</v>
      </c>
      <c r="L66" s="748"/>
      <c r="M66" s="176"/>
      <c r="N66" s="749"/>
      <c r="O66" s="780"/>
      <c r="P66" s="780"/>
      <c r="Q66" s="780"/>
      <c r="R66" s="780"/>
      <c r="S66" s="780"/>
      <c r="AC66" s="781">
        <f>J66</f>
        <v>0</v>
      </c>
      <c r="AD66" s="736"/>
    </row>
    <row r="67" spans="1:30" ht="16.5" customHeight="1">
      <c r="A67" s="32"/>
      <c r="B67" s="550"/>
      <c r="C67" s="553"/>
      <c r="D67" s="635" t="s">
        <v>133</v>
      </c>
      <c r="E67" s="782" t="s">
        <v>134</v>
      </c>
      <c r="F67" s="783"/>
      <c r="G67" s="746">
        <v>500</v>
      </c>
      <c r="H67" s="176"/>
      <c r="I67" s="176"/>
      <c r="J67" s="747">
        <f>F22*L20</f>
        <v>47544.576</v>
      </c>
      <c r="L67" s="748"/>
      <c r="M67" s="176"/>
      <c r="N67" s="749"/>
      <c r="O67" s="780"/>
      <c r="P67" s="780"/>
      <c r="Q67" s="780"/>
      <c r="R67" s="780"/>
      <c r="S67" s="780"/>
      <c r="AC67" s="784">
        <f>J67</f>
        <v>47544.576</v>
      </c>
      <c r="AD67" s="736"/>
    </row>
    <row r="68" spans="1:30" ht="16.5" customHeight="1">
      <c r="A68" s="32"/>
      <c r="B68" s="550"/>
      <c r="C68" s="553"/>
      <c r="D68" s="541"/>
      <c r="E68" s="558"/>
      <c r="F68" s="635"/>
      <c r="G68" s="635"/>
      <c r="H68" s="636"/>
      <c r="J68" s="635"/>
      <c r="L68" s="754"/>
      <c r="M68" s="743"/>
      <c r="N68" s="743"/>
      <c r="O68" s="744"/>
      <c r="P68" s="744"/>
      <c r="Q68" s="744"/>
      <c r="R68" s="744"/>
      <c r="S68" s="744"/>
      <c r="AC68" s="552">
        <f>SUM(AC58:AC66)</f>
        <v>1007528.9501600001</v>
      </c>
      <c r="AD68" s="736"/>
    </row>
    <row r="69" spans="2:30" ht="16.5" customHeight="1">
      <c r="B69" s="550"/>
      <c r="C69" s="737" t="s">
        <v>113</v>
      </c>
      <c r="D69" s="755" t="s">
        <v>114</v>
      </c>
      <c r="E69" s="635"/>
      <c r="F69" s="756"/>
      <c r="G69" s="634"/>
      <c r="H69" s="541"/>
      <c r="I69" s="541"/>
      <c r="J69" s="541"/>
      <c r="K69" s="635"/>
      <c r="L69" s="635"/>
      <c r="M69" s="541"/>
      <c r="N69" s="635"/>
      <c r="O69" s="541"/>
      <c r="P69" s="541"/>
      <c r="Q69" s="541"/>
      <c r="R69" s="541"/>
      <c r="S69" s="541"/>
      <c r="T69" s="541"/>
      <c r="U69" s="541"/>
      <c r="AC69" s="541"/>
      <c r="AD69" s="736"/>
    </row>
    <row r="70" spans="2:30" s="32" customFormat="1" ht="16.5" customHeight="1">
      <c r="B70" s="550"/>
      <c r="C70" s="553"/>
      <c r="D70" s="739" t="s">
        <v>115</v>
      </c>
      <c r="E70" s="757">
        <f>10*K53*K26/AC68</f>
        <v>226.00512</v>
      </c>
      <c r="G70" s="634"/>
      <c r="L70" s="635"/>
      <c r="N70" s="635"/>
      <c r="O70" s="636"/>
      <c r="V70"/>
      <c r="W70"/>
      <c r="AD70" s="736"/>
    </row>
    <row r="71" spans="2:30" s="32" customFormat="1" ht="16.5" customHeight="1">
      <c r="B71" s="550"/>
      <c r="C71" s="553"/>
      <c r="E71" s="758"/>
      <c r="F71" s="562"/>
      <c r="G71" s="634"/>
      <c r="J71" s="634"/>
      <c r="K71" s="649"/>
      <c r="L71" s="635"/>
      <c r="M71" s="635"/>
      <c r="N71" s="635"/>
      <c r="O71" s="636"/>
      <c r="P71" s="635"/>
      <c r="Q71" s="635"/>
      <c r="R71" s="648"/>
      <c r="S71" s="648"/>
      <c r="T71" s="648"/>
      <c r="U71" s="759"/>
      <c r="V71"/>
      <c r="W71"/>
      <c r="AC71" s="759"/>
      <c r="AD71" s="736"/>
    </row>
    <row r="72" spans="2:30" ht="16.5" customHeight="1">
      <c r="B72" s="550"/>
      <c r="C72" s="553"/>
      <c r="D72" s="760" t="s">
        <v>135</v>
      </c>
      <c r="E72" s="761"/>
      <c r="F72" s="562"/>
      <c r="G72" s="634"/>
      <c r="H72" s="541"/>
      <c r="I72" s="541"/>
      <c r="N72" s="635"/>
      <c r="O72" s="636"/>
      <c r="P72" s="635"/>
      <c r="Q72" s="635"/>
      <c r="R72" s="742"/>
      <c r="S72" s="742"/>
      <c r="T72" s="742"/>
      <c r="U72" s="743"/>
      <c r="AC72" s="743"/>
      <c r="AD72" s="736"/>
    </row>
    <row r="73" spans="2:30" ht="16.5" customHeight="1" thickBot="1">
      <c r="B73" s="550"/>
      <c r="C73" s="553"/>
      <c r="D73" s="760"/>
      <c r="E73" s="761"/>
      <c r="F73" s="562"/>
      <c r="G73" s="634"/>
      <c r="H73" s="541"/>
      <c r="I73" s="541"/>
      <c r="N73" s="635"/>
      <c r="O73" s="636"/>
      <c r="P73" s="635"/>
      <c r="Q73" s="635"/>
      <c r="R73" s="742"/>
      <c r="S73" s="742"/>
      <c r="T73" s="742"/>
      <c r="U73" s="743"/>
      <c r="AC73" s="743"/>
      <c r="AD73" s="736"/>
    </row>
    <row r="74" spans="2:30" s="762" customFormat="1" ht="21" thickBot="1" thickTop="1">
      <c r="B74" s="763"/>
      <c r="C74" s="764"/>
      <c r="D74" s="765"/>
      <c r="E74" s="766"/>
      <c r="F74" s="767"/>
      <c r="G74" s="768"/>
      <c r="I74"/>
      <c r="J74" s="769" t="s">
        <v>116</v>
      </c>
      <c r="K74" s="770">
        <f>IF(E70&gt;3*K26,K26*3,E70)</f>
        <v>226.00512</v>
      </c>
      <c r="M74" s="771"/>
      <c r="N74" s="771"/>
      <c r="O74" s="772"/>
      <c r="P74" s="771"/>
      <c r="Q74" s="771"/>
      <c r="R74" s="773"/>
      <c r="S74" s="773"/>
      <c r="T74" s="773"/>
      <c r="U74" s="774"/>
      <c r="V74"/>
      <c r="W74"/>
      <c r="AC74" s="774"/>
      <c r="AD74" s="775"/>
    </row>
    <row r="75" spans="2:30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00"/>
      <c r="W75" s="200"/>
      <c r="X75" s="200"/>
      <c r="Y75" s="200"/>
      <c r="Z75" s="200"/>
      <c r="AA75" s="200"/>
      <c r="AB75" s="200"/>
      <c r="AC75" s="59"/>
      <c r="AD75" s="776"/>
    </row>
    <row r="76" spans="2:23" ht="16.5" customHeight="1" thickTop="1">
      <c r="B76" s="1"/>
      <c r="C76" s="73"/>
      <c r="W76" s="1"/>
    </row>
  </sheetData>
  <sheetProtection password="CC12"/>
  <mergeCells count="9">
    <mergeCell ref="P46:Q46"/>
    <mergeCell ref="F51:G51"/>
    <mergeCell ref="F48:G48"/>
    <mergeCell ref="F49:G49"/>
    <mergeCell ref="F50:G50"/>
    <mergeCell ref="F44:G44"/>
    <mergeCell ref="F45:G45"/>
    <mergeCell ref="F47:G47"/>
    <mergeCell ref="F46:G46"/>
  </mergeCells>
  <printOptions horizontalCentered="1"/>
  <pageMargins left="0.3937007874015748" right="0.1968503937007874" top="0.43" bottom="0.51" header="0.28" footer="0.31"/>
  <pageSetup fitToHeight="1" fitToWidth="1" orientation="landscape" paperSize="9" scale="40" r:id="rId4"/>
  <headerFooter alignWithMargins="0">
    <oddFooter>&amp;L&amp;"Times New Roman,Normal"&amp;8&amp;F-&amp;A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5"/>
  <sheetViews>
    <sheetView zoomScale="50" zoomScaleNormal="50" workbookViewId="0" topLeftCell="B31">
      <selection activeCell="K23" sqref="K2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5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+'TOT-1208'!B2</f>
        <v>ANEXO I al Memorándum D.T.E.E. N°   770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7" t="s">
        <v>2</v>
      </c>
      <c r="B4" s="778"/>
    </row>
    <row r="5" spans="1:2" s="25" customFormat="1" ht="12" thickBot="1">
      <c r="A5" s="777" t="s">
        <v>3</v>
      </c>
      <c r="B5" s="777"/>
    </row>
    <row r="6" spans="1:23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8" t="s">
        <v>264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'TOT-1208'!B14</f>
        <v>Desde el 01 al 31 de diciembre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50"/>
      <c r="C18" s="33"/>
      <c r="D18" s="551"/>
      <c r="E18" s="559" t="s">
        <v>268</v>
      </c>
      <c r="F18" s="747">
        <v>500019</v>
      </c>
      <c r="G18" s="749" t="str">
        <f>"(DTE "&amp;DATO!$G$14&amp;DATO!$H$14&amp;")"</f>
        <v>(DTE 1208)</v>
      </c>
      <c r="H18" s="33"/>
      <c r="I18" s="33"/>
      <c r="J18" s="554"/>
      <c r="K18" s="33"/>
      <c r="L18" s="33"/>
      <c r="M18" s="33"/>
      <c r="N18" s="786" t="s">
        <v>37</v>
      </c>
      <c r="P18" s="33"/>
      <c r="Q18" s="33"/>
      <c r="R18" s="33"/>
      <c r="S18" s="33"/>
      <c r="T18" s="33"/>
      <c r="U18" s="33"/>
      <c r="V18" s="33"/>
      <c r="W18" s="555"/>
    </row>
    <row r="19" spans="2:23" s="32" customFormat="1" ht="16.5" customHeight="1">
      <c r="B19" s="550"/>
      <c r="C19" s="33"/>
      <c r="D19" s="977"/>
      <c r="E19" s="559" t="s">
        <v>40</v>
      </c>
      <c r="F19" s="560">
        <v>0.025</v>
      </c>
      <c r="G19" s="557"/>
      <c r="H19" s="33"/>
      <c r="I19" s="214"/>
      <c r="J19" s="215"/>
      <c r="K19" s="787" t="s">
        <v>136</v>
      </c>
      <c r="L19" s="788"/>
      <c r="M19" s="789">
        <v>63.904</v>
      </c>
      <c r="N19" s="790">
        <v>200</v>
      </c>
      <c r="R19" s="33"/>
      <c r="S19" s="33"/>
      <c r="T19" s="33"/>
      <c r="U19" s="33"/>
      <c r="V19" s="33"/>
      <c r="W19" s="555"/>
    </row>
    <row r="20" spans="2:23" s="32" customFormat="1" ht="16.5" customHeight="1">
      <c r="B20" s="550"/>
      <c r="C20" s="33"/>
      <c r="D20" s="977"/>
      <c r="E20" s="551" t="s">
        <v>38</v>
      </c>
      <c r="F20" s="33">
        <f>MID(B13,16,2)*24</f>
        <v>744</v>
      </c>
      <c r="G20" s="33" t="s">
        <v>39</v>
      </c>
      <c r="H20" s="33"/>
      <c r="I20" s="33"/>
      <c r="J20" s="33"/>
      <c r="K20" s="791" t="s">
        <v>89</v>
      </c>
      <c r="L20" s="792"/>
      <c r="M20" s="793">
        <v>57.511</v>
      </c>
      <c r="N20" s="794">
        <v>100</v>
      </c>
      <c r="O20" s="33"/>
      <c r="P20" s="779"/>
      <c r="Q20" s="33"/>
      <c r="R20" s="33"/>
      <c r="S20" s="33"/>
      <c r="T20" s="33"/>
      <c r="U20" s="33"/>
      <c r="V20" s="33"/>
      <c r="W20" s="555"/>
    </row>
    <row r="21" spans="2:23" s="32" customFormat="1" ht="16.5" customHeight="1" thickBot="1">
      <c r="B21" s="550"/>
      <c r="C21" s="33"/>
      <c r="D21" s="977"/>
      <c r="E21" s="551" t="s">
        <v>41</v>
      </c>
      <c r="F21" s="33">
        <v>0.319</v>
      </c>
      <c r="G21" s="32" t="s">
        <v>119</v>
      </c>
      <c r="H21" s="33"/>
      <c r="I21" s="33"/>
      <c r="J21" s="33"/>
      <c r="K21" s="795" t="s">
        <v>137</v>
      </c>
      <c r="L21" s="796"/>
      <c r="M21" s="797">
        <v>51.126</v>
      </c>
      <c r="N21" s="798">
        <v>40</v>
      </c>
      <c r="O21" s="33"/>
      <c r="P21" s="779"/>
      <c r="Q21" s="33"/>
      <c r="R21" s="33"/>
      <c r="S21" s="33"/>
      <c r="T21" s="33"/>
      <c r="U21" s="33"/>
      <c r="V21" s="33"/>
      <c r="W21" s="555"/>
    </row>
    <row r="22" spans="2:23" s="32" customFormat="1" ht="16.5" customHeight="1">
      <c r="B22" s="550"/>
      <c r="C22" s="33"/>
      <c r="D22" s="33"/>
      <c r="E22" s="56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5"/>
    </row>
    <row r="23" spans="1:23" ht="16.5" customHeight="1">
      <c r="A23" s="5"/>
      <c r="B23" s="50"/>
      <c r="C23" s="166" t="s">
        <v>105</v>
      </c>
      <c r="D23" s="3" t="s">
        <v>153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50"/>
      <c r="C25" s="553"/>
      <c r="D25"/>
      <c r="E25"/>
      <c r="F25"/>
      <c r="G25"/>
      <c r="H25"/>
      <c r="I25" s="563" t="s">
        <v>45</v>
      </c>
      <c r="J25" s="799">
        <f>+F18*F19</f>
        <v>12500.475</v>
      </c>
      <c r="L25"/>
      <c r="S25"/>
      <c r="T25"/>
      <c r="U25"/>
      <c r="W25" s="555"/>
    </row>
    <row r="26" spans="2:23" s="32" customFormat="1" ht="11.25" customHeight="1" thickTop="1">
      <c r="B26" s="550"/>
      <c r="C26" s="553"/>
      <c r="D26" s="33"/>
      <c r="E26" s="56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5"/>
    </row>
    <row r="27" spans="1:23" ht="16.5" customHeight="1">
      <c r="A27" s="5"/>
      <c r="B27" s="50"/>
      <c r="C27" s="166" t="s">
        <v>106</v>
      </c>
      <c r="D27" s="3" t="s">
        <v>154</v>
      </c>
      <c r="E27" s="2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3"/>
      <c r="D28" s="553"/>
      <c r="E28" s="633"/>
      <c r="F28" s="562"/>
      <c r="G28" s="634"/>
      <c r="H28" s="634"/>
      <c r="I28" s="635"/>
      <c r="J28" s="635"/>
      <c r="K28" s="635"/>
      <c r="L28" s="635"/>
      <c r="M28" s="635"/>
      <c r="N28" s="635"/>
      <c r="O28" s="636"/>
      <c r="P28" s="635"/>
      <c r="Q28" s="635"/>
      <c r="R28" s="800"/>
      <c r="S28" s="801"/>
      <c r="T28" s="802"/>
      <c r="U28" s="802"/>
      <c r="V28" s="802"/>
      <c r="W28" s="242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109</v>
      </c>
      <c r="N29" s="119" t="s">
        <v>32</v>
      </c>
      <c r="O29" s="651" t="s">
        <v>33</v>
      </c>
      <c r="P29" s="130" t="s">
        <v>34</v>
      </c>
      <c r="Q29" s="653" t="s">
        <v>20</v>
      </c>
      <c r="R29" s="654" t="s">
        <v>110</v>
      </c>
      <c r="S29" s="655"/>
      <c r="T29" s="656" t="s">
        <v>22</v>
      </c>
      <c r="U29" s="133" t="s">
        <v>80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60"/>
      <c r="H30" s="661"/>
      <c r="I30" s="10"/>
      <c r="J30" s="10"/>
      <c r="K30" s="10"/>
      <c r="L30" s="10"/>
      <c r="M30" s="10"/>
      <c r="N30" s="663"/>
      <c r="O30" s="803"/>
      <c r="P30" s="134"/>
      <c r="Q30" s="666"/>
      <c r="R30" s="667"/>
      <c r="S30" s="668"/>
      <c r="T30" s="669"/>
      <c r="U30" s="663"/>
      <c r="V30" s="673"/>
      <c r="W30" s="17"/>
    </row>
    <row r="31" spans="1:23" ht="16.5" customHeight="1">
      <c r="A31" s="5"/>
      <c r="B31" s="50"/>
      <c r="C31" s="916" t="s">
        <v>232</v>
      </c>
      <c r="D31" s="674"/>
      <c r="E31" s="675"/>
      <c r="F31" s="676"/>
      <c r="G31" s="677"/>
      <c r="H31" s="678">
        <f>F31*$F$21</f>
        <v>0</v>
      </c>
      <c r="I31" s="680"/>
      <c r="J31" s="680"/>
      <c r="K31" s="307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804">
        <f>IF(D31="","","NO")</f>
      </c>
      <c r="P31" s="683">
        <f>200*IF(O31="SI",1,0.1)*IF(M31="P",0.1,1)</f>
        <v>20</v>
      </c>
      <c r="Q31" s="684" t="str">
        <f>IF(M31="P",H31*P31*ROUND(L31/60,2),"--")</f>
        <v>--</v>
      </c>
      <c r="R31" s="685" t="str">
        <f>IF(AND(M31="F",N31="NO"),H31*P31,"--")</f>
        <v>--</v>
      </c>
      <c r="S31" s="686" t="str">
        <f>IF(M31="F",H31*P31*ROUND(L31/60,2),"--")</f>
        <v>--</v>
      </c>
      <c r="T31" s="410" t="str">
        <f>IF(M31="RF",H31*P31*ROUND(L31/60,2),"--")</f>
        <v>--</v>
      </c>
      <c r="U31" s="317">
        <f>IF(D31="","","SI")</f>
      </c>
      <c r="V31" s="318">
        <f>IF(D31="","",SUM(Q31:T31)*IF(U31="SI",1,2))</f>
      </c>
      <c r="W31" s="242"/>
    </row>
    <row r="32" spans="1:23" ht="16.5" customHeight="1">
      <c r="A32" s="5"/>
      <c r="B32" s="50"/>
      <c r="C32" s="916" t="s">
        <v>233</v>
      </c>
      <c r="D32" s="674"/>
      <c r="E32" s="675"/>
      <c r="F32" s="676"/>
      <c r="G32" s="677"/>
      <c r="H32" s="678">
        <f>F32*$F$21</f>
        <v>0</v>
      </c>
      <c r="I32" s="680"/>
      <c r="J32" s="680"/>
      <c r="K32" s="307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804">
        <f>IF(D32="","","NO")</f>
      </c>
      <c r="P32" s="683">
        <f>200*IF(O32="SI",1,0.1)*IF(M32="P",0.1,1)</f>
        <v>20</v>
      </c>
      <c r="Q32" s="684" t="str">
        <f>IF(M32="P",H32*P32*ROUND(L32/60,2),"--")</f>
        <v>--</v>
      </c>
      <c r="R32" s="685" t="str">
        <f>IF(AND(M32="F",N32="NO"),H32*P32,"--")</f>
        <v>--</v>
      </c>
      <c r="S32" s="686" t="str">
        <f>IF(M32="F",H32*P32*ROUND(L32/60,2),"--")</f>
        <v>--</v>
      </c>
      <c r="T32" s="410" t="str">
        <f>IF(M32="RF",H32*P32*ROUND(L32/60,2),"--")</f>
        <v>--</v>
      </c>
      <c r="U32" s="317">
        <f>IF(D32="","","SI")</f>
      </c>
      <c r="V32" s="318">
        <f>IF(D32="","",SUM(Q32:T32)*IF(U32="SI",1,2))</f>
      </c>
      <c r="W32" s="242"/>
    </row>
    <row r="33" spans="1:23" ht="16.5" customHeight="1" thickBot="1">
      <c r="A33" s="32"/>
      <c r="B33" s="50"/>
      <c r="C33" s="690"/>
      <c r="D33" s="691"/>
      <c r="E33" s="692"/>
      <c r="F33" s="693"/>
      <c r="G33" s="694"/>
      <c r="H33" s="695"/>
      <c r="I33" s="697"/>
      <c r="J33" s="698"/>
      <c r="K33" s="699"/>
      <c r="L33" s="700"/>
      <c r="M33" s="701"/>
      <c r="N33" s="9"/>
      <c r="O33" s="805"/>
      <c r="P33" s="704"/>
      <c r="Q33" s="705"/>
      <c r="R33" s="706"/>
      <c r="S33" s="707"/>
      <c r="T33" s="708"/>
      <c r="U33" s="712"/>
      <c r="V33" s="713"/>
      <c r="W33" s="242"/>
    </row>
    <row r="34" spans="1:23" ht="16.5" customHeight="1" thickBot="1" thickTop="1">
      <c r="A34" s="32"/>
      <c r="B34" s="50"/>
      <c r="C34" s="98"/>
      <c r="D34" s="217"/>
      <c r="E34" s="217"/>
      <c r="F34" s="447"/>
      <c r="G34" s="714"/>
      <c r="H34" s="715"/>
      <c r="I34" s="716"/>
      <c r="J34" s="717"/>
      <c r="K34" s="718"/>
      <c r="L34" s="719"/>
      <c r="M34" s="715"/>
      <c r="N34" s="720"/>
      <c r="O34" s="198"/>
      <c r="P34" s="721"/>
      <c r="Q34" s="722"/>
      <c r="R34" s="723"/>
      <c r="S34" s="723"/>
      <c r="T34" s="723"/>
      <c r="U34" s="199"/>
      <c r="V34" s="724">
        <f>SUM(V30:V33)</f>
        <v>0</v>
      </c>
      <c r="W34" s="242"/>
    </row>
    <row r="35" spans="1:23" ht="16.5" customHeight="1" thickBot="1" thickTop="1">
      <c r="A35" s="32"/>
      <c r="B35" s="50"/>
      <c r="C35" s="98"/>
      <c r="D35" s="217"/>
      <c r="E35" s="217"/>
      <c r="F35" s="447"/>
      <c r="G35" s="714"/>
      <c r="H35" s="715"/>
      <c r="I35" s="716"/>
      <c r="L35" s="719"/>
      <c r="M35" s="715"/>
      <c r="N35" s="725"/>
      <c r="O35" s="726"/>
      <c r="P35" s="721"/>
      <c r="Q35" s="722"/>
      <c r="R35" s="723"/>
      <c r="S35" s="723"/>
      <c r="T35" s="723"/>
      <c r="U35" s="199"/>
      <c r="V35" s="199"/>
      <c r="W35" s="242"/>
    </row>
    <row r="36" spans="2:23" s="5" customFormat="1" ht="33.75" customHeight="1" thickBot="1" thickTop="1">
      <c r="B36" s="50"/>
      <c r="C36" s="84" t="s">
        <v>13</v>
      </c>
      <c r="D36" s="86" t="s">
        <v>27</v>
      </c>
      <c r="E36" s="1072" t="s">
        <v>28</v>
      </c>
      <c r="F36" s="1074"/>
      <c r="G36" s="133" t="s">
        <v>14</v>
      </c>
      <c r="H36" s="130" t="s">
        <v>16</v>
      </c>
      <c r="I36" s="85" t="s">
        <v>17</v>
      </c>
      <c r="J36" s="393" t="s">
        <v>18</v>
      </c>
      <c r="K36" s="395" t="s">
        <v>36</v>
      </c>
      <c r="L36" s="395" t="s">
        <v>31</v>
      </c>
      <c r="M36" s="88" t="s">
        <v>19</v>
      </c>
      <c r="N36" s="1072" t="s">
        <v>32</v>
      </c>
      <c r="O36" s="1073"/>
      <c r="P36" s="136" t="s">
        <v>37</v>
      </c>
      <c r="Q36" s="396" t="s">
        <v>71</v>
      </c>
      <c r="R36" s="184" t="s">
        <v>35</v>
      </c>
      <c r="S36" s="397"/>
      <c r="T36" s="135" t="s">
        <v>22</v>
      </c>
      <c r="U36" s="133" t="s">
        <v>80</v>
      </c>
      <c r="V36" s="122" t="s">
        <v>24</v>
      </c>
      <c r="W36" s="6"/>
    </row>
    <row r="37" spans="2:23" s="5" customFormat="1" ht="16.5" customHeight="1" thickTop="1">
      <c r="B37" s="50"/>
      <c r="C37" s="7"/>
      <c r="D37" s="405"/>
      <c r="E37" s="1075"/>
      <c r="F37" s="1076"/>
      <c r="G37" s="405"/>
      <c r="H37" s="406"/>
      <c r="I37" s="405"/>
      <c r="J37" s="405"/>
      <c r="K37" s="405"/>
      <c r="L37" s="405"/>
      <c r="M37" s="405"/>
      <c r="N37" s="405"/>
      <c r="O37" s="806"/>
      <c r="P37" s="407"/>
      <c r="Q37" s="408"/>
      <c r="R37" s="196"/>
      <c r="S37" s="409"/>
      <c r="T37" s="410"/>
      <c r="U37" s="405"/>
      <c r="V37" s="411"/>
      <c r="W37" s="6"/>
    </row>
    <row r="38" spans="2:23" s="5" customFormat="1" ht="16.5" customHeight="1">
      <c r="B38" s="50"/>
      <c r="C38" s="916" t="s">
        <v>232</v>
      </c>
      <c r="D38" s="405" t="s">
        <v>316</v>
      </c>
      <c r="E38" s="1075" t="s">
        <v>342</v>
      </c>
      <c r="F38" s="1076"/>
      <c r="G38" s="807">
        <v>132</v>
      </c>
      <c r="H38" s="131">
        <f>IF(G38=500,$M$19,IF(G38=220,$M$20,$M$21))</f>
        <v>51.126</v>
      </c>
      <c r="I38" s="808">
        <v>39783.375</v>
      </c>
      <c r="J38" s="809">
        <v>39783.46805555555</v>
      </c>
      <c r="K38" s="415">
        <f>IF(D38="","",(J38-I38)*24)</f>
        <v>2.233333333279006</v>
      </c>
      <c r="L38" s="416">
        <f>IF(D38="","",ROUND((J38-I38)*24*60,0))</f>
        <v>134</v>
      </c>
      <c r="M38" s="600" t="s">
        <v>250</v>
      </c>
      <c r="N38" s="521" t="str">
        <f>IF(D38="","",IF(OR(M38="P",M38="RP"),"--","NO"))</f>
        <v>--</v>
      </c>
      <c r="O38" s="476"/>
      <c r="P38" s="810">
        <f>IF(G38=500,$N$19,IF(G38=220,$N$20,$N$21))</f>
        <v>40</v>
      </c>
      <c r="Q38" s="811">
        <f>IF(M38="P",H38*P38*ROUND(L38/60,2)*0.1,"--")</f>
        <v>456.04392</v>
      </c>
      <c r="R38" s="196" t="str">
        <f>IF(AND(M38="F",N38="NO"),H38*P38,"--")</f>
        <v>--</v>
      </c>
      <c r="S38" s="409" t="str">
        <f>IF(M38="F",H38*P38*ROUND(L38/60,2),"--")</f>
        <v>--</v>
      </c>
      <c r="T38" s="410" t="str">
        <f>IF(M38="RF",H38*P38*ROUND(L38/60,2),"--")</f>
        <v>--</v>
      </c>
      <c r="U38" s="812" t="str">
        <f>IF(D38="","","SI")</f>
        <v>SI</v>
      </c>
      <c r="V38" s="421">
        <f>IF(D38="","",SUM(Q38:T38)*IF(U38="SI",1,2))</f>
        <v>456.04392</v>
      </c>
      <c r="W38" s="6"/>
    </row>
    <row r="39" spans="2:23" s="5" customFormat="1" ht="16.5" customHeight="1">
      <c r="B39" s="50"/>
      <c r="C39" s="916" t="s">
        <v>233</v>
      </c>
      <c r="D39" s="405" t="s">
        <v>331</v>
      </c>
      <c r="E39" s="1075" t="s">
        <v>343</v>
      </c>
      <c r="F39" s="1076"/>
      <c r="G39" s="807">
        <v>132</v>
      </c>
      <c r="H39" s="131">
        <f aca="true" t="shared" si="0" ref="H39:H48">IF(G39=500,$M$19,IF(G39=220,$M$20,$M$21))</f>
        <v>51.126</v>
      </c>
      <c r="I39" s="808">
        <v>39783.416666666664</v>
      </c>
      <c r="J39" s="809">
        <v>39783.618055555555</v>
      </c>
      <c r="K39" s="415">
        <f aca="true" t="shared" si="1" ref="K39:K48">IF(D39="","",(J39-I39)*24)</f>
        <v>4.833333333372138</v>
      </c>
      <c r="L39" s="416">
        <f aca="true" t="shared" si="2" ref="L39:L48">IF(D39="","",ROUND((J39-I39)*24*60,0))</f>
        <v>290</v>
      </c>
      <c r="M39" s="600" t="s">
        <v>250</v>
      </c>
      <c r="N39" s="521" t="str">
        <f aca="true" t="shared" si="3" ref="N39:N48">IF(D39="","",IF(OR(M39="P",M39="RP"),"--","NO"))</f>
        <v>--</v>
      </c>
      <c r="O39" s="476"/>
      <c r="P39" s="810">
        <f aca="true" t="shared" si="4" ref="P39:P48">IF(G39=500,$N$19,IF(G39=220,$N$20,$N$21))</f>
        <v>40</v>
      </c>
      <c r="Q39" s="811">
        <f aca="true" t="shared" si="5" ref="Q39:Q48">IF(M39="P",H39*P39*ROUND(L39/60,2)*0.1,"--")</f>
        <v>987.75432</v>
      </c>
      <c r="R39" s="196" t="str">
        <f aca="true" t="shared" si="6" ref="R39:R48">IF(AND(M39="F",N39="NO"),H39*P39,"--")</f>
        <v>--</v>
      </c>
      <c r="S39" s="409" t="str">
        <f aca="true" t="shared" si="7" ref="S39:S48">IF(M39="F",H39*P39*ROUND(L39/60,2),"--")</f>
        <v>--</v>
      </c>
      <c r="T39" s="410" t="str">
        <f aca="true" t="shared" si="8" ref="T39:T48">IF(M39="RF",H39*P39*ROUND(L39/60,2),"--")</f>
        <v>--</v>
      </c>
      <c r="U39" s="812" t="str">
        <f aca="true" t="shared" si="9" ref="U39:U48">IF(D39="","","SI")</f>
        <v>SI</v>
      </c>
      <c r="V39" s="421">
        <f aca="true" t="shared" si="10" ref="V39:V48">IF(D39="","",SUM(Q39:T39)*IF(U39="SI",1,2))</f>
        <v>987.75432</v>
      </c>
      <c r="W39" s="6"/>
    </row>
    <row r="40" spans="2:23" s="5" customFormat="1" ht="16.5" customHeight="1">
      <c r="B40" s="50"/>
      <c r="C40" s="916" t="s">
        <v>234</v>
      </c>
      <c r="D40" s="405" t="s">
        <v>331</v>
      </c>
      <c r="E40" s="1075" t="s">
        <v>344</v>
      </c>
      <c r="F40" s="1076"/>
      <c r="G40" s="807">
        <v>132</v>
      </c>
      <c r="H40" s="131">
        <f t="shared" si="0"/>
        <v>51.126</v>
      </c>
      <c r="I40" s="808">
        <v>39785.347916666666</v>
      </c>
      <c r="J40" s="809">
        <v>39785.65555555555</v>
      </c>
      <c r="K40" s="415">
        <f t="shared" si="1"/>
        <v>7.383333333302289</v>
      </c>
      <c r="L40" s="416">
        <f t="shared" si="2"/>
        <v>443</v>
      </c>
      <c r="M40" s="600" t="s">
        <v>250</v>
      </c>
      <c r="N40" s="521" t="str">
        <f t="shared" si="3"/>
        <v>--</v>
      </c>
      <c r="O40" s="476"/>
      <c r="P40" s="810">
        <f t="shared" si="4"/>
        <v>40</v>
      </c>
      <c r="Q40" s="811">
        <f t="shared" si="5"/>
        <v>1509.23952</v>
      </c>
      <c r="R40" s="196" t="str">
        <f t="shared" si="6"/>
        <v>--</v>
      </c>
      <c r="S40" s="409" t="str">
        <f t="shared" si="7"/>
        <v>--</v>
      </c>
      <c r="T40" s="410" t="str">
        <f t="shared" si="8"/>
        <v>--</v>
      </c>
      <c r="U40" s="812" t="str">
        <f t="shared" si="9"/>
        <v>SI</v>
      </c>
      <c r="V40" s="421">
        <f t="shared" si="10"/>
        <v>1509.23952</v>
      </c>
      <c r="W40" s="6"/>
    </row>
    <row r="41" spans="2:23" s="5" customFormat="1" ht="16.5" customHeight="1">
      <c r="B41" s="50"/>
      <c r="C41" s="916" t="s">
        <v>235</v>
      </c>
      <c r="D41" s="405" t="s">
        <v>316</v>
      </c>
      <c r="E41" s="1075" t="s">
        <v>345</v>
      </c>
      <c r="F41" s="1076"/>
      <c r="G41" s="807">
        <v>132</v>
      </c>
      <c r="H41" s="131">
        <f t="shared" si="0"/>
        <v>51.126</v>
      </c>
      <c r="I41" s="808">
        <v>39793.36319444444</v>
      </c>
      <c r="J41" s="809">
        <v>39793.65833333333</v>
      </c>
      <c r="K41" s="415">
        <f t="shared" si="1"/>
        <v>7.083333333372138</v>
      </c>
      <c r="L41" s="416">
        <f t="shared" si="2"/>
        <v>425</v>
      </c>
      <c r="M41" s="600" t="s">
        <v>250</v>
      </c>
      <c r="N41" s="521" t="str">
        <f t="shared" si="3"/>
        <v>--</v>
      </c>
      <c r="O41" s="476"/>
      <c r="P41" s="810">
        <f t="shared" si="4"/>
        <v>40</v>
      </c>
      <c r="Q41" s="811">
        <f t="shared" si="5"/>
        <v>1447.88832</v>
      </c>
      <c r="R41" s="196" t="str">
        <f t="shared" si="6"/>
        <v>--</v>
      </c>
      <c r="S41" s="409" t="str">
        <f t="shared" si="7"/>
        <v>--</v>
      </c>
      <c r="T41" s="410" t="str">
        <f t="shared" si="8"/>
        <v>--</v>
      </c>
      <c r="U41" s="812" t="str">
        <f t="shared" si="9"/>
        <v>SI</v>
      </c>
      <c r="V41" s="421">
        <f t="shared" si="10"/>
        <v>1447.88832</v>
      </c>
      <c r="W41" s="6"/>
    </row>
    <row r="42" spans="2:23" s="5" customFormat="1" ht="16.5" customHeight="1">
      <c r="B42" s="50"/>
      <c r="C42" s="916" t="s">
        <v>236</v>
      </c>
      <c r="D42" s="405" t="s">
        <v>316</v>
      </c>
      <c r="E42" s="1075" t="s">
        <v>345</v>
      </c>
      <c r="F42" s="1076"/>
      <c r="G42" s="807">
        <v>132</v>
      </c>
      <c r="H42" s="131">
        <f t="shared" si="0"/>
        <v>51.126</v>
      </c>
      <c r="I42" s="808">
        <v>39794.3875</v>
      </c>
      <c r="J42" s="809">
        <v>39794.69236111111</v>
      </c>
      <c r="K42" s="415">
        <f t="shared" si="1"/>
        <v>7.31666666676756</v>
      </c>
      <c r="L42" s="416">
        <f t="shared" si="2"/>
        <v>439</v>
      </c>
      <c r="M42" s="600" t="s">
        <v>250</v>
      </c>
      <c r="N42" s="521" t="str">
        <f t="shared" si="3"/>
        <v>--</v>
      </c>
      <c r="O42" s="476"/>
      <c r="P42" s="810">
        <f t="shared" si="4"/>
        <v>40</v>
      </c>
      <c r="Q42" s="811">
        <f t="shared" si="5"/>
        <v>1496.9692800000003</v>
      </c>
      <c r="R42" s="196" t="str">
        <f t="shared" si="6"/>
        <v>--</v>
      </c>
      <c r="S42" s="409" t="str">
        <f t="shared" si="7"/>
        <v>--</v>
      </c>
      <c r="T42" s="410" t="str">
        <f t="shared" si="8"/>
        <v>--</v>
      </c>
      <c r="U42" s="812" t="str">
        <f t="shared" si="9"/>
        <v>SI</v>
      </c>
      <c r="V42" s="421">
        <f t="shared" si="10"/>
        <v>1496.9692800000003</v>
      </c>
      <c r="W42" s="6"/>
    </row>
    <row r="43" spans="2:23" s="5" customFormat="1" ht="16.5" customHeight="1">
      <c r="B43" s="50"/>
      <c r="C43" s="916" t="s">
        <v>237</v>
      </c>
      <c r="D43" s="405" t="s">
        <v>316</v>
      </c>
      <c r="E43" s="1075" t="s">
        <v>346</v>
      </c>
      <c r="F43" s="1076"/>
      <c r="G43" s="807">
        <v>132</v>
      </c>
      <c r="H43" s="131">
        <f t="shared" si="0"/>
        <v>51.126</v>
      </c>
      <c r="I43" s="808">
        <v>39797.33611111111</v>
      </c>
      <c r="J43" s="809">
        <v>39797.64513888889</v>
      </c>
      <c r="K43" s="415">
        <f t="shared" si="1"/>
        <v>7.416666666744277</v>
      </c>
      <c r="L43" s="416">
        <f t="shared" si="2"/>
        <v>445</v>
      </c>
      <c r="M43" s="600" t="s">
        <v>250</v>
      </c>
      <c r="N43" s="521" t="str">
        <f t="shared" si="3"/>
        <v>--</v>
      </c>
      <c r="O43" s="476"/>
      <c r="P43" s="810">
        <f t="shared" si="4"/>
        <v>40</v>
      </c>
      <c r="Q43" s="811">
        <f t="shared" si="5"/>
        <v>1517.41968</v>
      </c>
      <c r="R43" s="196" t="str">
        <f t="shared" si="6"/>
        <v>--</v>
      </c>
      <c r="S43" s="409" t="str">
        <f t="shared" si="7"/>
        <v>--</v>
      </c>
      <c r="T43" s="410" t="str">
        <f t="shared" si="8"/>
        <v>--</v>
      </c>
      <c r="U43" s="812" t="str">
        <f t="shared" si="9"/>
        <v>SI</v>
      </c>
      <c r="V43" s="421">
        <f t="shared" si="10"/>
        <v>1517.41968</v>
      </c>
      <c r="W43" s="6"/>
    </row>
    <row r="44" spans="2:23" s="5" customFormat="1" ht="16.5" customHeight="1">
      <c r="B44" s="50"/>
      <c r="C44" s="916" t="s">
        <v>238</v>
      </c>
      <c r="D44" s="405" t="s">
        <v>331</v>
      </c>
      <c r="E44" s="1075" t="s">
        <v>347</v>
      </c>
      <c r="F44" s="1076"/>
      <c r="G44" s="807">
        <v>132</v>
      </c>
      <c r="H44" s="131">
        <f t="shared" si="0"/>
        <v>51.126</v>
      </c>
      <c r="I44" s="808">
        <v>39797.45763888889</v>
      </c>
      <c r="J44" s="809">
        <v>39797.638194444444</v>
      </c>
      <c r="K44" s="415">
        <f t="shared" si="1"/>
        <v>4.333333333313931</v>
      </c>
      <c r="L44" s="416">
        <f t="shared" si="2"/>
        <v>260</v>
      </c>
      <c r="M44" s="600" t="s">
        <v>250</v>
      </c>
      <c r="N44" s="521" t="str">
        <f t="shared" si="3"/>
        <v>--</v>
      </c>
      <c r="O44" s="476"/>
      <c r="P44" s="810">
        <f t="shared" si="4"/>
        <v>40</v>
      </c>
      <c r="Q44" s="811">
        <f t="shared" si="5"/>
        <v>885.50232</v>
      </c>
      <c r="R44" s="196" t="str">
        <f t="shared" si="6"/>
        <v>--</v>
      </c>
      <c r="S44" s="409" t="str">
        <f t="shared" si="7"/>
        <v>--</v>
      </c>
      <c r="T44" s="410" t="str">
        <f t="shared" si="8"/>
        <v>--</v>
      </c>
      <c r="U44" s="812" t="str">
        <f t="shared" si="9"/>
        <v>SI</v>
      </c>
      <c r="V44" s="421">
        <f t="shared" si="10"/>
        <v>885.50232</v>
      </c>
      <c r="W44" s="6"/>
    </row>
    <row r="45" spans="2:23" s="5" customFormat="1" ht="16.5" customHeight="1">
      <c r="B45" s="50"/>
      <c r="C45" s="916" t="s">
        <v>239</v>
      </c>
      <c r="D45" s="405" t="s">
        <v>348</v>
      </c>
      <c r="E45" s="1075" t="s">
        <v>349</v>
      </c>
      <c r="F45" s="1076"/>
      <c r="G45" s="807">
        <v>132</v>
      </c>
      <c r="H45" s="131">
        <f t="shared" si="0"/>
        <v>51.126</v>
      </c>
      <c r="I45" s="808">
        <v>39811.336805555555</v>
      </c>
      <c r="J45" s="809">
        <v>39811.751388888886</v>
      </c>
      <c r="K45" s="415">
        <f t="shared" si="1"/>
        <v>9.949999999953434</v>
      </c>
      <c r="L45" s="416">
        <f t="shared" si="2"/>
        <v>597</v>
      </c>
      <c r="M45" s="600" t="s">
        <v>250</v>
      </c>
      <c r="N45" s="521" t="str">
        <f t="shared" si="3"/>
        <v>--</v>
      </c>
      <c r="O45" s="476"/>
      <c r="P45" s="810">
        <f t="shared" si="4"/>
        <v>40</v>
      </c>
      <c r="Q45" s="811">
        <f t="shared" si="5"/>
        <v>2034.8147999999999</v>
      </c>
      <c r="R45" s="196" t="str">
        <f t="shared" si="6"/>
        <v>--</v>
      </c>
      <c r="S45" s="409" t="str">
        <f t="shared" si="7"/>
        <v>--</v>
      </c>
      <c r="T45" s="410" t="str">
        <f t="shared" si="8"/>
        <v>--</v>
      </c>
      <c r="U45" s="812" t="str">
        <f t="shared" si="9"/>
        <v>SI</v>
      </c>
      <c r="V45" s="421">
        <f t="shared" si="10"/>
        <v>2034.8147999999999</v>
      </c>
      <c r="W45" s="6"/>
    </row>
    <row r="46" spans="2:23" s="5" customFormat="1" ht="16.5" customHeight="1">
      <c r="B46" s="50"/>
      <c r="C46" s="916" t="s">
        <v>240</v>
      </c>
      <c r="D46" s="405" t="s">
        <v>348</v>
      </c>
      <c r="E46" s="1075" t="s">
        <v>349</v>
      </c>
      <c r="F46" s="1076"/>
      <c r="G46" s="807">
        <v>132</v>
      </c>
      <c r="H46" s="131">
        <f t="shared" si="0"/>
        <v>51.126</v>
      </c>
      <c r="I46" s="808">
        <v>39812.30416666667</v>
      </c>
      <c r="J46" s="809">
        <v>39812.57847222222</v>
      </c>
      <c r="K46" s="415">
        <f t="shared" si="1"/>
        <v>6.583333333313931</v>
      </c>
      <c r="L46" s="416">
        <f t="shared" si="2"/>
        <v>395</v>
      </c>
      <c r="M46" s="600" t="s">
        <v>250</v>
      </c>
      <c r="N46" s="521" t="str">
        <f t="shared" si="3"/>
        <v>--</v>
      </c>
      <c r="O46" s="476"/>
      <c r="P46" s="810">
        <f t="shared" si="4"/>
        <v>40</v>
      </c>
      <c r="Q46" s="811">
        <f t="shared" si="5"/>
        <v>1345.63632</v>
      </c>
      <c r="R46" s="196" t="str">
        <f t="shared" si="6"/>
        <v>--</v>
      </c>
      <c r="S46" s="409" t="str">
        <f t="shared" si="7"/>
        <v>--</v>
      </c>
      <c r="T46" s="410" t="str">
        <f t="shared" si="8"/>
        <v>--</v>
      </c>
      <c r="U46" s="812" t="str">
        <f t="shared" si="9"/>
        <v>SI</v>
      </c>
      <c r="V46" s="421">
        <f t="shared" si="10"/>
        <v>1345.63632</v>
      </c>
      <c r="W46" s="6"/>
    </row>
    <row r="47" spans="2:23" s="5" customFormat="1" ht="16.5" customHeight="1">
      <c r="B47" s="50"/>
      <c r="C47" s="916" t="s">
        <v>241</v>
      </c>
      <c r="D47" s="405"/>
      <c r="E47" s="1075"/>
      <c r="F47" s="1076"/>
      <c r="G47" s="807"/>
      <c r="H47" s="131">
        <f t="shared" si="0"/>
        <v>51.126</v>
      </c>
      <c r="I47" s="808"/>
      <c r="J47" s="809"/>
      <c r="K47" s="415">
        <f t="shared" si="1"/>
      </c>
      <c r="L47" s="416">
        <f t="shared" si="2"/>
      </c>
      <c r="M47" s="600"/>
      <c r="N47" s="521">
        <f t="shared" si="3"/>
      </c>
      <c r="O47" s="476"/>
      <c r="P47" s="810">
        <f t="shared" si="4"/>
        <v>40</v>
      </c>
      <c r="Q47" s="811" t="str">
        <f t="shared" si="5"/>
        <v>--</v>
      </c>
      <c r="R47" s="196" t="str">
        <f t="shared" si="6"/>
        <v>--</v>
      </c>
      <c r="S47" s="409" t="str">
        <f t="shared" si="7"/>
        <v>--</v>
      </c>
      <c r="T47" s="410" t="str">
        <f t="shared" si="8"/>
        <v>--</v>
      </c>
      <c r="U47" s="812">
        <f t="shared" si="9"/>
      </c>
      <c r="V47" s="421">
        <f t="shared" si="10"/>
      </c>
      <c r="W47" s="6"/>
    </row>
    <row r="48" spans="2:23" s="5" customFormat="1" ht="16.5" customHeight="1">
      <c r="B48" s="50"/>
      <c r="C48" s="916" t="s">
        <v>242</v>
      </c>
      <c r="D48" s="405"/>
      <c r="E48" s="1075"/>
      <c r="F48" s="1076"/>
      <c r="G48" s="807"/>
      <c r="H48" s="131">
        <f t="shared" si="0"/>
        <v>51.126</v>
      </c>
      <c r="I48" s="808"/>
      <c r="J48" s="809"/>
      <c r="K48" s="415">
        <f t="shared" si="1"/>
      </c>
      <c r="L48" s="416">
        <f t="shared" si="2"/>
      </c>
      <c r="M48" s="600"/>
      <c r="N48" s="521">
        <f t="shared" si="3"/>
      </c>
      <c r="O48" s="476"/>
      <c r="P48" s="810">
        <f t="shared" si="4"/>
        <v>40</v>
      </c>
      <c r="Q48" s="811" t="str">
        <f t="shared" si="5"/>
        <v>--</v>
      </c>
      <c r="R48" s="196" t="str">
        <f t="shared" si="6"/>
        <v>--</v>
      </c>
      <c r="S48" s="409" t="str">
        <f t="shared" si="7"/>
        <v>--</v>
      </c>
      <c r="T48" s="410" t="str">
        <f t="shared" si="8"/>
        <v>--</v>
      </c>
      <c r="U48" s="812">
        <f t="shared" si="9"/>
      </c>
      <c r="V48" s="421">
        <f t="shared" si="10"/>
      </c>
      <c r="W48" s="6"/>
    </row>
    <row r="49" spans="2:28" s="5" customFormat="1" ht="16.5" customHeight="1" thickBot="1">
      <c r="B49" s="50"/>
      <c r="C49" s="690"/>
      <c r="D49" s="814"/>
      <c r="E49" s="1070"/>
      <c r="F49" s="1071"/>
      <c r="G49" s="815"/>
      <c r="H49" s="816"/>
      <c r="I49" s="817"/>
      <c r="J49" s="818"/>
      <c r="K49" s="819"/>
      <c r="L49" s="820"/>
      <c r="M49" s="821"/>
      <c r="N49" s="822"/>
      <c r="O49" s="821"/>
      <c r="P49" s="823"/>
      <c r="Q49" s="824"/>
      <c r="R49" s="825"/>
      <c r="S49" s="826"/>
      <c r="T49" s="827"/>
      <c r="U49" s="828"/>
      <c r="V49" s="829"/>
      <c r="W49" s="6"/>
      <c r="X49"/>
      <c r="Y49"/>
      <c r="Z49"/>
      <c r="AA49"/>
      <c r="AB49"/>
    </row>
    <row r="50" spans="1:23" ht="17.25" thickBot="1" thickTop="1">
      <c r="A50" s="32"/>
      <c r="B50" s="550"/>
      <c r="C50" s="553"/>
      <c r="D50" s="728"/>
      <c r="E50" s="729"/>
      <c r="F50" s="730"/>
      <c r="G50" s="731"/>
      <c r="H50" s="731"/>
      <c r="I50" s="729"/>
      <c r="J50" s="541"/>
      <c r="K50" s="541"/>
      <c r="L50" s="729"/>
      <c r="M50" s="729"/>
      <c r="N50" s="729"/>
      <c r="O50" s="732"/>
      <c r="P50" s="729"/>
      <c r="Q50" s="729"/>
      <c r="R50" s="733"/>
      <c r="S50" s="734"/>
      <c r="T50" s="734"/>
      <c r="U50" s="735"/>
      <c r="V50" s="724">
        <f>SUM(V38:V49)</f>
        <v>11681.26848</v>
      </c>
      <c r="W50" s="736"/>
    </row>
    <row r="51" spans="1:23" ht="17.25" thickBot="1" thickTop="1">
      <c r="A51" s="32"/>
      <c r="B51" s="550"/>
      <c r="C51" s="553"/>
      <c r="D51" s="728"/>
      <c r="E51" s="729"/>
      <c r="F51" s="730"/>
      <c r="G51" s="731"/>
      <c r="H51" s="731"/>
      <c r="I51" s="563" t="s">
        <v>42</v>
      </c>
      <c r="J51" s="799">
        <f>+V50+V34</f>
        <v>11681.26848</v>
      </c>
      <c r="L51" s="729"/>
      <c r="M51" s="729"/>
      <c r="N51" s="729"/>
      <c r="O51" s="732"/>
      <c r="P51" s="729"/>
      <c r="Q51" s="729"/>
      <c r="R51" s="733"/>
      <c r="S51" s="734"/>
      <c r="T51" s="734"/>
      <c r="U51" s="735"/>
      <c r="W51" s="736"/>
    </row>
    <row r="52" spans="1:23" ht="13.5" customHeight="1" thickTop="1">
      <c r="A52" s="32"/>
      <c r="B52" s="550"/>
      <c r="C52" s="553"/>
      <c r="D52" s="728"/>
      <c r="E52" s="729"/>
      <c r="F52" s="730"/>
      <c r="G52" s="731"/>
      <c r="H52" s="731"/>
      <c r="I52" s="729"/>
      <c r="J52" s="541"/>
      <c r="K52" s="541"/>
      <c r="L52" s="729"/>
      <c r="M52" s="729"/>
      <c r="N52" s="729"/>
      <c r="O52" s="732"/>
      <c r="P52" s="729"/>
      <c r="Q52" s="729"/>
      <c r="R52" s="733"/>
      <c r="S52" s="734"/>
      <c r="T52" s="734"/>
      <c r="U52" s="735"/>
      <c r="W52" s="736"/>
    </row>
    <row r="53" spans="1:23" ht="16.5" customHeight="1">
      <c r="A53" s="32"/>
      <c r="B53" s="550"/>
      <c r="C53" s="737" t="s">
        <v>111</v>
      </c>
      <c r="D53" s="738" t="s">
        <v>155</v>
      </c>
      <c r="E53" s="729"/>
      <c r="F53" s="730"/>
      <c r="G53" s="731"/>
      <c r="H53" s="731"/>
      <c r="I53" s="729"/>
      <c r="J53" s="541"/>
      <c r="K53" s="541"/>
      <c r="L53" s="729"/>
      <c r="M53" s="729"/>
      <c r="N53" s="729"/>
      <c r="O53" s="732"/>
      <c r="P53" s="729"/>
      <c r="Q53" s="729"/>
      <c r="R53" s="733"/>
      <c r="S53" s="734"/>
      <c r="T53" s="734"/>
      <c r="U53" s="735"/>
      <c r="W53" s="736"/>
    </row>
    <row r="54" spans="1:23" ht="16.5" customHeight="1">
      <c r="A54" s="32"/>
      <c r="B54" s="550"/>
      <c r="C54" s="737"/>
      <c r="D54" s="728"/>
      <c r="E54" s="729"/>
      <c r="F54" s="730"/>
      <c r="G54" s="731"/>
      <c r="H54" s="731"/>
      <c r="I54" s="729"/>
      <c r="J54" s="541"/>
      <c r="K54" s="541"/>
      <c r="L54" s="729"/>
      <c r="M54" s="729"/>
      <c r="N54" s="729"/>
      <c r="O54" s="732"/>
      <c r="P54" s="729"/>
      <c r="Q54" s="729"/>
      <c r="R54" s="729"/>
      <c r="S54" s="733"/>
      <c r="T54" s="734"/>
      <c r="W54" s="736"/>
    </row>
    <row r="55" spans="2:23" s="32" customFormat="1" ht="16.5" customHeight="1">
      <c r="B55" s="550"/>
      <c r="C55" s="553"/>
      <c r="D55" s="739" t="s">
        <v>125</v>
      </c>
      <c r="E55" s="635" t="s">
        <v>126</v>
      </c>
      <c r="F55" s="635" t="s">
        <v>43</v>
      </c>
      <c r="G55" s="740" t="s">
        <v>160</v>
      </c>
      <c r="H55"/>
      <c r="I55" s="140"/>
      <c r="J55" s="751" t="s">
        <v>61</v>
      </c>
      <c r="K55" s="751"/>
      <c r="L55" s="635" t="s">
        <v>43</v>
      </c>
      <c r="M55" t="s">
        <v>138</v>
      </c>
      <c r="O55" s="740" t="s">
        <v>162</v>
      </c>
      <c r="P55"/>
      <c r="Q55" s="744"/>
      <c r="R55" s="744"/>
      <c r="S55" s="33"/>
      <c r="T55"/>
      <c r="U55"/>
      <c r="V55"/>
      <c r="W55" s="736"/>
    </row>
    <row r="56" spans="2:23" s="32" customFormat="1" ht="16.5" customHeight="1">
      <c r="B56" s="550"/>
      <c r="C56" s="553"/>
      <c r="D56" s="145" t="s">
        <v>139</v>
      </c>
      <c r="E56" s="145">
        <v>300</v>
      </c>
      <c r="F56" s="830">
        <v>500</v>
      </c>
      <c r="G56" s="1069">
        <f>+E56*$F$20*$F$21</f>
        <v>71200.8</v>
      </c>
      <c r="H56" s="1069"/>
      <c r="I56" s="1069"/>
      <c r="J56" s="831" t="s">
        <v>140</v>
      </c>
      <c r="K56" s="831"/>
      <c r="L56" s="145">
        <v>500</v>
      </c>
      <c r="M56" s="145">
        <v>2</v>
      </c>
      <c r="O56" s="1069">
        <f>+M56*$F$20*$M$19</f>
        <v>95089.152</v>
      </c>
      <c r="P56" s="1069"/>
      <c r="Q56" s="1069"/>
      <c r="R56" s="1069"/>
      <c r="S56" s="1069"/>
      <c r="T56" s="1069"/>
      <c r="U56" s="1069"/>
      <c r="V56"/>
      <c r="W56" s="736"/>
    </row>
    <row r="57" spans="2:23" s="32" customFormat="1" ht="16.5" customHeight="1">
      <c r="B57" s="550"/>
      <c r="C57" s="553"/>
      <c r="D57" s="145" t="s">
        <v>141</v>
      </c>
      <c r="E57" s="144">
        <v>300</v>
      </c>
      <c r="F57" s="830">
        <v>500</v>
      </c>
      <c r="G57" s="1069">
        <f>+E57*$F$20*$F$21</f>
        <v>71200.8</v>
      </c>
      <c r="H57" s="1069"/>
      <c r="I57" s="1069"/>
      <c r="J57" s="831" t="s">
        <v>140</v>
      </c>
      <c r="K57" s="831"/>
      <c r="L57" s="145">
        <v>132</v>
      </c>
      <c r="M57" s="145">
        <v>9</v>
      </c>
      <c r="O57" s="1069">
        <f>+M57*$F$20*$M$21</f>
        <v>342339.696</v>
      </c>
      <c r="P57" s="1069"/>
      <c r="Q57" s="1069"/>
      <c r="R57" s="1069"/>
      <c r="S57" s="1069"/>
      <c r="T57" s="1069"/>
      <c r="U57" s="1069"/>
      <c r="V57"/>
      <c r="W57" s="736"/>
    </row>
    <row r="58" spans="2:23" s="32" customFormat="1" ht="16.5" customHeight="1">
      <c r="B58" s="550"/>
      <c r="C58" s="553"/>
      <c r="D58" s="143" t="s">
        <v>142</v>
      </c>
      <c r="E58" s="144">
        <v>300</v>
      </c>
      <c r="F58" s="830">
        <v>500</v>
      </c>
      <c r="G58" s="1069">
        <f>+E58*$F$20*$F$21</f>
        <v>71200.8</v>
      </c>
      <c r="H58" s="1069"/>
      <c r="I58" s="1069"/>
      <c r="J58" s="831" t="s">
        <v>143</v>
      </c>
      <c r="K58" s="831"/>
      <c r="L58" s="145">
        <v>132</v>
      </c>
      <c r="M58" s="145">
        <v>8</v>
      </c>
      <c r="O58" s="1069">
        <f>+M58*$F$20*$M$21</f>
        <v>304301.952</v>
      </c>
      <c r="P58" s="1069"/>
      <c r="Q58" s="1069"/>
      <c r="R58" s="1069"/>
      <c r="S58" s="1069"/>
      <c r="T58" s="1069"/>
      <c r="U58" s="1069"/>
      <c r="V58"/>
      <c r="W58" s="736"/>
    </row>
    <row r="59" spans="1:23" ht="16.5" customHeight="1">
      <c r="A59" s="32"/>
      <c r="B59" s="550"/>
      <c r="C59" s="553"/>
      <c r="D59" s="143" t="s">
        <v>144</v>
      </c>
      <c r="E59" s="144">
        <v>300</v>
      </c>
      <c r="F59" s="830">
        <v>500</v>
      </c>
      <c r="G59" s="1069">
        <f>+E59*$F$20*$F$21</f>
        <v>71200.8</v>
      </c>
      <c r="H59" s="1069"/>
      <c r="I59" s="1069"/>
      <c r="J59" s="831" t="s">
        <v>145</v>
      </c>
      <c r="K59" s="831"/>
      <c r="L59" s="145">
        <v>132</v>
      </c>
      <c r="M59" s="145">
        <v>5</v>
      </c>
      <c r="O59" s="1077">
        <f>+M59*$F$20*$M$21</f>
        <v>190188.72</v>
      </c>
      <c r="P59" s="1077"/>
      <c r="Q59" s="1077"/>
      <c r="R59" s="1077"/>
      <c r="S59" s="1077"/>
      <c r="T59" s="1077"/>
      <c r="U59" s="1077"/>
      <c r="W59" s="736"/>
    </row>
    <row r="60" spans="1:23" ht="16.5" customHeight="1">
      <c r="A60" s="32"/>
      <c r="B60" s="550"/>
      <c r="C60" s="553"/>
      <c r="D60" s="143" t="s">
        <v>269</v>
      </c>
      <c r="E60" s="144">
        <v>600</v>
      </c>
      <c r="F60" s="830">
        <v>500</v>
      </c>
      <c r="G60" s="1077">
        <f>+E60*$F$20*$F$21</f>
        <v>142401.6</v>
      </c>
      <c r="H60" s="1077"/>
      <c r="I60" s="1077"/>
      <c r="M60" s="145"/>
      <c r="O60" s="1069">
        <f>SUM(O56:P59)</f>
        <v>931919.52</v>
      </c>
      <c r="P60" s="1069"/>
      <c r="Q60" s="1069"/>
      <c r="R60" s="1069"/>
      <c r="S60" s="1069"/>
      <c r="T60" s="1069"/>
      <c r="U60" s="1069"/>
      <c r="W60" s="736"/>
    </row>
    <row r="61" spans="1:23" ht="16.5" customHeight="1">
      <c r="A61" s="32"/>
      <c r="B61" s="550"/>
      <c r="C61" s="553"/>
      <c r="D61" s="143"/>
      <c r="E61" s="144"/>
      <c r="F61" s="830"/>
      <c r="G61" s="1069">
        <f>SUM(G56:G60)</f>
        <v>427204.80000000005</v>
      </c>
      <c r="H61" s="1069"/>
      <c r="I61" s="1069"/>
      <c r="M61" s="145"/>
      <c r="N61" s="140"/>
      <c r="O61" s="140"/>
      <c r="P61" s="780"/>
      <c r="Q61" s="780"/>
      <c r="R61" s="780"/>
      <c r="S61" s="780"/>
      <c r="W61" s="736"/>
    </row>
    <row r="62" spans="1:23" ht="16.5" customHeight="1">
      <c r="A62" s="32"/>
      <c r="B62" s="550"/>
      <c r="C62" s="553"/>
      <c r="D62" s="143"/>
      <c r="E62" s="144"/>
      <c r="F62" s="830"/>
      <c r="G62" s="1052"/>
      <c r="H62" s="1052"/>
      <c r="I62" s="1052"/>
      <c r="M62" s="145"/>
      <c r="N62" s="140"/>
      <c r="O62" s="140"/>
      <c r="P62" s="780"/>
      <c r="Q62" s="780"/>
      <c r="R62" s="780"/>
      <c r="S62" s="780"/>
      <c r="W62" s="736"/>
    </row>
    <row r="63" spans="1:23" ht="16.5" customHeight="1">
      <c r="A63" s="32"/>
      <c r="B63" s="550"/>
      <c r="C63" s="553"/>
      <c r="D63" s="1053" t="s">
        <v>384</v>
      </c>
      <c r="E63" s="144" t="s">
        <v>385</v>
      </c>
      <c r="F63" s="1054">
        <v>5176</v>
      </c>
      <c r="G63" s="1052" t="s">
        <v>386</v>
      </c>
      <c r="H63" s="1052"/>
      <c r="I63" s="1052"/>
      <c r="M63" s="145"/>
      <c r="N63" s="140"/>
      <c r="O63" s="140"/>
      <c r="P63" s="780"/>
      <c r="Q63" s="780"/>
      <c r="R63" s="780"/>
      <c r="S63" s="780"/>
      <c r="W63" s="736"/>
    </row>
    <row r="64" spans="1:23" ht="16.5" customHeight="1">
      <c r="A64" s="32"/>
      <c r="B64" s="550"/>
      <c r="C64" s="553"/>
      <c r="D64" s="143"/>
      <c r="E64" s="144"/>
      <c r="F64" s="830"/>
      <c r="G64" s="1052"/>
      <c r="H64" s="1052"/>
      <c r="I64" s="1052"/>
      <c r="M64" s="145"/>
      <c r="N64" s="140"/>
      <c r="O64" s="140"/>
      <c r="P64" s="780"/>
      <c r="Q64" s="780"/>
      <c r="R64" s="780"/>
      <c r="S64" s="780"/>
      <c r="W64" s="736"/>
    </row>
    <row r="65" spans="1:23" ht="16.5" customHeight="1" thickBot="1">
      <c r="A65" s="32"/>
      <c r="B65" s="550"/>
      <c r="C65" s="551" t="s">
        <v>383</v>
      </c>
      <c r="D65" s="1055" t="s">
        <v>387</v>
      </c>
      <c r="E65" s="752"/>
      <c r="F65" s="752"/>
      <c r="G65" s="635"/>
      <c r="I65" s="742"/>
      <c r="J65" s="740"/>
      <c r="L65" s="741"/>
      <c r="M65" s="742"/>
      <c r="N65" s="743"/>
      <c r="O65" s="744"/>
      <c r="P65" s="744"/>
      <c r="Q65" s="744"/>
      <c r="R65" s="744"/>
      <c r="S65" s="744"/>
      <c r="W65" s="736"/>
    </row>
    <row r="66" spans="1:23" ht="16.5" customHeight="1" thickBot="1" thickTop="1">
      <c r="A66" s="32"/>
      <c r="B66" s="550"/>
      <c r="C66" s="553"/>
      <c r="D66" s="635"/>
      <c r="E66" s="783"/>
      <c r="F66" s="783"/>
      <c r="G66" s="746"/>
      <c r="H66" s="176"/>
      <c r="I66" s="563" t="s">
        <v>44</v>
      </c>
      <c r="J66" s="799">
        <f>+G61+O60+F63</f>
        <v>1364300.32</v>
      </c>
      <c r="L66" s="748"/>
      <c r="M66" s="176"/>
      <c r="N66" s="749"/>
      <c r="O66" s="780"/>
      <c r="P66" s="780"/>
      <c r="Q66" s="780"/>
      <c r="R66" s="780"/>
      <c r="S66" s="780"/>
      <c r="W66" s="736"/>
    </row>
    <row r="67" spans="1:23" ht="16.5" customHeight="1" thickTop="1">
      <c r="A67" s="32"/>
      <c r="B67" s="550"/>
      <c r="C67" s="553"/>
      <c r="D67" s="541"/>
      <c r="E67" s="558"/>
      <c r="F67" s="635"/>
      <c r="G67" s="635"/>
      <c r="H67" s="636"/>
      <c r="J67" s="635"/>
      <c r="L67" s="754"/>
      <c r="M67" s="743"/>
      <c r="N67" s="743"/>
      <c r="O67" s="744"/>
      <c r="P67" s="744"/>
      <c r="Q67" s="744"/>
      <c r="R67" s="744"/>
      <c r="S67" s="744"/>
      <c r="W67" s="736"/>
    </row>
    <row r="68" spans="2:23" ht="16.5" customHeight="1">
      <c r="B68" s="550"/>
      <c r="C68" s="737" t="s">
        <v>113</v>
      </c>
      <c r="D68" s="755" t="s">
        <v>114</v>
      </c>
      <c r="E68" s="635"/>
      <c r="F68" s="756"/>
      <c r="G68" s="634"/>
      <c r="H68" s="541"/>
      <c r="I68" s="541"/>
      <c r="J68" s="541"/>
      <c r="K68" s="635"/>
      <c r="L68" s="635"/>
      <c r="M68" s="541"/>
      <c r="N68" s="635"/>
      <c r="O68" s="541"/>
      <c r="P68" s="541"/>
      <c r="Q68" s="541"/>
      <c r="R68" s="541"/>
      <c r="S68" s="541"/>
      <c r="T68" s="541"/>
      <c r="U68" s="541"/>
      <c r="W68" s="736"/>
    </row>
    <row r="69" spans="2:23" s="32" customFormat="1" ht="16.5" customHeight="1">
      <c r="B69" s="550"/>
      <c r="C69" s="553"/>
      <c r="D69" s="739" t="s">
        <v>115</v>
      </c>
      <c r="E69" s="757">
        <f>10*J51*J25/J66</f>
        <v>1070.3025020365603</v>
      </c>
      <c r="G69" s="634"/>
      <c r="L69" s="635"/>
      <c r="N69" s="635"/>
      <c r="O69" s="636"/>
      <c r="V69"/>
      <c r="W69" s="736"/>
    </row>
    <row r="70" spans="2:23" s="32" customFormat="1" ht="12.75" customHeight="1">
      <c r="B70" s="550"/>
      <c r="C70" s="553"/>
      <c r="E70" s="758"/>
      <c r="F70" s="562"/>
      <c r="G70" s="634"/>
      <c r="J70" s="634"/>
      <c r="K70" s="649"/>
      <c r="L70" s="635"/>
      <c r="M70" s="635"/>
      <c r="N70" s="635"/>
      <c r="O70" s="636"/>
      <c r="P70" s="635"/>
      <c r="Q70" s="635"/>
      <c r="R70" s="648"/>
      <c r="S70" s="648"/>
      <c r="T70" s="648"/>
      <c r="U70" s="759"/>
      <c r="V70"/>
      <c r="W70" s="736"/>
    </row>
    <row r="71" spans="2:23" ht="16.5" customHeight="1">
      <c r="B71" s="550"/>
      <c r="C71" s="553"/>
      <c r="D71" s="760" t="s">
        <v>146</v>
      </c>
      <c r="E71" s="761"/>
      <c r="F71" s="562"/>
      <c r="G71" s="634"/>
      <c r="H71" s="541"/>
      <c r="I71" s="541"/>
      <c r="N71" s="635"/>
      <c r="O71" s="636"/>
      <c r="P71" s="635"/>
      <c r="Q71" s="635"/>
      <c r="R71" s="742"/>
      <c r="S71" s="742"/>
      <c r="T71" s="742"/>
      <c r="U71" s="743"/>
      <c r="W71" s="736"/>
    </row>
    <row r="72" spans="2:23" ht="13.5" customHeight="1" thickBot="1">
      <c r="B72" s="550"/>
      <c r="C72" s="553"/>
      <c r="D72" s="760"/>
      <c r="E72" s="761"/>
      <c r="F72" s="562"/>
      <c r="G72" s="634"/>
      <c r="H72" s="541"/>
      <c r="I72" s="541"/>
      <c r="N72" s="635"/>
      <c r="O72" s="636"/>
      <c r="P72" s="635"/>
      <c r="Q72" s="635"/>
      <c r="R72" s="742"/>
      <c r="S72" s="742"/>
      <c r="T72" s="742"/>
      <c r="U72" s="743"/>
      <c r="W72" s="736"/>
    </row>
    <row r="73" spans="2:23" s="762" customFormat="1" ht="21" thickBot="1" thickTop="1">
      <c r="B73" s="763"/>
      <c r="C73" s="764"/>
      <c r="D73" s="765"/>
      <c r="E73" s="766"/>
      <c r="F73" s="767"/>
      <c r="G73" s="768"/>
      <c r="I73" s="769" t="s">
        <v>116</v>
      </c>
      <c r="J73" s="770">
        <f>IF(E69&gt;3*J25,J25*3,E69)</f>
        <v>1070.3025020365603</v>
      </c>
      <c r="M73" s="771"/>
      <c r="N73" s="771"/>
      <c r="O73" s="772"/>
      <c r="P73" s="771"/>
      <c r="Q73" s="771"/>
      <c r="R73" s="773"/>
      <c r="S73" s="773"/>
      <c r="T73" s="773"/>
      <c r="U73" s="774"/>
      <c r="V73"/>
      <c r="W73" s="775"/>
    </row>
    <row r="74" spans="2:23" ht="16.5" customHeight="1" thickBot="1" thickTop="1">
      <c r="B74" s="57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200"/>
      <c r="W74" s="776"/>
    </row>
    <row r="75" spans="2:23" ht="16.5" customHeight="1" thickTop="1">
      <c r="B75" s="1"/>
      <c r="C75" s="73"/>
      <c r="W75" s="1"/>
    </row>
  </sheetData>
  <sheetProtection password="CC12"/>
  <mergeCells count="26">
    <mergeCell ref="E47:F47"/>
    <mergeCell ref="E48:F48"/>
    <mergeCell ref="E43:F43"/>
    <mergeCell ref="E44:F44"/>
    <mergeCell ref="E45:F45"/>
    <mergeCell ref="E46:F46"/>
    <mergeCell ref="G60:I60"/>
    <mergeCell ref="G61:I61"/>
    <mergeCell ref="G56:I56"/>
    <mergeCell ref="G57:I57"/>
    <mergeCell ref="G58:I58"/>
    <mergeCell ref="G59:I59"/>
    <mergeCell ref="O59:U59"/>
    <mergeCell ref="O60:U60"/>
    <mergeCell ref="O57:U57"/>
    <mergeCell ref="O58:U58"/>
    <mergeCell ref="O56:U56"/>
    <mergeCell ref="E49:F49"/>
    <mergeCell ref="N36:O36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2"/>
  <headerFooter alignWithMargins="0">
    <oddFooter>&amp;L&amp;"Times New Roman,Normal"&amp;8&amp;F-&amp;A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1"/>
  <sheetViews>
    <sheetView zoomScale="50" zoomScaleNormal="50" workbookViewId="0" topLeftCell="B19">
      <selection activeCell="K23" sqref="K2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9.57421875" style="0" customWidth="1"/>
    <col min="16" max="16" width="10.7109375" style="0" hidden="1" customWidth="1"/>
    <col min="17" max="17" width="13.00390625" style="0" hidden="1" customWidth="1"/>
    <col min="18" max="18" width="12.421875" style="0" hidden="1" customWidth="1"/>
    <col min="19" max="19" width="14.14062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5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+'TOT-1208'!B2</f>
        <v>ANEXO I al Memorándum D.T.E.E. N°   770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7" t="s">
        <v>2</v>
      </c>
      <c r="B4" s="778"/>
    </row>
    <row r="5" spans="1:2" s="25" customFormat="1" ht="12" thickBot="1">
      <c r="A5" s="777" t="s">
        <v>3</v>
      </c>
      <c r="B5" s="777"/>
    </row>
    <row r="6" spans="1:23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8" t="s">
        <v>147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'TOT-1208'!B14</f>
        <v>Desde el 01 al 31 de diciembre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50"/>
      <c r="C18" s="33"/>
      <c r="D18" s="551"/>
      <c r="E18" s="552"/>
      <c r="F18" s="553"/>
      <c r="G18" s="33"/>
      <c r="H18" s="33"/>
      <c r="I18" s="33"/>
      <c r="J18" s="554"/>
      <c r="K18" s="33"/>
      <c r="L18" s="33"/>
      <c r="M18" s="33"/>
      <c r="N18" s="786" t="s">
        <v>37</v>
      </c>
      <c r="P18" s="33"/>
      <c r="Q18" s="33"/>
      <c r="R18" s="33"/>
      <c r="S18" s="33"/>
      <c r="T18" s="33"/>
      <c r="U18" s="33"/>
      <c r="V18" s="33"/>
      <c r="W18" s="555"/>
    </row>
    <row r="19" spans="2:23" s="32" customFormat="1" ht="16.5" customHeight="1">
      <c r="B19" s="550"/>
      <c r="C19" s="33"/>
      <c r="E19" s="559" t="s">
        <v>40</v>
      </c>
      <c r="F19" s="560">
        <v>0.025</v>
      </c>
      <c r="G19" s="557"/>
      <c r="H19" s="33"/>
      <c r="I19" s="214" t="s">
        <v>148</v>
      </c>
      <c r="J19" s="215"/>
      <c r="K19" s="787" t="s">
        <v>136</v>
      </c>
      <c r="L19" s="788"/>
      <c r="M19" s="789">
        <v>63.904</v>
      </c>
      <c r="N19" s="790">
        <v>200</v>
      </c>
      <c r="R19" s="33"/>
      <c r="S19" s="33"/>
      <c r="T19" s="33"/>
      <c r="U19" s="33"/>
      <c r="V19" s="33"/>
      <c r="W19" s="555"/>
    </row>
    <row r="20" spans="2:23" s="32" customFormat="1" ht="16.5" customHeight="1">
      <c r="B20" s="550"/>
      <c r="C20" s="33"/>
      <c r="E20" s="551" t="s">
        <v>38</v>
      </c>
      <c r="F20" s="33">
        <f>MID(B13,16,2)*24</f>
        <v>744</v>
      </c>
      <c r="G20" s="33" t="s">
        <v>39</v>
      </c>
      <c r="H20" s="33"/>
      <c r="I20" s="33"/>
      <c r="J20" s="33"/>
      <c r="K20" s="791" t="s">
        <v>89</v>
      </c>
      <c r="L20" s="792"/>
      <c r="M20" s="793">
        <v>57.511</v>
      </c>
      <c r="N20" s="794">
        <v>100</v>
      </c>
      <c r="O20" s="33"/>
      <c r="P20" s="779"/>
      <c r="Q20" s="33"/>
      <c r="R20" s="33"/>
      <c r="S20" s="33"/>
      <c r="T20" s="33"/>
      <c r="U20" s="33"/>
      <c r="V20" s="33"/>
      <c r="W20" s="555"/>
    </row>
    <row r="21" spans="2:23" s="32" customFormat="1" ht="16.5" customHeight="1" thickBot="1">
      <c r="B21" s="550"/>
      <c r="C21" s="33"/>
      <c r="E21" s="551" t="s">
        <v>41</v>
      </c>
      <c r="F21" s="33">
        <v>0.319</v>
      </c>
      <c r="G21" s="32" t="s">
        <v>119</v>
      </c>
      <c r="H21" s="33"/>
      <c r="I21" s="33"/>
      <c r="J21" s="33"/>
      <c r="K21" s="795" t="s">
        <v>137</v>
      </c>
      <c r="L21" s="796"/>
      <c r="M21" s="797">
        <v>51.126</v>
      </c>
      <c r="N21" s="798">
        <v>40</v>
      </c>
      <c r="O21" s="33"/>
      <c r="P21" s="779"/>
      <c r="Q21" s="33"/>
      <c r="R21" s="33"/>
      <c r="S21" s="33"/>
      <c r="T21" s="33"/>
      <c r="U21" s="33"/>
      <c r="V21" s="33"/>
      <c r="W21" s="555"/>
    </row>
    <row r="22" spans="2:23" s="32" customFormat="1" ht="16.5" customHeight="1">
      <c r="B22" s="550"/>
      <c r="C22" s="33"/>
      <c r="D22" s="33"/>
      <c r="E22" s="56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5"/>
    </row>
    <row r="23" spans="1:23" ht="16.5" customHeight="1">
      <c r="A23" s="5"/>
      <c r="B23" s="50"/>
      <c r="C23" s="166" t="s">
        <v>105</v>
      </c>
      <c r="D23" s="3" t="s">
        <v>153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50"/>
      <c r="C25" s="553"/>
      <c r="D25"/>
      <c r="E25"/>
      <c r="F25"/>
      <c r="G25"/>
      <c r="H25"/>
      <c r="I25" s="563" t="s">
        <v>45</v>
      </c>
      <c r="J25" s="799">
        <f>+J52*F19</f>
        <v>3681.9072</v>
      </c>
      <c r="L25"/>
      <c r="S25"/>
      <c r="T25"/>
      <c r="U25"/>
      <c r="W25" s="555"/>
    </row>
    <row r="26" spans="2:23" s="32" customFormat="1" ht="11.25" customHeight="1" thickTop="1">
      <c r="B26" s="550"/>
      <c r="C26" s="553"/>
      <c r="D26" s="33"/>
      <c r="E26" s="56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5"/>
    </row>
    <row r="27" spans="1:23" ht="16.5" customHeight="1">
      <c r="A27" s="5"/>
      <c r="B27" s="50"/>
      <c r="C27" s="166" t="s">
        <v>106</v>
      </c>
      <c r="D27" s="3" t="s">
        <v>154</v>
      </c>
      <c r="E27" s="2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3"/>
      <c r="D28" s="553"/>
      <c r="E28" s="633"/>
      <c r="F28" s="562"/>
      <c r="G28" s="634"/>
      <c r="H28" s="634"/>
      <c r="I28" s="635"/>
      <c r="J28" s="635"/>
      <c r="K28" s="635"/>
      <c r="L28" s="635"/>
      <c r="M28" s="635"/>
      <c r="N28" s="635"/>
      <c r="O28" s="636"/>
      <c r="P28" s="635"/>
      <c r="Q28" s="635"/>
      <c r="R28" s="800"/>
      <c r="S28" s="801"/>
      <c r="T28" s="802"/>
      <c r="U28" s="802"/>
      <c r="V28" s="802"/>
      <c r="W28" s="242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109</v>
      </c>
      <c r="N29" s="119" t="s">
        <v>32</v>
      </c>
      <c r="O29" s="651" t="s">
        <v>33</v>
      </c>
      <c r="P29" s="130" t="s">
        <v>34</v>
      </c>
      <c r="Q29" s="653" t="s">
        <v>20</v>
      </c>
      <c r="R29" s="654" t="s">
        <v>110</v>
      </c>
      <c r="S29" s="655"/>
      <c r="T29" s="656" t="s">
        <v>22</v>
      </c>
      <c r="U29" s="133" t="s">
        <v>80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60"/>
      <c r="H30" s="661"/>
      <c r="I30" s="10"/>
      <c r="J30" s="10"/>
      <c r="K30" s="10"/>
      <c r="L30" s="10"/>
      <c r="M30" s="10"/>
      <c r="N30" s="663"/>
      <c r="O30" s="803"/>
      <c r="P30" s="134"/>
      <c r="Q30" s="666"/>
      <c r="R30" s="667"/>
      <c r="S30" s="668"/>
      <c r="T30" s="669"/>
      <c r="U30" s="663"/>
      <c r="V30" s="673"/>
      <c r="W30" s="17"/>
    </row>
    <row r="31" spans="1:23" ht="16.5" customHeight="1">
      <c r="A31" s="5"/>
      <c r="B31" s="50"/>
      <c r="C31" s="916" t="s">
        <v>232</v>
      </c>
      <c r="D31" s="674" t="s">
        <v>350</v>
      </c>
      <c r="E31" s="675" t="s">
        <v>351</v>
      </c>
      <c r="F31" s="676">
        <v>300</v>
      </c>
      <c r="G31" s="677" t="s">
        <v>150</v>
      </c>
      <c r="H31" s="678">
        <f>F31*$F$21</f>
        <v>95.7</v>
      </c>
      <c r="I31" s="680">
        <v>39804.55138888889</v>
      </c>
      <c r="J31" s="680">
        <v>39804.94375</v>
      </c>
      <c r="K31" s="307">
        <f>IF(D31="","",(J31-I31)*24)</f>
        <v>9.416666666627862</v>
      </c>
      <c r="L31" s="14">
        <f>IF(D31="","",(J31-I31)*24*60)</f>
        <v>564.9999999976717</v>
      </c>
      <c r="M31" s="13" t="s">
        <v>286</v>
      </c>
      <c r="N31" s="8" t="str">
        <f>IF(D31="","",IF(OR(M31="P",M31="RP"),"--","NO"))</f>
        <v>NO</v>
      </c>
      <c r="O31" s="804" t="str">
        <f>IF(D31="","","NO")</f>
        <v>NO</v>
      </c>
      <c r="P31" s="683">
        <f>200*IF(O31="SI",1,0.1)*IF(M31="P",0.1,1)</f>
        <v>20</v>
      </c>
      <c r="Q31" s="684" t="str">
        <f>IF(M31="P",H31*P31*ROUND(L31/60,2),"--")</f>
        <v>--</v>
      </c>
      <c r="R31" s="685">
        <f>IF(AND(M31="F",N31="NO"),H31*P31,"--")</f>
        <v>1914</v>
      </c>
      <c r="S31" s="686">
        <f>IF(M31="F",H31*P31*ROUND(L31/60,2),"--")</f>
        <v>18029.88</v>
      </c>
      <c r="T31" s="410" t="str">
        <f>IF(M31="RF",H31*P31*ROUND(L31/60,2),"--")</f>
        <v>--</v>
      </c>
      <c r="U31" s="317" t="str">
        <f>IF(D31="","","SI")</f>
        <v>SI</v>
      </c>
      <c r="V31" s="318">
        <f>IF(D31="","",SUM(Q31:T31)*IF(U31="SI",1,2))</f>
        <v>19943.88</v>
      </c>
      <c r="W31" s="242"/>
    </row>
    <row r="32" spans="1:23" ht="16.5" customHeight="1">
      <c r="A32" s="5"/>
      <c r="B32" s="50"/>
      <c r="C32" s="916" t="s">
        <v>233</v>
      </c>
      <c r="D32" s="674"/>
      <c r="E32" s="675"/>
      <c r="F32" s="676"/>
      <c r="G32" s="677"/>
      <c r="H32" s="678">
        <f>F32*$F$21</f>
        <v>0</v>
      </c>
      <c r="I32" s="680"/>
      <c r="J32" s="680"/>
      <c r="K32" s="307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804">
        <f>IF(D32="","","NO")</f>
      </c>
      <c r="P32" s="683">
        <f>200*IF(O32="SI",1,0.1)*IF(M32="P",0.1,1)</f>
        <v>20</v>
      </c>
      <c r="Q32" s="684" t="str">
        <f>IF(M32="P",H32*P32*ROUND(L32/60,2),"--")</f>
        <v>--</v>
      </c>
      <c r="R32" s="685" t="str">
        <f>IF(AND(M32="F",N32="NO"),H32*P32,"--")</f>
        <v>--</v>
      </c>
      <c r="S32" s="686" t="str">
        <f>IF(M32="F",H32*P32*ROUND(L32/60,2),"--")</f>
        <v>--</v>
      </c>
      <c r="T32" s="410" t="str">
        <f>IF(M32="RF",H32*P32*ROUND(L32/60,2),"--")</f>
        <v>--</v>
      </c>
      <c r="U32" s="317">
        <f>IF(D32="","","SI")</f>
      </c>
      <c r="V32" s="318">
        <f>IF(D32="","",SUM(Q32:T32)*IF(U32="SI",1,2))</f>
      </c>
      <c r="W32" s="242"/>
    </row>
    <row r="33" spans="1:23" ht="16.5" customHeight="1">
      <c r="A33" s="5"/>
      <c r="B33" s="50"/>
      <c r="C33" s="916" t="s">
        <v>234</v>
      </c>
      <c r="D33" s="674"/>
      <c r="E33" s="675"/>
      <c r="F33" s="676"/>
      <c r="G33" s="677"/>
      <c r="H33" s="678">
        <f>F33*$F$21</f>
        <v>0</v>
      </c>
      <c r="I33" s="680"/>
      <c r="J33" s="680"/>
      <c r="K33" s="307">
        <f>IF(D33="","",(J33-I33)*24)</f>
      </c>
      <c r="L33" s="14">
        <f>IF(D33="","",(J33-I33)*24*60)</f>
      </c>
      <c r="M33" s="13"/>
      <c r="N33" s="8">
        <f>IF(D33="","",IF(OR(M33="P",M33="RP"),"--","NO"))</f>
      </c>
      <c r="O33" s="804">
        <f>IF(D33="","","NO")</f>
      </c>
      <c r="P33" s="683">
        <f>200*IF(O33="SI",1,0.1)*IF(M33="P",0.1,1)</f>
        <v>20</v>
      </c>
      <c r="Q33" s="684" t="str">
        <f>IF(M33="P",H33*P33*ROUND(L33/60,2),"--")</f>
        <v>--</v>
      </c>
      <c r="R33" s="685" t="str">
        <f>IF(AND(M33="F",N33="NO"),H33*P33,"--")</f>
        <v>--</v>
      </c>
      <c r="S33" s="686" t="str">
        <f>IF(M33="F",H33*P33*ROUND(L33/60,2),"--")</f>
        <v>--</v>
      </c>
      <c r="T33" s="410" t="str">
        <f>IF(M33="RF",H33*P33*ROUND(L33/60,2),"--")</f>
        <v>--</v>
      </c>
      <c r="U33" s="317">
        <f>IF(D33="","","SI")</f>
      </c>
      <c r="V33" s="318">
        <f>IF(D33="","",SUM(Q33:T33)*IF(U33="SI",1,2))</f>
      </c>
      <c r="W33" s="242"/>
    </row>
    <row r="34" spans="1:23" ht="16.5" customHeight="1" thickBot="1">
      <c r="A34" s="32"/>
      <c r="B34" s="50"/>
      <c r="C34" s="690"/>
      <c r="D34" s="691"/>
      <c r="E34" s="692"/>
      <c r="F34" s="693"/>
      <c r="G34" s="694"/>
      <c r="H34" s="695"/>
      <c r="I34" s="697"/>
      <c r="J34" s="698"/>
      <c r="K34" s="699"/>
      <c r="L34" s="700"/>
      <c r="M34" s="701"/>
      <c r="N34" s="9"/>
      <c r="O34" s="805"/>
      <c r="P34" s="704"/>
      <c r="Q34" s="705"/>
      <c r="R34" s="706"/>
      <c r="S34" s="707"/>
      <c r="T34" s="708"/>
      <c r="U34" s="712"/>
      <c r="V34" s="713"/>
      <c r="W34" s="242"/>
    </row>
    <row r="35" spans="1:23" ht="16.5" customHeight="1" thickBot="1" thickTop="1">
      <c r="A35" s="32"/>
      <c r="B35" s="50"/>
      <c r="C35" s="98"/>
      <c r="D35" s="217"/>
      <c r="E35" s="217"/>
      <c r="F35" s="447"/>
      <c r="G35" s="714"/>
      <c r="H35" s="715"/>
      <c r="I35" s="716"/>
      <c r="J35" s="717"/>
      <c r="K35" s="718"/>
      <c r="L35" s="719"/>
      <c r="M35" s="715"/>
      <c r="N35" s="720"/>
      <c r="O35" s="198"/>
      <c r="P35" s="721"/>
      <c r="Q35" s="722"/>
      <c r="R35" s="723"/>
      <c r="S35" s="723"/>
      <c r="T35" s="723"/>
      <c r="U35" s="199"/>
      <c r="V35" s="724">
        <f>SUM(V30:V34)</f>
        <v>19943.88</v>
      </c>
      <c r="W35" s="242"/>
    </row>
    <row r="36" spans="1:23" ht="16.5" customHeight="1" thickBot="1" thickTop="1">
      <c r="A36" s="32"/>
      <c r="B36" s="50"/>
      <c r="C36" s="98"/>
      <c r="D36" s="217"/>
      <c r="E36" s="217"/>
      <c r="F36" s="447"/>
      <c r="G36" s="714"/>
      <c r="H36" s="715"/>
      <c r="I36" s="716"/>
      <c r="L36" s="719"/>
      <c r="M36" s="715"/>
      <c r="N36" s="725"/>
      <c r="O36" s="726"/>
      <c r="P36" s="721"/>
      <c r="Q36" s="722"/>
      <c r="R36" s="723"/>
      <c r="S36" s="723"/>
      <c r="T36" s="723"/>
      <c r="U36" s="199"/>
      <c r="V36" s="199"/>
      <c r="W36" s="242"/>
    </row>
    <row r="37" spans="2:23" s="5" customFormat="1" ht="33.75" customHeight="1" thickBot="1" thickTop="1">
      <c r="B37" s="50"/>
      <c r="C37" s="84" t="s">
        <v>13</v>
      </c>
      <c r="D37" s="86" t="s">
        <v>27</v>
      </c>
      <c r="E37" s="1072" t="s">
        <v>28</v>
      </c>
      <c r="F37" s="1074"/>
      <c r="G37" s="133" t="s">
        <v>14</v>
      </c>
      <c r="H37" s="130" t="s">
        <v>16</v>
      </c>
      <c r="I37" s="85" t="s">
        <v>17</v>
      </c>
      <c r="J37" s="393" t="s">
        <v>18</v>
      </c>
      <c r="K37" s="395" t="s">
        <v>36</v>
      </c>
      <c r="L37" s="395" t="s">
        <v>31</v>
      </c>
      <c r="M37" s="88" t="s">
        <v>19</v>
      </c>
      <c r="N37" s="1072" t="s">
        <v>32</v>
      </c>
      <c r="O37" s="1073"/>
      <c r="P37" s="136" t="s">
        <v>37</v>
      </c>
      <c r="Q37" s="396" t="s">
        <v>71</v>
      </c>
      <c r="R37" s="184" t="s">
        <v>35</v>
      </c>
      <c r="S37" s="397"/>
      <c r="T37" s="135" t="s">
        <v>22</v>
      </c>
      <c r="U37" s="133" t="s">
        <v>80</v>
      </c>
      <c r="V37" s="122" t="s">
        <v>24</v>
      </c>
      <c r="W37" s="6"/>
    </row>
    <row r="38" spans="2:23" s="5" customFormat="1" ht="16.5" customHeight="1" thickTop="1">
      <c r="B38" s="50"/>
      <c r="C38" s="7"/>
      <c r="D38" s="405"/>
      <c r="E38" s="1075"/>
      <c r="F38" s="1076"/>
      <c r="G38" s="405"/>
      <c r="H38" s="406"/>
      <c r="I38" s="405"/>
      <c r="J38" s="405"/>
      <c r="K38" s="405"/>
      <c r="L38" s="405"/>
      <c r="M38" s="405"/>
      <c r="N38" s="405"/>
      <c r="O38" s="806"/>
      <c r="P38" s="407"/>
      <c r="Q38" s="408"/>
      <c r="R38" s="196"/>
      <c r="S38" s="409"/>
      <c r="T38" s="410"/>
      <c r="U38" s="405"/>
      <c r="V38" s="411"/>
      <c r="W38" s="6"/>
    </row>
    <row r="39" spans="2:23" s="5" customFormat="1" ht="16.5" customHeight="1">
      <c r="B39" s="50"/>
      <c r="C39" s="916" t="s">
        <v>232</v>
      </c>
      <c r="D39" s="405"/>
      <c r="E39" s="469"/>
      <c r="F39" s="917"/>
      <c r="G39" s="807"/>
      <c r="H39" s="131">
        <f>IF(G39=500,$M$19,IF(G39=220,$M$20,$M$21))</f>
        <v>51.126</v>
      </c>
      <c r="I39" s="808"/>
      <c r="J39" s="809"/>
      <c r="K39" s="415">
        <f>IF(D39="","",(J39-I39)*24)</f>
      </c>
      <c r="L39" s="416">
        <f>IF(D39="","",ROUND((J39-I39)*24*60,0))</f>
      </c>
      <c r="M39" s="600"/>
      <c r="N39" s="521">
        <f>IF(D39="","",IF(OR(M39="P",M39="RP"),"--","NO"))</f>
      </c>
      <c r="O39" s="476"/>
      <c r="P39" s="810">
        <f>IF(G39=500,$N$19,IF(G39=220,$N$20,$N$21))</f>
        <v>40</v>
      </c>
      <c r="Q39" s="811" t="str">
        <f>IF(M39="P",H39*P39*ROUND(L39/60,2)*0.1,"--")</f>
        <v>--</v>
      </c>
      <c r="R39" s="196" t="str">
        <f>IF(AND(M39="F",N39="NO"),H39*P39,"--")</f>
        <v>--</v>
      </c>
      <c r="S39" s="409" t="str">
        <f>IF(M39="F",H39*P39*ROUND(L39/60,2),"--")</f>
        <v>--</v>
      </c>
      <c r="T39" s="410" t="str">
        <f>IF(M39="RF",H39*P39*ROUND(L39/60,2),"--")</f>
        <v>--</v>
      </c>
      <c r="U39" s="812">
        <f>IF(D39="","","SI")</f>
      </c>
      <c r="V39" s="421">
        <f>IF(D39="","",SUM(Q39:T39)*IF(U39="SI",1,2))</f>
      </c>
      <c r="W39" s="6"/>
    </row>
    <row r="40" spans="2:23" s="5" customFormat="1" ht="16.5" customHeight="1">
      <c r="B40" s="50"/>
      <c r="C40" s="916" t="s">
        <v>233</v>
      </c>
      <c r="D40" s="405"/>
      <c r="E40" s="469"/>
      <c r="F40" s="917"/>
      <c r="G40" s="807"/>
      <c r="H40" s="131">
        <f>IF(G40=500,$M$19,IF(G40=220,$M$20,$M$21))</f>
        <v>51.126</v>
      </c>
      <c r="I40" s="808"/>
      <c r="J40" s="809"/>
      <c r="K40" s="415">
        <f>IF(D40="","",(J40-I40)*24)</f>
      </c>
      <c r="L40" s="416">
        <f>IF(D40="","",ROUND((J40-I40)*24*60,0))</f>
      </c>
      <c r="M40" s="600"/>
      <c r="N40" s="521">
        <f>IF(D40="","",IF(OR(M40="P",M40="RP"),"--","NO"))</f>
      </c>
      <c r="O40" s="476"/>
      <c r="P40" s="810">
        <f>IF(G40=500,$N$19,IF(G40=220,$N$20,$N$21))</f>
        <v>40</v>
      </c>
      <c r="Q40" s="811" t="str">
        <f>IF(M40="P",H40*P40*ROUND(L40/60,2)*0.1,"--")</f>
        <v>--</v>
      </c>
      <c r="R40" s="196" t="str">
        <f>IF(AND(M40="F",N40="NO"),H40*P40,"--")</f>
        <v>--</v>
      </c>
      <c r="S40" s="409" t="str">
        <f>IF(M40="F",H40*P40*ROUND(L40/60,2),"--")</f>
        <v>--</v>
      </c>
      <c r="T40" s="410" t="str">
        <f>IF(M40="RF",H40*P40*ROUND(L40/60,2),"--")</f>
        <v>--</v>
      </c>
      <c r="U40" s="812">
        <f>IF(D40="","","SI")</f>
      </c>
      <c r="V40" s="421">
        <f>IF(D40="","",SUM(Q40:T40)*IF(U40="SI",1,2))</f>
      </c>
      <c r="W40" s="6"/>
    </row>
    <row r="41" spans="2:28" s="5" customFormat="1" ht="16.5" customHeight="1" thickBot="1">
      <c r="B41" s="50"/>
      <c r="C41" s="813"/>
      <c r="D41" s="814"/>
      <c r="E41" s="1070"/>
      <c r="F41" s="1071"/>
      <c r="G41" s="815"/>
      <c r="H41" s="816"/>
      <c r="I41" s="817"/>
      <c r="J41" s="818"/>
      <c r="K41" s="819"/>
      <c r="L41" s="820"/>
      <c r="M41" s="821"/>
      <c r="N41" s="822"/>
      <c r="O41" s="821"/>
      <c r="P41" s="823"/>
      <c r="Q41" s="824"/>
      <c r="R41" s="825"/>
      <c r="S41" s="826"/>
      <c r="T41" s="827"/>
      <c r="U41" s="828"/>
      <c r="V41" s="829"/>
      <c r="W41" s="6"/>
      <c r="X41"/>
      <c r="Y41"/>
      <c r="Z41"/>
      <c r="AA41"/>
      <c r="AB41"/>
    </row>
    <row r="42" spans="1:23" ht="17.25" thickBot="1" thickTop="1">
      <c r="A42" s="32"/>
      <c r="B42" s="550"/>
      <c r="C42" s="553"/>
      <c r="D42" s="728"/>
      <c r="E42" s="729"/>
      <c r="F42" s="730"/>
      <c r="G42" s="731"/>
      <c r="H42" s="731"/>
      <c r="I42" s="729"/>
      <c r="J42" s="541"/>
      <c r="K42" s="541"/>
      <c r="L42" s="729"/>
      <c r="M42" s="729"/>
      <c r="N42" s="729"/>
      <c r="O42" s="732"/>
      <c r="P42" s="729"/>
      <c r="Q42" s="729"/>
      <c r="R42" s="733"/>
      <c r="S42" s="734"/>
      <c r="T42" s="734"/>
      <c r="U42" s="735"/>
      <c r="V42" s="724">
        <f>SUM(V39:V41)</f>
        <v>0</v>
      </c>
      <c r="W42" s="736"/>
    </row>
    <row r="43" spans="1:23" ht="17.25" thickBot="1" thickTop="1">
      <c r="A43" s="32"/>
      <c r="B43" s="550"/>
      <c r="C43" s="553"/>
      <c r="D43" s="728"/>
      <c r="E43" s="729"/>
      <c r="F43" s="730"/>
      <c r="G43" s="731"/>
      <c r="H43" s="731"/>
      <c r="I43" s="563" t="s">
        <v>42</v>
      </c>
      <c r="J43" s="799">
        <f>+V42+V35</f>
        <v>19943.88</v>
      </c>
      <c r="L43" s="729"/>
      <c r="M43" s="729"/>
      <c r="N43" s="729"/>
      <c r="O43" s="732"/>
      <c r="P43" s="729"/>
      <c r="Q43" s="729"/>
      <c r="R43" s="733"/>
      <c r="S43" s="734"/>
      <c r="T43" s="734"/>
      <c r="U43" s="735"/>
      <c r="W43" s="736"/>
    </row>
    <row r="44" spans="1:23" ht="13.5" customHeight="1" thickTop="1">
      <c r="A44" s="32"/>
      <c r="B44" s="550"/>
      <c r="C44" s="553"/>
      <c r="D44" s="728"/>
      <c r="E44" s="729"/>
      <c r="F44" s="730"/>
      <c r="G44" s="731"/>
      <c r="H44" s="731"/>
      <c r="I44" s="729"/>
      <c r="J44" s="541"/>
      <c r="K44" s="541"/>
      <c r="L44" s="729"/>
      <c r="M44" s="729"/>
      <c r="N44" s="729"/>
      <c r="O44" s="732"/>
      <c r="P44" s="729"/>
      <c r="Q44" s="729"/>
      <c r="R44" s="733"/>
      <c r="S44" s="734"/>
      <c r="T44" s="734"/>
      <c r="U44" s="735"/>
      <c r="W44" s="736"/>
    </row>
    <row r="45" spans="1:23" ht="16.5" customHeight="1">
      <c r="A45" s="32"/>
      <c r="B45" s="550"/>
      <c r="C45" s="737" t="s">
        <v>111</v>
      </c>
      <c r="D45" s="738" t="s">
        <v>155</v>
      </c>
      <c r="E45" s="729"/>
      <c r="F45" s="730"/>
      <c r="G45" s="731"/>
      <c r="H45" s="731"/>
      <c r="I45" s="729"/>
      <c r="J45" s="541"/>
      <c r="K45" s="541"/>
      <c r="L45" s="729"/>
      <c r="M45" s="729"/>
      <c r="N45" s="729"/>
      <c r="O45" s="732"/>
      <c r="P45" s="729"/>
      <c r="Q45" s="729"/>
      <c r="R45" s="733"/>
      <c r="S45" s="734"/>
      <c r="T45" s="734"/>
      <c r="U45" s="735"/>
      <c r="W45" s="736"/>
    </row>
    <row r="46" spans="1:23" ht="16.5" customHeight="1">
      <c r="A46" s="32"/>
      <c r="B46" s="550"/>
      <c r="C46" s="737"/>
      <c r="D46" s="728"/>
      <c r="E46" s="729"/>
      <c r="F46" s="730"/>
      <c r="G46" s="731"/>
      <c r="H46" s="731"/>
      <c r="I46" s="729"/>
      <c r="J46" s="541"/>
      <c r="K46" s="541"/>
      <c r="L46" s="729"/>
      <c r="M46" s="729"/>
      <c r="N46" s="729"/>
      <c r="O46" s="732"/>
      <c r="P46" s="729"/>
      <c r="Q46" s="729"/>
      <c r="R46" s="729"/>
      <c r="S46" s="733"/>
      <c r="T46" s="734"/>
      <c r="W46" s="736"/>
    </row>
    <row r="47" spans="2:23" s="32" customFormat="1" ht="16.5" customHeight="1">
      <c r="B47" s="550"/>
      <c r="C47" s="553"/>
      <c r="D47" s="739" t="s">
        <v>125</v>
      </c>
      <c r="E47" s="635" t="s">
        <v>126</v>
      </c>
      <c r="F47" s="635" t="s">
        <v>43</v>
      </c>
      <c r="G47" s="740" t="s">
        <v>160</v>
      </c>
      <c r="H47"/>
      <c r="I47" s="140"/>
      <c r="J47" s="751" t="s">
        <v>61</v>
      </c>
      <c r="K47" s="751"/>
      <c r="L47" s="635" t="s">
        <v>43</v>
      </c>
      <c r="M47" t="s">
        <v>138</v>
      </c>
      <c r="O47" s="740" t="s">
        <v>162</v>
      </c>
      <c r="P47"/>
      <c r="Q47" s="744"/>
      <c r="R47" s="744"/>
      <c r="S47" s="33"/>
      <c r="T47"/>
      <c r="U47"/>
      <c r="V47"/>
      <c r="W47" s="736"/>
    </row>
    <row r="48" spans="2:23" s="32" customFormat="1" ht="16.5" customHeight="1">
      <c r="B48" s="550"/>
      <c r="C48" s="553"/>
      <c r="D48" s="145" t="s">
        <v>149</v>
      </c>
      <c r="E48" s="145">
        <v>300</v>
      </c>
      <c r="F48" s="832" t="s">
        <v>150</v>
      </c>
      <c r="G48" s="1077">
        <f>+E48*$F$20*$F$21</f>
        <v>71200.8</v>
      </c>
      <c r="H48" s="1077"/>
      <c r="I48" s="1077"/>
      <c r="J48" s="831" t="s">
        <v>151</v>
      </c>
      <c r="K48" s="831"/>
      <c r="L48" s="145">
        <v>132</v>
      </c>
      <c r="M48" s="145">
        <v>2</v>
      </c>
      <c r="O48" s="1077">
        <f>+M48*$F$20*$M$21</f>
        <v>76075.488</v>
      </c>
      <c r="P48" s="1077"/>
      <c r="Q48" s="1077"/>
      <c r="R48" s="1077"/>
      <c r="S48" s="1077"/>
      <c r="T48" s="1077"/>
      <c r="U48" s="1077"/>
      <c r="V48"/>
      <c r="W48" s="736"/>
    </row>
    <row r="49" spans="1:23" ht="16.5" customHeight="1">
      <c r="A49" s="32"/>
      <c r="B49" s="550"/>
      <c r="C49" s="553"/>
      <c r="D49" s="143"/>
      <c r="E49" s="144"/>
      <c r="F49" s="830"/>
      <c r="G49" s="1069">
        <f>+G48</f>
        <v>71200.8</v>
      </c>
      <c r="H49" s="1069"/>
      <c r="I49" s="1069"/>
      <c r="M49" s="145"/>
      <c r="O49" s="1069">
        <f>SUM(O48:P48)</f>
        <v>76075.488</v>
      </c>
      <c r="P49" s="1069"/>
      <c r="Q49" s="1069"/>
      <c r="R49" s="1069"/>
      <c r="S49" s="1069"/>
      <c r="T49" s="1069"/>
      <c r="U49" s="1069"/>
      <c r="W49" s="736"/>
    </row>
    <row r="50" spans="1:23" ht="16.5" customHeight="1">
      <c r="A50" s="32"/>
      <c r="B50" s="550"/>
      <c r="C50" s="553"/>
      <c r="D50" s="143"/>
      <c r="E50" s="144"/>
      <c r="F50" s="830"/>
      <c r="M50" s="145"/>
      <c r="N50" s="140"/>
      <c r="O50" s="140"/>
      <c r="P50" s="780"/>
      <c r="Q50" s="780"/>
      <c r="R50" s="780"/>
      <c r="S50" s="780"/>
      <c r="W50" s="736"/>
    </row>
    <row r="51" spans="1:23" ht="16.5" customHeight="1" thickBot="1">
      <c r="A51" s="32"/>
      <c r="B51" s="550"/>
      <c r="C51" s="553"/>
      <c r="D51" s="739"/>
      <c r="E51" s="752"/>
      <c r="F51" s="752"/>
      <c r="G51" s="635"/>
      <c r="I51" s="742"/>
      <c r="J51" s="740"/>
      <c r="L51" s="741"/>
      <c r="M51" s="742"/>
      <c r="N51" s="743"/>
      <c r="O51" s="744"/>
      <c r="P51" s="744"/>
      <c r="Q51" s="744"/>
      <c r="R51" s="744"/>
      <c r="S51" s="744"/>
      <c r="W51" s="736"/>
    </row>
    <row r="52" spans="1:23" ht="16.5" customHeight="1" thickBot="1" thickTop="1">
      <c r="A52" s="32"/>
      <c r="B52" s="550"/>
      <c r="C52" s="553"/>
      <c r="D52" s="635"/>
      <c r="E52" s="783"/>
      <c r="F52" s="783"/>
      <c r="G52" s="746"/>
      <c r="H52" s="176"/>
      <c r="I52" s="563" t="s">
        <v>44</v>
      </c>
      <c r="J52" s="799">
        <f>+G49+O49</f>
        <v>147276.288</v>
      </c>
      <c r="L52" s="748"/>
      <c r="M52" s="176"/>
      <c r="N52" s="749"/>
      <c r="O52" s="780"/>
      <c r="P52" s="780"/>
      <c r="Q52" s="780"/>
      <c r="R52" s="780"/>
      <c r="S52" s="780"/>
      <c r="W52" s="736"/>
    </row>
    <row r="53" spans="1:23" ht="16.5" customHeight="1" thickTop="1">
      <c r="A53" s="32"/>
      <c r="B53" s="550"/>
      <c r="C53" s="553"/>
      <c r="D53" s="541"/>
      <c r="E53" s="558"/>
      <c r="F53" s="635"/>
      <c r="G53" s="635"/>
      <c r="H53" s="636"/>
      <c r="J53" s="635"/>
      <c r="L53" s="754"/>
      <c r="M53" s="743"/>
      <c r="N53" s="743"/>
      <c r="O53" s="744"/>
      <c r="P53" s="744"/>
      <c r="Q53" s="744"/>
      <c r="R53" s="744"/>
      <c r="S53" s="744"/>
      <c r="W53" s="736"/>
    </row>
    <row r="54" spans="2:23" ht="16.5" customHeight="1">
      <c r="B54" s="550"/>
      <c r="C54" s="737" t="s">
        <v>113</v>
      </c>
      <c r="D54" s="755" t="s">
        <v>114</v>
      </c>
      <c r="E54" s="635"/>
      <c r="F54" s="756"/>
      <c r="G54" s="634"/>
      <c r="H54" s="541"/>
      <c r="I54" s="541"/>
      <c r="J54" s="541"/>
      <c r="K54" s="635"/>
      <c r="L54" s="635"/>
      <c r="M54" s="541"/>
      <c r="N54" s="635"/>
      <c r="O54" s="541"/>
      <c r="P54" s="541"/>
      <c r="Q54" s="541"/>
      <c r="R54" s="541"/>
      <c r="S54" s="541"/>
      <c r="T54" s="541"/>
      <c r="U54" s="541"/>
      <c r="W54" s="736"/>
    </row>
    <row r="55" spans="2:23" s="32" customFormat="1" ht="16.5" customHeight="1">
      <c r="B55" s="550"/>
      <c r="C55" s="553"/>
      <c r="D55" s="739" t="s">
        <v>115</v>
      </c>
      <c r="E55" s="757">
        <f>10*J43*J25/J52</f>
        <v>4985.97</v>
      </c>
      <c r="G55" s="634"/>
      <c r="L55" s="635"/>
      <c r="N55" s="635"/>
      <c r="O55" s="636"/>
      <c r="V55"/>
      <c r="W55" s="736"/>
    </row>
    <row r="56" spans="2:23" s="32" customFormat="1" ht="12.75" customHeight="1">
      <c r="B56" s="550"/>
      <c r="C56" s="553"/>
      <c r="E56" s="758"/>
      <c r="F56" s="562"/>
      <c r="G56" s="634"/>
      <c r="J56" s="634"/>
      <c r="K56" s="649"/>
      <c r="L56" s="635"/>
      <c r="M56" s="635"/>
      <c r="N56" s="635"/>
      <c r="O56" s="636"/>
      <c r="P56" s="635"/>
      <c r="Q56" s="635"/>
      <c r="R56" s="648"/>
      <c r="S56" s="648"/>
      <c r="T56" s="648"/>
      <c r="U56" s="759"/>
      <c r="V56"/>
      <c r="W56" s="736"/>
    </row>
    <row r="57" spans="2:23" ht="16.5" customHeight="1">
      <c r="B57" s="550"/>
      <c r="C57" s="553"/>
      <c r="D57" s="760" t="s">
        <v>152</v>
      </c>
      <c r="E57" s="761"/>
      <c r="F57" s="562"/>
      <c r="G57" s="634"/>
      <c r="H57" s="541"/>
      <c r="I57" s="541"/>
      <c r="N57" s="635"/>
      <c r="O57" s="636"/>
      <c r="P57" s="635"/>
      <c r="Q57" s="635"/>
      <c r="R57" s="742"/>
      <c r="S57" s="742"/>
      <c r="T57" s="742"/>
      <c r="U57" s="743"/>
      <c r="W57" s="736"/>
    </row>
    <row r="58" spans="2:23" ht="13.5" customHeight="1" thickBot="1">
      <c r="B58" s="550"/>
      <c r="C58" s="553"/>
      <c r="D58" s="760"/>
      <c r="E58" s="761"/>
      <c r="F58" s="562"/>
      <c r="G58" s="634"/>
      <c r="H58" s="541"/>
      <c r="I58" s="541"/>
      <c r="N58" s="635"/>
      <c r="O58" s="636"/>
      <c r="P58" s="635"/>
      <c r="Q58" s="635"/>
      <c r="R58" s="742"/>
      <c r="S58" s="742"/>
      <c r="T58" s="742"/>
      <c r="U58" s="743"/>
      <c r="W58" s="736"/>
    </row>
    <row r="59" spans="2:23" s="762" customFormat="1" ht="21" thickBot="1" thickTop="1">
      <c r="B59" s="763"/>
      <c r="C59" s="764"/>
      <c r="D59" s="765"/>
      <c r="E59" s="766"/>
      <c r="F59" s="767"/>
      <c r="G59" s="768"/>
      <c r="I59" s="769" t="s">
        <v>116</v>
      </c>
      <c r="J59" s="770">
        <f>IF(E55&gt;3*J25,J25*3,E55)</f>
        <v>4985.97</v>
      </c>
      <c r="M59" s="771"/>
      <c r="N59" s="771"/>
      <c r="O59" s="772"/>
      <c r="P59" s="771"/>
      <c r="Q59" s="771"/>
      <c r="R59" s="773"/>
      <c r="S59" s="773"/>
      <c r="T59" s="773"/>
      <c r="U59" s="774"/>
      <c r="V59"/>
      <c r="W59" s="775"/>
    </row>
    <row r="60" spans="2:23" ht="16.5" customHeight="1" thickBot="1" thickTop="1">
      <c r="B60" s="5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200"/>
      <c r="W60" s="776"/>
    </row>
    <row r="61" spans="2:23" ht="16.5" customHeight="1" thickTop="1">
      <c r="B61" s="1"/>
      <c r="C61" s="73"/>
      <c r="W61" s="1"/>
    </row>
  </sheetData>
  <sheetProtection password="CC12"/>
  <mergeCells count="8">
    <mergeCell ref="E37:F37"/>
    <mergeCell ref="E38:F38"/>
    <mergeCell ref="O49:U49"/>
    <mergeCell ref="G49:I49"/>
    <mergeCell ref="G48:I48"/>
    <mergeCell ref="O48:U48"/>
    <mergeCell ref="N37:O37"/>
    <mergeCell ref="E41:F4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Roman,Normal"&amp;8&amp;F-&amp;A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62">
      <selection activeCell="K23" sqref="K23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87"/>
      <c r="V1" s="988"/>
    </row>
    <row r="2" spans="2:22" s="18" customFormat="1" ht="26.25">
      <c r="B2" s="435" t="str">
        <f>+'TOT-1208'!B2</f>
        <v>ANEXO I al Memorándum D.T.E.E. N°   770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989"/>
    </row>
    <row r="3" spans="1:22" s="25" customFormat="1" ht="11.25">
      <c r="A3" s="23" t="s">
        <v>2</v>
      </c>
      <c r="B3" s="125"/>
      <c r="U3" s="990"/>
      <c r="V3" s="990"/>
    </row>
    <row r="4" spans="1:22" s="25" customFormat="1" ht="11.25">
      <c r="A4" s="23" t="s">
        <v>3</v>
      </c>
      <c r="B4" s="125"/>
      <c r="U4" s="125"/>
      <c r="V4" s="990"/>
    </row>
    <row r="5" spans="21:22" ht="9.75" customHeight="1">
      <c r="U5" s="22"/>
      <c r="V5" s="988"/>
    </row>
    <row r="6" spans="2:178" s="991" customFormat="1" ht="23.25">
      <c r="B6" s="992" t="s">
        <v>367</v>
      </c>
      <c r="C6" s="992"/>
      <c r="D6" s="993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4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992"/>
      <c r="AY6" s="992"/>
      <c r="AZ6" s="992"/>
      <c r="BA6" s="992"/>
      <c r="BB6" s="992"/>
      <c r="BC6" s="992"/>
      <c r="BD6" s="992"/>
      <c r="BE6" s="992"/>
      <c r="BF6" s="992"/>
      <c r="BG6" s="992"/>
      <c r="BH6" s="992"/>
      <c r="BI6" s="992"/>
      <c r="BJ6" s="992"/>
      <c r="BK6" s="992"/>
      <c r="BL6" s="992"/>
      <c r="BM6" s="992"/>
      <c r="BN6" s="992"/>
      <c r="BO6" s="992"/>
      <c r="BP6" s="992"/>
      <c r="BQ6" s="992"/>
      <c r="BR6" s="992"/>
      <c r="BS6" s="992"/>
      <c r="BT6" s="992"/>
      <c r="BU6" s="992"/>
      <c r="BV6" s="992"/>
      <c r="BW6" s="992"/>
      <c r="BX6" s="992"/>
      <c r="BY6" s="992"/>
      <c r="BZ6" s="992"/>
      <c r="CA6" s="992"/>
      <c r="CB6" s="992"/>
      <c r="CC6" s="992"/>
      <c r="CD6" s="992"/>
      <c r="CE6" s="992"/>
      <c r="CF6" s="992"/>
      <c r="CG6" s="992"/>
      <c r="CH6" s="992"/>
      <c r="CI6" s="992"/>
      <c r="CJ6" s="992"/>
      <c r="CK6" s="992"/>
      <c r="CL6" s="992"/>
      <c r="CM6" s="992"/>
      <c r="CN6" s="992"/>
      <c r="CO6" s="992"/>
      <c r="CP6" s="992"/>
      <c r="CQ6" s="992"/>
      <c r="CR6" s="992"/>
      <c r="CS6" s="992"/>
      <c r="CT6" s="992"/>
      <c r="CU6" s="992"/>
      <c r="CV6" s="992"/>
      <c r="CW6" s="992"/>
      <c r="CX6" s="992"/>
      <c r="CY6" s="992"/>
      <c r="CZ6" s="992"/>
      <c r="DA6" s="992"/>
      <c r="DB6" s="992"/>
      <c r="DC6" s="992"/>
      <c r="DD6" s="992"/>
      <c r="DE6" s="992"/>
      <c r="DF6" s="992"/>
      <c r="DG6" s="992"/>
      <c r="DH6" s="992"/>
      <c r="DI6" s="992"/>
      <c r="DJ6" s="992"/>
      <c r="DK6" s="992"/>
      <c r="DL6" s="992"/>
      <c r="DM6" s="992"/>
      <c r="DN6" s="992"/>
      <c r="DO6" s="992"/>
      <c r="DP6" s="992"/>
      <c r="DQ6" s="992"/>
      <c r="DR6" s="992"/>
      <c r="DS6" s="992"/>
      <c r="DT6" s="992"/>
      <c r="DU6" s="992"/>
      <c r="DV6" s="992"/>
      <c r="DW6" s="992"/>
      <c r="DX6" s="992"/>
      <c r="DY6" s="992"/>
      <c r="DZ6" s="992"/>
      <c r="EA6" s="992"/>
      <c r="EB6" s="992"/>
      <c r="EC6" s="992"/>
      <c r="ED6" s="992"/>
      <c r="EE6" s="992"/>
      <c r="EF6" s="992"/>
      <c r="EG6" s="992"/>
      <c r="EH6" s="992"/>
      <c r="EI6" s="992"/>
      <c r="EJ6" s="992"/>
      <c r="EK6" s="992"/>
      <c r="EL6" s="992"/>
      <c r="EM6" s="992"/>
      <c r="EN6" s="992"/>
      <c r="EO6" s="992"/>
      <c r="EP6" s="992"/>
      <c r="EQ6" s="992"/>
      <c r="ER6" s="992"/>
      <c r="ES6" s="992"/>
      <c r="ET6" s="992"/>
      <c r="EU6" s="992"/>
      <c r="EV6" s="992"/>
      <c r="EW6" s="992"/>
      <c r="EX6" s="992"/>
      <c r="EY6" s="992"/>
      <c r="EZ6" s="992"/>
      <c r="FA6" s="992"/>
      <c r="FB6" s="992"/>
      <c r="FC6" s="992"/>
      <c r="FD6" s="992"/>
      <c r="FE6" s="992"/>
      <c r="FF6" s="992"/>
      <c r="FG6" s="992"/>
      <c r="FH6" s="992"/>
      <c r="FI6" s="992"/>
      <c r="FJ6" s="992"/>
      <c r="FK6" s="992"/>
      <c r="FL6" s="992"/>
      <c r="FM6" s="992"/>
      <c r="FN6" s="992"/>
      <c r="FO6" s="992"/>
      <c r="FP6" s="992"/>
      <c r="FQ6" s="992"/>
      <c r="FR6" s="992"/>
      <c r="FS6" s="992"/>
      <c r="FT6" s="992"/>
      <c r="FU6" s="992"/>
      <c r="FV6" s="992"/>
    </row>
    <row r="7" spans="2:178" s="32" customFormat="1" ht="9.75" customHeight="1"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977"/>
      <c r="V7" s="977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751"/>
      <c r="AP7" s="751"/>
      <c r="AQ7" s="751"/>
      <c r="AR7" s="751"/>
      <c r="AS7" s="751"/>
      <c r="AT7" s="751"/>
      <c r="AU7" s="751"/>
      <c r="AV7" s="751"/>
      <c r="AW7" s="751"/>
      <c r="AX7" s="751"/>
      <c r="AY7" s="751"/>
      <c r="AZ7" s="751"/>
      <c r="BA7" s="751"/>
      <c r="BB7" s="751"/>
      <c r="BC7" s="751"/>
      <c r="BD7" s="751"/>
      <c r="BE7" s="751"/>
      <c r="BF7" s="751"/>
      <c r="BG7" s="751"/>
      <c r="BH7" s="751"/>
      <c r="BI7" s="751"/>
      <c r="BJ7" s="751"/>
      <c r="BK7" s="751"/>
      <c r="BL7" s="751"/>
      <c r="BM7" s="751"/>
      <c r="BN7" s="751"/>
      <c r="BO7" s="751"/>
      <c r="BP7" s="751"/>
      <c r="BQ7" s="751"/>
      <c r="BR7" s="751"/>
      <c r="BS7" s="751"/>
      <c r="BT7" s="751"/>
      <c r="BU7" s="751"/>
      <c r="BV7" s="751"/>
      <c r="BW7" s="751"/>
      <c r="BX7" s="751"/>
      <c r="BY7" s="751"/>
      <c r="BZ7" s="751"/>
      <c r="CA7" s="751"/>
      <c r="CB7" s="751"/>
      <c r="CC7" s="751"/>
      <c r="CD7" s="751"/>
      <c r="CE7" s="751"/>
      <c r="CF7" s="751"/>
      <c r="CG7" s="751"/>
      <c r="CH7" s="751"/>
      <c r="CI7" s="751"/>
      <c r="CJ7" s="751"/>
      <c r="CK7" s="751"/>
      <c r="CL7" s="751"/>
      <c r="CM7" s="751"/>
      <c r="CN7" s="751"/>
      <c r="CO7" s="751"/>
      <c r="CP7" s="751"/>
      <c r="CQ7" s="751"/>
      <c r="CR7" s="751"/>
      <c r="CS7" s="751"/>
      <c r="CT7" s="751"/>
      <c r="CU7" s="751"/>
      <c r="CV7" s="751"/>
      <c r="CW7" s="751"/>
      <c r="CX7" s="751"/>
      <c r="CY7" s="751"/>
      <c r="CZ7" s="751"/>
      <c r="DA7" s="751"/>
      <c r="DB7" s="751"/>
      <c r="DC7" s="751"/>
      <c r="DD7" s="751"/>
      <c r="DE7" s="751"/>
      <c r="DF7" s="751"/>
      <c r="DG7" s="751"/>
      <c r="DH7" s="751"/>
      <c r="DI7" s="751"/>
      <c r="DJ7" s="751"/>
      <c r="DK7" s="751"/>
      <c r="DL7" s="751"/>
      <c r="DM7" s="751"/>
      <c r="DN7" s="751"/>
      <c r="DO7" s="751"/>
      <c r="DP7" s="751"/>
      <c r="DQ7" s="751"/>
      <c r="DR7" s="751"/>
      <c r="DS7" s="751"/>
      <c r="DT7" s="751"/>
      <c r="DU7" s="751"/>
      <c r="DV7" s="751"/>
      <c r="DW7" s="751"/>
      <c r="DX7" s="751"/>
      <c r="DY7" s="751"/>
      <c r="DZ7" s="751"/>
      <c r="EA7" s="751"/>
      <c r="EB7" s="751"/>
      <c r="EC7" s="751"/>
      <c r="ED7" s="751"/>
      <c r="EE7" s="751"/>
      <c r="EF7" s="751"/>
      <c r="EG7" s="751"/>
      <c r="EH7" s="751"/>
      <c r="EI7" s="751"/>
      <c r="EJ7" s="751"/>
      <c r="EK7" s="751"/>
      <c r="EL7" s="751"/>
      <c r="EM7" s="751"/>
      <c r="EN7" s="751"/>
      <c r="EO7" s="751"/>
      <c r="EP7" s="751"/>
      <c r="EQ7" s="751"/>
      <c r="ER7" s="751"/>
      <c r="ES7" s="751"/>
      <c r="ET7" s="751"/>
      <c r="EU7" s="751"/>
      <c r="EV7" s="751"/>
      <c r="EW7" s="751"/>
      <c r="EX7" s="751"/>
      <c r="EY7" s="751"/>
      <c r="EZ7" s="751"/>
      <c r="FA7" s="751"/>
      <c r="FB7" s="751"/>
      <c r="FC7" s="751"/>
      <c r="FD7" s="751"/>
      <c r="FE7" s="751"/>
      <c r="FF7" s="751"/>
      <c r="FG7" s="751"/>
      <c r="FH7" s="751"/>
      <c r="FI7" s="751"/>
      <c r="FJ7" s="751"/>
      <c r="FK7" s="751"/>
      <c r="FL7" s="751"/>
      <c r="FM7" s="751"/>
      <c r="FN7" s="751"/>
      <c r="FO7" s="751"/>
      <c r="FP7" s="751"/>
      <c r="FQ7" s="751"/>
      <c r="FR7" s="751"/>
      <c r="FS7" s="751"/>
      <c r="FT7" s="751"/>
      <c r="FU7" s="751"/>
      <c r="FV7" s="751"/>
    </row>
    <row r="8" spans="2:178" s="995" customFormat="1" ht="23.25">
      <c r="B8" s="992" t="s">
        <v>62</v>
      </c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6"/>
      <c r="W8" s="993"/>
      <c r="X8" s="993"/>
      <c r="Y8" s="993"/>
      <c r="Z8" s="993"/>
      <c r="AA8" s="993"/>
      <c r="AB8" s="993"/>
      <c r="AC8" s="993"/>
      <c r="AD8" s="993"/>
      <c r="AE8" s="993"/>
      <c r="AF8" s="993"/>
      <c r="AG8" s="993"/>
      <c r="AH8" s="993"/>
      <c r="AI8" s="993"/>
      <c r="AJ8" s="993"/>
      <c r="AK8" s="993"/>
      <c r="AL8" s="993"/>
      <c r="AM8" s="993"/>
      <c r="AN8" s="993"/>
      <c r="AO8" s="993"/>
      <c r="AP8" s="993"/>
      <c r="AQ8" s="993"/>
      <c r="AR8" s="993"/>
      <c r="AS8" s="993"/>
      <c r="AT8" s="993"/>
      <c r="AU8" s="993"/>
      <c r="AV8" s="993"/>
      <c r="AW8" s="993"/>
      <c r="AX8" s="993"/>
      <c r="AY8" s="993"/>
      <c r="AZ8" s="993"/>
      <c r="BA8" s="993"/>
      <c r="BB8" s="993"/>
      <c r="BC8" s="993"/>
      <c r="BD8" s="993"/>
      <c r="BE8" s="993"/>
      <c r="BF8" s="993"/>
      <c r="BG8" s="993"/>
      <c r="BH8" s="993"/>
      <c r="BI8" s="993"/>
      <c r="BJ8" s="993"/>
      <c r="BK8" s="993"/>
      <c r="BL8" s="993"/>
      <c r="BM8" s="993"/>
      <c r="BN8" s="993"/>
      <c r="BO8" s="993"/>
      <c r="BP8" s="993"/>
      <c r="BQ8" s="993"/>
      <c r="BR8" s="993"/>
      <c r="BS8" s="993"/>
      <c r="BT8" s="993"/>
      <c r="BU8" s="993"/>
      <c r="BV8" s="993"/>
      <c r="BW8" s="993"/>
      <c r="BX8" s="993"/>
      <c r="BY8" s="993"/>
      <c r="BZ8" s="993"/>
      <c r="CA8" s="993"/>
      <c r="CB8" s="993"/>
      <c r="CC8" s="993"/>
      <c r="CD8" s="993"/>
      <c r="CE8" s="993"/>
      <c r="CF8" s="993"/>
      <c r="CG8" s="993"/>
      <c r="CH8" s="993"/>
      <c r="CI8" s="993"/>
      <c r="CJ8" s="993"/>
      <c r="CK8" s="993"/>
      <c r="CL8" s="993"/>
      <c r="CM8" s="993"/>
      <c r="CN8" s="993"/>
      <c r="CO8" s="993"/>
      <c r="CP8" s="993"/>
      <c r="CQ8" s="993"/>
      <c r="CR8" s="993"/>
      <c r="CS8" s="993"/>
      <c r="CT8" s="993"/>
      <c r="CU8" s="993"/>
      <c r="CV8" s="993"/>
      <c r="CW8" s="993"/>
      <c r="CX8" s="993"/>
      <c r="CY8" s="993"/>
      <c r="CZ8" s="993"/>
      <c r="DA8" s="993"/>
      <c r="DB8" s="993"/>
      <c r="DC8" s="993"/>
      <c r="DD8" s="993"/>
      <c r="DE8" s="993"/>
      <c r="DF8" s="993"/>
      <c r="DG8" s="993"/>
      <c r="DH8" s="993"/>
      <c r="DI8" s="993"/>
      <c r="DJ8" s="993"/>
      <c r="DK8" s="993"/>
      <c r="DL8" s="993"/>
      <c r="DM8" s="993"/>
      <c r="DN8" s="993"/>
      <c r="DO8" s="993"/>
      <c r="DP8" s="993"/>
      <c r="DQ8" s="993"/>
      <c r="DR8" s="993"/>
      <c r="DS8" s="993"/>
      <c r="DT8" s="993"/>
      <c r="DU8" s="993"/>
      <c r="DV8" s="993"/>
      <c r="DW8" s="993"/>
      <c r="DX8" s="993"/>
      <c r="DY8" s="993"/>
      <c r="DZ8" s="993"/>
      <c r="EA8" s="993"/>
      <c r="EB8" s="993"/>
      <c r="EC8" s="993"/>
      <c r="ED8" s="993"/>
      <c r="EE8" s="993"/>
      <c r="EF8" s="993"/>
      <c r="EG8" s="993"/>
      <c r="EH8" s="993"/>
      <c r="EI8" s="993"/>
      <c r="EJ8" s="993"/>
      <c r="EK8" s="993"/>
      <c r="EL8" s="993"/>
      <c r="EM8" s="993"/>
      <c r="EN8" s="993"/>
      <c r="EO8" s="993"/>
      <c r="EP8" s="993"/>
      <c r="EQ8" s="993"/>
      <c r="ER8" s="993"/>
      <c r="ES8" s="993"/>
      <c r="ET8" s="993"/>
      <c r="EU8" s="993"/>
      <c r="EV8" s="993"/>
      <c r="EW8" s="993"/>
      <c r="EX8" s="993"/>
      <c r="EY8" s="993"/>
      <c r="EZ8" s="993"/>
      <c r="FA8" s="993"/>
      <c r="FB8" s="993"/>
      <c r="FC8" s="993"/>
      <c r="FD8" s="993"/>
      <c r="FE8" s="993"/>
      <c r="FF8" s="993"/>
      <c r="FG8" s="993"/>
      <c r="FH8" s="993"/>
      <c r="FI8" s="993"/>
      <c r="FJ8" s="993"/>
      <c r="FK8" s="993"/>
      <c r="FL8" s="993"/>
      <c r="FM8" s="993"/>
      <c r="FN8" s="993"/>
      <c r="FO8" s="993"/>
      <c r="FP8" s="993"/>
      <c r="FQ8" s="993"/>
      <c r="FR8" s="993"/>
      <c r="FS8" s="993"/>
      <c r="FT8" s="993"/>
      <c r="FU8" s="993"/>
      <c r="FV8" s="993"/>
    </row>
    <row r="9" spans="2:178" s="32" customFormat="1" ht="9.75" customHeight="1"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977"/>
      <c r="V9" s="977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1"/>
      <c r="AW9" s="751"/>
      <c r="AX9" s="751"/>
      <c r="AY9" s="751"/>
      <c r="AZ9" s="751"/>
      <c r="BA9" s="751"/>
      <c r="BB9" s="751"/>
      <c r="BC9" s="751"/>
      <c r="BD9" s="751"/>
      <c r="BE9" s="751"/>
      <c r="BF9" s="751"/>
      <c r="BG9" s="751"/>
      <c r="BH9" s="751"/>
      <c r="BI9" s="751"/>
      <c r="BJ9" s="751"/>
      <c r="BK9" s="751"/>
      <c r="BL9" s="751"/>
      <c r="BM9" s="751"/>
      <c r="BN9" s="751"/>
      <c r="BO9" s="751"/>
      <c r="BP9" s="751"/>
      <c r="BQ9" s="751"/>
      <c r="BR9" s="751"/>
      <c r="BS9" s="751"/>
      <c r="BT9" s="751"/>
      <c r="BU9" s="751"/>
      <c r="BV9" s="751"/>
      <c r="BW9" s="751"/>
      <c r="BX9" s="751"/>
      <c r="BY9" s="751"/>
      <c r="BZ9" s="751"/>
      <c r="CA9" s="751"/>
      <c r="CB9" s="751"/>
      <c r="CC9" s="751"/>
      <c r="CD9" s="751"/>
      <c r="CE9" s="751"/>
      <c r="CF9" s="751"/>
      <c r="CG9" s="751"/>
      <c r="CH9" s="751"/>
      <c r="CI9" s="751"/>
      <c r="CJ9" s="751"/>
      <c r="CK9" s="751"/>
      <c r="CL9" s="751"/>
      <c r="CM9" s="751"/>
      <c r="CN9" s="751"/>
      <c r="CO9" s="751"/>
      <c r="CP9" s="751"/>
      <c r="CQ9" s="751"/>
      <c r="CR9" s="751"/>
      <c r="CS9" s="751"/>
      <c r="CT9" s="751"/>
      <c r="CU9" s="751"/>
      <c r="CV9" s="751"/>
      <c r="CW9" s="751"/>
      <c r="CX9" s="751"/>
      <c r="CY9" s="751"/>
      <c r="CZ9" s="751"/>
      <c r="DA9" s="751"/>
      <c r="DB9" s="751"/>
      <c r="DC9" s="751"/>
      <c r="DD9" s="751"/>
      <c r="DE9" s="751"/>
      <c r="DF9" s="751"/>
      <c r="DG9" s="751"/>
      <c r="DH9" s="751"/>
      <c r="DI9" s="751"/>
      <c r="DJ9" s="751"/>
      <c r="DK9" s="751"/>
      <c r="DL9" s="751"/>
      <c r="DM9" s="751"/>
      <c r="DN9" s="751"/>
      <c r="DO9" s="751"/>
      <c r="DP9" s="751"/>
      <c r="DQ9" s="751"/>
      <c r="DR9" s="751"/>
      <c r="DS9" s="751"/>
      <c r="DT9" s="751"/>
      <c r="DU9" s="751"/>
      <c r="DV9" s="751"/>
      <c r="DW9" s="751"/>
      <c r="DX9" s="751"/>
      <c r="DY9" s="751"/>
      <c r="DZ9" s="751"/>
      <c r="EA9" s="751"/>
      <c r="EB9" s="751"/>
      <c r="EC9" s="751"/>
      <c r="ED9" s="751"/>
      <c r="EE9" s="751"/>
      <c r="EF9" s="751"/>
      <c r="EG9" s="751"/>
      <c r="EH9" s="751"/>
      <c r="EI9" s="751"/>
      <c r="EJ9" s="751"/>
      <c r="EK9" s="751"/>
      <c r="EL9" s="751"/>
      <c r="EM9" s="751"/>
      <c r="EN9" s="751"/>
      <c r="EO9" s="751"/>
      <c r="EP9" s="751"/>
      <c r="EQ9" s="751"/>
      <c r="ER9" s="751"/>
      <c r="ES9" s="751"/>
      <c r="ET9" s="751"/>
      <c r="EU9" s="751"/>
      <c r="EV9" s="751"/>
      <c r="EW9" s="751"/>
      <c r="EX9" s="751"/>
      <c r="EY9" s="751"/>
      <c r="EZ9" s="751"/>
      <c r="FA9" s="751"/>
      <c r="FB9" s="751"/>
      <c r="FC9" s="751"/>
      <c r="FD9" s="751"/>
      <c r="FE9" s="751"/>
      <c r="FF9" s="751"/>
      <c r="FG9" s="751"/>
      <c r="FH9" s="751"/>
      <c r="FI9" s="751"/>
      <c r="FJ9" s="751"/>
      <c r="FK9" s="751"/>
      <c r="FL9" s="751"/>
      <c r="FM9" s="751"/>
      <c r="FN9" s="751"/>
      <c r="FO9" s="751"/>
      <c r="FP9" s="751"/>
      <c r="FQ9" s="751"/>
      <c r="FR9" s="751"/>
      <c r="FS9" s="751"/>
      <c r="FT9" s="751"/>
      <c r="FU9" s="751"/>
      <c r="FV9" s="751"/>
    </row>
    <row r="10" spans="2:178" s="995" customFormat="1" ht="23.25">
      <c r="B10" s="992" t="s">
        <v>368</v>
      </c>
      <c r="C10" s="993"/>
      <c r="D10" s="993"/>
      <c r="E10" s="993"/>
      <c r="F10" s="993"/>
      <c r="G10" s="993"/>
      <c r="H10" s="993"/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3"/>
      <c r="T10" s="993"/>
      <c r="U10" s="993"/>
      <c r="V10" s="996"/>
      <c r="W10" s="993"/>
      <c r="X10" s="993"/>
      <c r="Y10" s="993"/>
      <c r="Z10" s="993"/>
      <c r="AA10" s="993"/>
      <c r="AB10" s="993"/>
      <c r="AC10" s="993"/>
      <c r="AD10" s="993"/>
      <c r="AE10" s="993"/>
      <c r="AF10" s="993"/>
      <c r="AG10" s="993"/>
      <c r="AH10" s="993"/>
      <c r="AI10" s="993"/>
      <c r="AJ10" s="993"/>
      <c r="AK10" s="993"/>
      <c r="AL10" s="993"/>
      <c r="AM10" s="993"/>
      <c r="AN10" s="993"/>
      <c r="AO10" s="993"/>
      <c r="AP10" s="993"/>
      <c r="AQ10" s="993"/>
      <c r="AR10" s="993"/>
      <c r="AS10" s="993"/>
      <c r="AT10" s="993"/>
      <c r="AU10" s="993"/>
      <c r="AV10" s="993"/>
      <c r="AW10" s="993"/>
      <c r="AX10" s="993"/>
      <c r="AY10" s="993"/>
      <c r="AZ10" s="993"/>
      <c r="BA10" s="993"/>
      <c r="BB10" s="993"/>
      <c r="BC10" s="993"/>
      <c r="BD10" s="993"/>
      <c r="BE10" s="993"/>
      <c r="BF10" s="993"/>
      <c r="BG10" s="993"/>
      <c r="BH10" s="993"/>
      <c r="BI10" s="993"/>
      <c r="BJ10" s="993"/>
      <c r="BK10" s="993"/>
      <c r="BL10" s="993"/>
      <c r="BM10" s="993"/>
      <c r="BN10" s="993"/>
      <c r="BO10" s="993"/>
      <c r="BP10" s="993"/>
      <c r="BQ10" s="993"/>
      <c r="BR10" s="993"/>
      <c r="BS10" s="993"/>
      <c r="BT10" s="993"/>
      <c r="BU10" s="993"/>
      <c r="BV10" s="993"/>
      <c r="BW10" s="993"/>
      <c r="BX10" s="993"/>
      <c r="BY10" s="993"/>
      <c r="BZ10" s="993"/>
      <c r="CA10" s="993"/>
      <c r="CB10" s="993"/>
      <c r="CC10" s="993"/>
      <c r="CD10" s="993"/>
      <c r="CE10" s="993"/>
      <c r="CF10" s="993"/>
      <c r="CG10" s="993"/>
      <c r="CH10" s="993"/>
      <c r="CI10" s="993"/>
      <c r="CJ10" s="993"/>
      <c r="CK10" s="993"/>
      <c r="CL10" s="993"/>
      <c r="CM10" s="993"/>
      <c r="CN10" s="993"/>
      <c r="CO10" s="993"/>
      <c r="CP10" s="993"/>
      <c r="CQ10" s="993"/>
      <c r="CR10" s="993"/>
      <c r="CS10" s="993"/>
      <c r="CT10" s="993"/>
      <c r="CU10" s="993"/>
      <c r="CV10" s="993"/>
      <c r="CW10" s="993"/>
      <c r="CX10" s="993"/>
      <c r="CY10" s="993"/>
      <c r="CZ10" s="993"/>
      <c r="DA10" s="993"/>
      <c r="DB10" s="993"/>
      <c r="DC10" s="993"/>
      <c r="DD10" s="993"/>
      <c r="DE10" s="993"/>
      <c r="DF10" s="993"/>
      <c r="DG10" s="993"/>
      <c r="DH10" s="993"/>
      <c r="DI10" s="993"/>
      <c r="DJ10" s="993"/>
      <c r="DK10" s="993"/>
      <c r="DL10" s="993"/>
      <c r="DM10" s="993"/>
      <c r="DN10" s="993"/>
      <c r="DO10" s="993"/>
      <c r="DP10" s="993"/>
      <c r="DQ10" s="993"/>
      <c r="DR10" s="993"/>
      <c r="DS10" s="993"/>
      <c r="DT10" s="993"/>
      <c r="DU10" s="993"/>
      <c r="DV10" s="993"/>
      <c r="DW10" s="993"/>
      <c r="DX10" s="993"/>
      <c r="DY10" s="993"/>
      <c r="DZ10" s="993"/>
      <c r="EA10" s="993"/>
      <c r="EB10" s="993"/>
      <c r="EC10" s="993"/>
      <c r="ED10" s="993"/>
      <c r="EE10" s="993"/>
      <c r="EF10" s="993"/>
      <c r="EG10" s="993"/>
      <c r="EH10" s="993"/>
      <c r="EI10" s="993"/>
      <c r="EJ10" s="993"/>
      <c r="EK10" s="993"/>
      <c r="EL10" s="993"/>
      <c r="EM10" s="993"/>
      <c r="EN10" s="993"/>
      <c r="EO10" s="993"/>
      <c r="EP10" s="993"/>
      <c r="EQ10" s="993"/>
      <c r="ER10" s="993"/>
      <c r="ES10" s="993"/>
      <c r="ET10" s="993"/>
      <c r="EU10" s="993"/>
      <c r="EV10" s="993"/>
      <c r="EW10" s="993"/>
      <c r="EX10" s="993"/>
      <c r="EY10" s="993"/>
      <c r="EZ10" s="993"/>
      <c r="FA10" s="993"/>
      <c r="FB10" s="993"/>
      <c r="FC10" s="993"/>
      <c r="FD10" s="993"/>
      <c r="FE10" s="993"/>
      <c r="FF10" s="993"/>
      <c r="FG10" s="993"/>
      <c r="FH10" s="993"/>
      <c r="FI10" s="993"/>
      <c r="FJ10" s="993"/>
      <c r="FK10" s="993"/>
      <c r="FL10" s="993"/>
      <c r="FM10" s="993"/>
      <c r="FN10" s="993"/>
      <c r="FO10" s="993"/>
      <c r="FP10" s="993"/>
      <c r="FQ10" s="993"/>
      <c r="FR10" s="993"/>
      <c r="FS10" s="993"/>
      <c r="FT10" s="993"/>
      <c r="FU10" s="993"/>
      <c r="FV10" s="993"/>
    </row>
    <row r="11" spans="2:178" s="32" customFormat="1" ht="9.75" customHeight="1" thickBot="1">
      <c r="B11" s="751"/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977"/>
      <c r="V11" s="977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1"/>
      <c r="BA11" s="751"/>
      <c r="BB11" s="751"/>
      <c r="BC11" s="751"/>
      <c r="BD11" s="751"/>
      <c r="BE11" s="751"/>
      <c r="BF11" s="751"/>
      <c r="BG11" s="751"/>
      <c r="BH11" s="751"/>
      <c r="BI11" s="751"/>
      <c r="BJ11" s="751"/>
      <c r="BK11" s="751"/>
      <c r="BL11" s="751"/>
      <c r="BM11" s="751"/>
      <c r="BN11" s="751"/>
      <c r="BO11" s="751"/>
      <c r="BP11" s="751"/>
      <c r="BQ11" s="751"/>
      <c r="BR11" s="751"/>
      <c r="BS11" s="751"/>
      <c r="BT11" s="751"/>
      <c r="BU11" s="751"/>
      <c r="BV11" s="751"/>
      <c r="BW11" s="751"/>
      <c r="BX11" s="751"/>
      <c r="BY11" s="751"/>
      <c r="BZ11" s="751"/>
      <c r="CA11" s="751"/>
      <c r="CB11" s="751"/>
      <c r="CC11" s="751"/>
      <c r="CD11" s="751"/>
      <c r="CE11" s="751"/>
      <c r="CF11" s="751"/>
      <c r="CG11" s="751"/>
      <c r="CH11" s="751"/>
      <c r="CI11" s="751"/>
      <c r="CJ11" s="751"/>
      <c r="CK11" s="751"/>
      <c r="CL11" s="751"/>
      <c r="CM11" s="751"/>
      <c r="CN11" s="751"/>
      <c r="CO11" s="751"/>
      <c r="CP11" s="751"/>
      <c r="CQ11" s="751"/>
      <c r="CR11" s="751"/>
      <c r="CS11" s="751"/>
      <c r="CT11" s="751"/>
      <c r="CU11" s="751"/>
      <c r="CV11" s="751"/>
      <c r="CW11" s="751"/>
      <c r="CX11" s="751"/>
      <c r="CY11" s="751"/>
      <c r="CZ11" s="751"/>
      <c r="DA11" s="751"/>
      <c r="DB11" s="751"/>
      <c r="DC11" s="751"/>
      <c r="DD11" s="751"/>
      <c r="DE11" s="751"/>
      <c r="DF11" s="751"/>
      <c r="DG11" s="751"/>
      <c r="DH11" s="751"/>
      <c r="DI11" s="751"/>
      <c r="DJ11" s="751"/>
      <c r="DK11" s="751"/>
      <c r="DL11" s="751"/>
      <c r="DM11" s="751"/>
      <c r="DN11" s="751"/>
      <c r="DO11" s="751"/>
      <c r="DP11" s="751"/>
      <c r="DQ11" s="751"/>
      <c r="DR11" s="751"/>
      <c r="DS11" s="751"/>
      <c r="DT11" s="751"/>
      <c r="DU11" s="751"/>
      <c r="DV11" s="751"/>
      <c r="DW11" s="751"/>
      <c r="DX11" s="751"/>
      <c r="DY11" s="751"/>
      <c r="DZ11" s="751"/>
      <c r="EA11" s="751"/>
      <c r="EB11" s="751"/>
      <c r="EC11" s="751"/>
      <c r="ED11" s="751"/>
      <c r="EE11" s="751"/>
      <c r="EF11" s="751"/>
      <c r="EG11" s="751"/>
      <c r="EH11" s="751"/>
      <c r="EI11" s="751"/>
      <c r="EJ11" s="751"/>
      <c r="EK11" s="751"/>
      <c r="EL11" s="751"/>
      <c r="EM11" s="751"/>
      <c r="EN11" s="751"/>
      <c r="EO11" s="751"/>
      <c r="EP11" s="751"/>
      <c r="EQ11" s="751"/>
      <c r="ER11" s="751"/>
      <c r="ES11" s="751"/>
      <c r="ET11" s="751"/>
      <c r="EU11" s="751"/>
      <c r="EV11" s="751"/>
      <c r="EW11" s="751"/>
      <c r="EX11" s="751"/>
      <c r="EY11" s="751"/>
      <c r="EZ11" s="751"/>
      <c r="FA11" s="751"/>
      <c r="FB11" s="751"/>
      <c r="FC11" s="751"/>
      <c r="FD11" s="751"/>
      <c r="FE11" s="751"/>
      <c r="FF11" s="751"/>
      <c r="FG11" s="751"/>
      <c r="FH11" s="751"/>
      <c r="FI11" s="751"/>
      <c r="FJ11" s="751"/>
      <c r="FK11" s="751"/>
      <c r="FL11" s="751"/>
      <c r="FM11" s="751"/>
      <c r="FN11" s="751"/>
      <c r="FO11" s="751"/>
      <c r="FP11" s="751"/>
      <c r="FQ11" s="751"/>
      <c r="FR11" s="751"/>
      <c r="FS11" s="751"/>
      <c r="FT11" s="751"/>
      <c r="FU11" s="751"/>
      <c r="FV11" s="751"/>
    </row>
    <row r="12" spans="2:177" s="32" customFormat="1" ht="9.75" customHeight="1" thickTop="1">
      <c r="B12" s="997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9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751"/>
      <c r="AK12" s="751"/>
      <c r="AL12" s="751"/>
      <c r="AM12" s="751"/>
      <c r="AN12" s="751"/>
      <c r="AO12" s="751"/>
      <c r="AP12" s="751"/>
      <c r="AQ12" s="751"/>
      <c r="AR12" s="751"/>
      <c r="AS12" s="751"/>
      <c r="AT12" s="751"/>
      <c r="AU12" s="751"/>
      <c r="AV12" s="751"/>
      <c r="AW12" s="751"/>
      <c r="AX12" s="751"/>
      <c r="AY12" s="751"/>
      <c r="AZ12" s="751"/>
      <c r="BA12" s="751"/>
      <c r="BB12" s="751"/>
      <c r="BC12" s="751"/>
      <c r="BD12" s="751"/>
      <c r="BE12" s="751"/>
      <c r="BF12" s="751"/>
      <c r="BG12" s="751"/>
      <c r="BH12" s="751"/>
      <c r="BI12" s="751"/>
      <c r="BJ12" s="751"/>
      <c r="BK12" s="751"/>
      <c r="BL12" s="751"/>
      <c r="BM12" s="751"/>
      <c r="BN12" s="751"/>
      <c r="BO12" s="751"/>
      <c r="BP12" s="751"/>
      <c r="BQ12" s="751"/>
      <c r="BR12" s="751"/>
      <c r="BS12" s="751"/>
      <c r="BT12" s="751"/>
      <c r="BU12" s="751"/>
      <c r="BV12" s="751"/>
      <c r="BW12" s="751"/>
      <c r="BX12" s="751"/>
      <c r="BY12" s="751"/>
      <c r="BZ12" s="751"/>
      <c r="CA12" s="751"/>
      <c r="CB12" s="751"/>
      <c r="CC12" s="751"/>
      <c r="CD12" s="751"/>
      <c r="CE12" s="751"/>
      <c r="CF12" s="751"/>
      <c r="CG12" s="751"/>
      <c r="CH12" s="751"/>
      <c r="CI12" s="751"/>
      <c r="CJ12" s="751"/>
      <c r="CK12" s="751"/>
      <c r="CL12" s="751"/>
      <c r="CM12" s="751"/>
      <c r="CN12" s="751"/>
      <c r="CO12" s="751"/>
      <c r="CP12" s="751"/>
      <c r="CQ12" s="751"/>
      <c r="CR12" s="751"/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1"/>
      <c r="DK12" s="751"/>
      <c r="DL12" s="751"/>
      <c r="DM12" s="751"/>
      <c r="DN12" s="751"/>
      <c r="DO12" s="751"/>
      <c r="DP12" s="751"/>
      <c r="DQ12" s="751"/>
      <c r="DR12" s="751"/>
      <c r="DS12" s="751"/>
      <c r="DT12" s="751"/>
      <c r="DU12" s="751"/>
      <c r="DV12" s="751"/>
      <c r="DW12" s="751"/>
      <c r="DX12" s="751"/>
      <c r="DY12" s="751"/>
      <c r="DZ12" s="751"/>
      <c r="EA12" s="751"/>
      <c r="EB12" s="751"/>
      <c r="EC12" s="751"/>
      <c r="ED12" s="751"/>
      <c r="EE12" s="751"/>
      <c r="EF12" s="751"/>
      <c r="EG12" s="751"/>
      <c r="EH12" s="751"/>
      <c r="EI12" s="751"/>
      <c r="EJ12" s="751"/>
      <c r="EK12" s="751"/>
      <c r="EL12" s="751"/>
      <c r="EM12" s="751"/>
      <c r="EN12" s="751"/>
      <c r="EO12" s="751"/>
      <c r="EP12" s="751"/>
      <c r="EQ12" s="751"/>
      <c r="ER12" s="751"/>
      <c r="ES12" s="751"/>
      <c r="ET12" s="751"/>
      <c r="EU12" s="751"/>
      <c r="EV12" s="751"/>
      <c r="EW12" s="751"/>
      <c r="EX12" s="751"/>
      <c r="EY12" s="751"/>
      <c r="EZ12" s="751"/>
      <c r="FA12" s="751"/>
      <c r="FB12" s="751"/>
      <c r="FC12" s="751"/>
      <c r="FD12" s="751"/>
      <c r="FE12" s="751"/>
      <c r="FF12" s="751"/>
      <c r="FG12" s="751"/>
      <c r="FH12" s="751"/>
      <c r="FI12" s="751"/>
      <c r="FJ12" s="751"/>
      <c r="FK12" s="751"/>
      <c r="FL12" s="751"/>
      <c r="FM12" s="751"/>
      <c r="FN12" s="751"/>
      <c r="FO12" s="751"/>
      <c r="FP12" s="751"/>
      <c r="FQ12" s="751"/>
      <c r="FR12" s="751"/>
      <c r="FS12" s="751"/>
      <c r="FT12" s="751"/>
      <c r="FU12" s="751"/>
    </row>
    <row r="13" spans="2:177" s="32" customFormat="1" ht="19.5">
      <c r="B13" s="37" t="s">
        <v>369</v>
      </c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  <c r="AF13" s="751"/>
      <c r="AG13" s="751"/>
      <c r="AH13" s="751"/>
      <c r="AI13" s="751"/>
      <c r="AJ13" s="751"/>
      <c r="AK13" s="751"/>
      <c r="AL13" s="751"/>
      <c r="AM13" s="751"/>
      <c r="AN13" s="751"/>
      <c r="AO13" s="751"/>
      <c r="AP13" s="751"/>
      <c r="AQ13" s="751"/>
      <c r="AR13" s="751"/>
      <c r="AS13" s="751"/>
      <c r="AT13" s="751"/>
      <c r="AU13" s="751"/>
      <c r="AV13" s="751"/>
      <c r="AW13" s="751"/>
      <c r="AX13" s="751"/>
      <c r="AY13" s="751"/>
      <c r="AZ13" s="751"/>
      <c r="BA13" s="751"/>
      <c r="BB13" s="751"/>
      <c r="BC13" s="751"/>
      <c r="BD13" s="751"/>
      <c r="BE13" s="751"/>
      <c r="BF13" s="751"/>
      <c r="BG13" s="751"/>
      <c r="BH13" s="751"/>
      <c r="BI13" s="751"/>
      <c r="BJ13" s="751"/>
      <c r="BK13" s="751"/>
      <c r="BL13" s="751"/>
      <c r="BM13" s="751"/>
      <c r="BN13" s="751"/>
      <c r="BO13" s="751"/>
      <c r="BP13" s="751"/>
      <c r="BQ13" s="751"/>
      <c r="BR13" s="751"/>
      <c r="BS13" s="751"/>
      <c r="BT13" s="751"/>
      <c r="BU13" s="751"/>
      <c r="BV13" s="751"/>
      <c r="BW13" s="751"/>
      <c r="BX13" s="751"/>
      <c r="BY13" s="751"/>
      <c r="BZ13" s="751"/>
      <c r="CA13" s="751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51"/>
      <c r="CN13" s="751"/>
      <c r="CO13" s="751"/>
      <c r="CP13" s="751"/>
      <c r="CQ13" s="751"/>
      <c r="CR13" s="751"/>
      <c r="CS13" s="751"/>
      <c r="CT13" s="751"/>
      <c r="CU13" s="751"/>
      <c r="CV13" s="751"/>
      <c r="CW13" s="751"/>
      <c r="CX13" s="751"/>
      <c r="CY13" s="751"/>
      <c r="CZ13" s="751"/>
      <c r="DA13" s="751"/>
      <c r="DB13" s="751"/>
      <c r="DC13" s="751"/>
      <c r="DD13" s="751"/>
      <c r="DE13" s="751"/>
      <c r="DF13" s="751"/>
      <c r="DG13" s="751"/>
      <c r="DH13" s="751"/>
      <c r="DI13" s="751"/>
      <c r="DJ13" s="751"/>
      <c r="DK13" s="751"/>
      <c r="DL13" s="751"/>
      <c r="DM13" s="751"/>
      <c r="DN13" s="751"/>
      <c r="DO13" s="751"/>
      <c r="DP13" s="751"/>
      <c r="DQ13" s="751"/>
      <c r="DR13" s="751"/>
      <c r="DS13" s="751"/>
      <c r="DT13" s="751"/>
      <c r="DU13" s="751"/>
      <c r="DV13" s="751"/>
      <c r="DW13" s="751"/>
      <c r="DX13" s="751"/>
      <c r="DY13" s="751"/>
      <c r="DZ13" s="751"/>
      <c r="EA13" s="751"/>
      <c r="EB13" s="751"/>
      <c r="EC13" s="751"/>
      <c r="ED13" s="751"/>
      <c r="EE13" s="751"/>
      <c r="EF13" s="751"/>
      <c r="EG13" s="751"/>
      <c r="EH13" s="751"/>
      <c r="EI13" s="751"/>
      <c r="EJ13" s="751"/>
      <c r="EK13" s="751"/>
      <c r="EL13" s="751"/>
      <c r="EM13" s="751"/>
      <c r="EN13" s="751"/>
      <c r="EO13" s="751"/>
      <c r="EP13" s="751"/>
      <c r="EQ13" s="751"/>
      <c r="ER13" s="751"/>
      <c r="ES13" s="751"/>
      <c r="ET13" s="751"/>
      <c r="EU13" s="751"/>
      <c r="EV13" s="751"/>
      <c r="EW13" s="751"/>
      <c r="EX13" s="751"/>
      <c r="EY13" s="751"/>
      <c r="EZ13" s="751"/>
      <c r="FA13" s="751"/>
      <c r="FB13" s="751"/>
      <c r="FC13" s="751"/>
      <c r="FD13" s="751"/>
      <c r="FE13" s="751"/>
      <c r="FF13" s="751"/>
      <c r="FG13" s="751"/>
      <c r="FH13" s="751"/>
      <c r="FI13" s="751"/>
      <c r="FJ13" s="751"/>
      <c r="FK13" s="751"/>
      <c r="FL13" s="751"/>
      <c r="FM13" s="751"/>
      <c r="FN13" s="751"/>
      <c r="FO13" s="751"/>
      <c r="FP13" s="751"/>
      <c r="FQ13" s="751"/>
      <c r="FR13" s="751"/>
      <c r="FS13" s="751"/>
      <c r="FT13" s="751"/>
      <c r="FU13" s="751"/>
    </row>
    <row r="14" spans="2:21" s="32" customFormat="1" ht="9.75" customHeight="1" thickBot="1">
      <c r="B14" s="55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002"/>
    </row>
    <row r="15" spans="2:21" s="1003" customFormat="1" ht="33.75" customHeight="1" thickBot="1" thickTop="1">
      <c r="B15" s="1004"/>
      <c r="C15" s="84"/>
      <c r="D15" s="84" t="s">
        <v>0</v>
      </c>
      <c r="E15" s="133" t="s">
        <v>14</v>
      </c>
      <c r="F15" s="133" t="s">
        <v>15</v>
      </c>
      <c r="G15" s="1005" t="s">
        <v>370</v>
      </c>
      <c r="H15" s="1005">
        <v>39417</v>
      </c>
      <c r="I15" s="1005">
        <v>39448</v>
      </c>
      <c r="J15" s="1005">
        <v>39479</v>
      </c>
      <c r="K15" s="1005">
        <v>39508</v>
      </c>
      <c r="L15" s="1005">
        <v>39539</v>
      </c>
      <c r="M15" s="1005">
        <v>39569</v>
      </c>
      <c r="N15" s="1005">
        <v>39600</v>
      </c>
      <c r="O15" s="1005">
        <v>39630</v>
      </c>
      <c r="P15" s="1005">
        <v>39661</v>
      </c>
      <c r="Q15" s="1005">
        <v>39692</v>
      </c>
      <c r="R15" s="1005">
        <v>39722</v>
      </c>
      <c r="S15" s="1005">
        <v>39753</v>
      </c>
      <c r="T15" s="1005">
        <v>39783</v>
      </c>
      <c r="U15" s="1006"/>
    </row>
    <row r="16" spans="2:21" s="1007" customFormat="1" ht="9.75" customHeight="1" thickTop="1">
      <c r="B16" s="1008"/>
      <c r="C16" s="1009"/>
      <c r="D16" s="1010"/>
      <c r="E16" s="1010"/>
      <c r="F16" s="1010"/>
      <c r="G16" s="1010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2"/>
      <c r="U16" s="1013"/>
    </row>
    <row r="17" spans="2:21" s="1007" customFormat="1" ht="19.5" customHeight="1">
      <c r="B17" s="1008"/>
      <c r="C17" s="1014">
        <f>IF('[1]BASE'!C17=0,"",'[1]BASE'!C17)</f>
        <v>1</v>
      </c>
      <c r="D17" s="1014" t="str">
        <f>IF('[1]BASE'!D17=0,"",'[1]BASE'!D17)</f>
        <v>ABASTO - OLAVARRIA 1</v>
      </c>
      <c r="E17" s="1014">
        <f>IF('[1]BASE'!E17=0,"",'[1]BASE'!E17)</f>
        <v>500</v>
      </c>
      <c r="F17" s="1014">
        <f>IF('[1]BASE'!F17=0,"",'[1]BASE'!F17)</f>
        <v>291</v>
      </c>
      <c r="G17" s="1015" t="str">
        <f>IF('[1]BASE'!G17=0,"",'[1]BASE'!G17)</f>
        <v>B</v>
      </c>
      <c r="H17" s="1016">
        <f>IF('[1]BASE'!FT17=0,"",'[1]BASE'!FT17)</f>
      </c>
      <c r="I17" s="1016">
        <f>IF('[1]BASE'!FU17=0,"",'[1]BASE'!FU17)</f>
      </c>
      <c r="J17" s="1016">
        <f>IF('[1]BASE'!FV17=0,"",'[1]BASE'!FV17)</f>
      </c>
      <c r="K17" s="1016">
        <f>IF('[1]BASE'!FW17=0,"",'[1]BASE'!FW17)</f>
      </c>
      <c r="L17" s="1016">
        <f>IF('[1]BASE'!FX17=0,"",'[1]BASE'!FX17)</f>
      </c>
      <c r="M17" s="1016">
        <f>IF('[1]BASE'!FY17=0,"",'[1]BASE'!FY17)</f>
      </c>
      <c r="N17" s="1016">
        <f>IF('[1]BASE'!FZ17=0,"",'[1]BASE'!FZ17)</f>
      </c>
      <c r="O17" s="1016">
        <f>IF('[1]BASE'!GA17=0,"",'[1]BASE'!GA17)</f>
      </c>
      <c r="P17" s="1016">
        <f>IF('[1]BASE'!GB17=0,"",'[1]BASE'!GB17)</f>
      </c>
      <c r="Q17" s="1016">
        <f>IF('[1]BASE'!GC17=0,"",'[1]BASE'!GC17)</f>
      </c>
      <c r="R17" s="1016">
        <f>IF('[1]BASE'!GD17=0,"",'[1]BASE'!GD17)</f>
      </c>
      <c r="S17" s="1016">
        <f>IF('[1]BASE'!GE17=0,"",'[1]BASE'!GE17)</f>
      </c>
      <c r="T17" s="1017"/>
      <c r="U17" s="1013"/>
    </row>
    <row r="18" spans="2:21" s="1007" customFormat="1" ht="19.5" customHeight="1">
      <c r="B18" s="1008"/>
      <c r="C18" s="1018">
        <f>IF('[1]BASE'!C18=0,"",'[1]BASE'!C18)</f>
        <v>2</v>
      </c>
      <c r="D18" s="1018" t="str">
        <f>IF('[1]BASE'!D18=0,"",'[1]BASE'!D18)</f>
        <v>ABASTO - OLAVARRIA 2</v>
      </c>
      <c r="E18" s="1018">
        <f>IF('[1]BASE'!E18=0,"",'[1]BASE'!E18)</f>
        <v>500</v>
      </c>
      <c r="F18" s="1018">
        <f>IF('[1]BASE'!F18=0,"",'[1]BASE'!F18)</f>
        <v>301.9</v>
      </c>
      <c r="G18" s="1019">
        <f>IF('[1]BASE'!G18=0,"",'[1]BASE'!G18)</f>
      </c>
      <c r="H18" s="1016">
        <f>IF('[1]BASE'!FT18=0,"",'[1]BASE'!FT18)</f>
      </c>
      <c r="I18" s="1016">
        <f>IF('[1]BASE'!FU18=0,"",'[1]BASE'!FU18)</f>
      </c>
      <c r="J18" s="1016">
        <f>IF('[1]BASE'!FV18=0,"",'[1]BASE'!FV18)</f>
      </c>
      <c r="K18" s="1016">
        <f>IF('[1]BASE'!FW18=0,"",'[1]BASE'!FW18)</f>
      </c>
      <c r="L18" s="1016">
        <f>IF('[1]BASE'!FX18=0,"",'[1]BASE'!FX18)</f>
      </c>
      <c r="M18" s="1016">
        <f>IF('[1]BASE'!FY18=0,"",'[1]BASE'!FY18)</f>
      </c>
      <c r="N18" s="1016">
        <f>IF('[1]BASE'!FZ18=0,"",'[1]BASE'!FZ18)</f>
      </c>
      <c r="O18" s="1016">
        <f>IF('[1]BASE'!GA18=0,"",'[1]BASE'!GA18)</f>
      </c>
      <c r="P18" s="1016">
        <f>IF('[1]BASE'!GB18=0,"",'[1]BASE'!GB18)</f>
      </c>
      <c r="Q18" s="1016">
        <f>IF('[1]BASE'!GC18=0,"",'[1]BASE'!GC18)</f>
      </c>
      <c r="R18" s="1016">
        <f>IF('[1]BASE'!GD18=0,"",'[1]BASE'!GD18)</f>
      </c>
      <c r="S18" s="1016">
        <f>IF('[1]BASE'!GE18=0,"",'[1]BASE'!GE18)</f>
      </c>
      <c r="T18" s="1017"/>
      <c r="U18" s="1013"/>
    </row>
    <row r="19" spans="2:21" s="1007" customFormat="1" ht="19.5" customHeight="1">
      <c r="B19" s="1008"/>
      <c r="C19" s="1020">
        <f>IF('[1]BASE'!C19=0,"",'[1]BASE'!C19)</f>
        <v>3</v>
      </c>
      <c r="D19" s="1020" t="str">
        <f>IF('[1]BASE'!D19=0,"",'[1]BASE'!D19)</f>
        <v>AGUA DEL CAJON - CHOCON OESTE</v>
      </c>
      <c r="E19" s="1020">
        <f>IF('[1]BASE'!E19=0,"",'[1]BASE'!E19)</f>
        <v>500</v>
      </c>
      <c r="F19" s="1020">
        <f>IF('[1]BASE'!F19=0,"",'[1]BASE'!F19)</f>
        <v>52</v>
      </c>
      <c r="G19" s="1021">
        <f>IF('[1]BASE'!G19=0,"",'[1]BASE'!G19)</f>
      </c>
      <c r="H19" s="1016">
        <f>IF('[1]BASE'!FT19=0,"",'[1]BASE'!FT19)</f>
      </c>
      <c r="I19" s="1016">
        <f>IF('[1]BASE'!FU19=0,"",'[1]BASE'!FU19)</f>
      </c>
      <c r="J19" s="1016">
        <f>IF('[1]BASE'!FV19=0,"",'[1]BASE'!FV19)</f>
      </c>
      <c r="K19" s="1016">
        <f>IF('[1]BASE'!FW19=0,"",'[1]BASE'!FW19)</f>
      </c>
      <c r="L19" s="1016">
        <f>IF('[1]BASE'!FX19=0,"",'[1]BASE'!FX19)</f>
      </c>
      <c r="M19" s="1016">
        <f>IF('[1]BASE'!FY19=0,"",'[1]BASE'!FY19)</f>
      </c>
      <c r="N19" s="1016">
        <f>IF('[1]BASE'!FZ19=0,"",'[1]BASE'!FZ19)</f>
      </c>
      <c r="O19" s="1016">
        <f>IF('[1]BASE'!GA19=0,"",'[1]BASE'!GA19)</f>
      </c>
      <c r="P19" s="1016">
        <f>IF('[1]BASE'!GB19=0,"",'[1]BASE'!GB19)</f>
      </c>
      <c r="Q19" s="1016">
        <f>IF('[1]BASE'!GC19=0,"",'[1]BASE'!GC19)</f>
      </c>
      <c r="R19" s="1016">
        <f>IF('[1]BASE'!GD19=0,"",'[1]BASE'!GD19)</f>
      </c>
      <c r="S19" s="1016">
        <f>IF('[1]BASE'!GE19=0,"",'[1]BASE'!GE19)</f>
      </c>
      <c r="T19" s="1017"/>
      <c r="U19" s="1013"/>
    </row>
    <row r="20" spans="2:21" s="1007" customFormat="1" ht="19.5" customHeight="1">
      <c r="B20" s="1008"/>
      <c r="C20" s="1018">
        <f>IF('[1]BASE'!C20=0,"",'[1]BASE'!C20)</f>
        <v>4</v>
      </c>
      <c r="D20" s="1018" t="str">
        <f>IF('[1]BASE'!D20=0,"",'[1]BASE'!D20)</f>
        <v>ALICURA - E.T. P.del A. 1 (5LG1)</v>
      </c>
      <c r="E20" s="1018">
        <f>IF('[1]BASE'!E20=0,"",'[1]BASE'!E20)</f>
        <v>500</v>
      </c>
      <c r="F20" s="1018">
        <f>IF('[1]BASE'!F20=0,"",'[1]BASE'!F20)</f>
        <v>76</v>
      </c>
      <c r="G20" s="1019" t="str">
        <f>IF('[1]BASE'!G20=0,"",'[1]BASE'!G20)</f>
        <v>C</v>
      </c>
      <c r="H20" s="1016">
        <f>IF('[1]BASE'!FT20=0,"",'[1]BASE'!FT20)</f>
        <v>1</v>
      </c>
      <c r="I20" s="1016">
        <f>IF('[1]BASE'!FU20=0,"",'[1]BASE'!FU20)</f>
      </c>
      <c r="J20" s="1016">
        <f>IF('[1]BASE'!FV20=0,"",'[1]BASE'!FV20)</f>
      </c>
      <c r="K20" s="1016">
        <f>IF('[1]BASE'!FW20=0,"",'[1]BASE'!FW20)</f>
      </c>
      <c r="L20" s="1016">
        <f>IF('[1]BASE'!FX20=0,"",'[1]BASE'!FX20)</f>
      </c>
      <c r="M20" s="1016">
        <f>IF('[1]BASE'!FY20=0,"",'[1]BASE'!FY20)</f>
      </c>
      <c r="N20" s="1016">
        <f>IF('[1]BASE'!FZ20=0,"",'[1]BASE'!FZ20)</f>
      </c>
      <c r="O20" s="1016">
        <f>IF('[1]BASE'!GA20=0,"",'[1]BASE'!GA20)</f>
      </c>
      <c r="P20" s="1016">
        <f>IF('[1]BASE'!GB20=0,"",'[1]BASE'!GB20)</f>
      </c>
      <c r="Q20" s="1016">
        <f>IF('[1]BASE'!GC20=0,"",'[1]BASE'!GC20)</f>
      </c>
      <c r="R20" s="1016">
        <f>IF('[1]BASE'!GD20=0,"",'[1]BASE'!GD20)</f>
      </c>
      <c r="S20" s="1016">
        <f>IF('[1]BASE'!GE20=0,"",'[1]BASE'!GE20)</f>
      </c>
      <c r="T20" s="1017"/>
      <c r="U20" s="1013"/>
    </row>
    <row r="21" spans="2:21" s="1007" customFormat="1" ht="19.5" customHeight="1">
      <c r="B21" s="1008"/>
      <c r="C21" s="1020">
        <f>IF('[1]BASE'!C21=0,"",'[1]BASE'!C21)</f>
        <v>5</v>
      </c>
      <c r="D21" s="1020" t="str">
        <f>IF('[1]BASE'!D21=0,"",'[1]BASE'!D21)</f>
        <v>ALICURA - E.T. P.del A. 2 (5LG2)</v>
      </c>
      <c r="E21" s="1020">
        <f>IF('[1]BASE'!E21=0,"",'[1]BASE'!E21)</f>
        <v>500</v>
      </c>
      <c r="F21" s="1020">
        <f>IF('[1]BASE'!F21=0,"",'[1]BASE'!F21)</f>
        <v>76</v>
      </c>
      <c r="G21" s="1021" t="str">
        <f>IF('[1]BASE'!G21=0,"",'[1]BASE'!G21)</f>
        <v>C</v>
      </c>
      <c r="H21" s="1016">
        <f>IF('[1]BASE'!FT21=0,"",'[1]BASE'!FT21)</f>
      </c>
      <c r="I21" s="1016">
        <f>IF('[1]BASE'!FU21=0,"",'[1]BASE'!FU21)</f>
      </c>
      <c r="J21" s="1016">
        <f>IF('[1]BASE'!FV21=0,"",'[1]BASE'!FV21)</f>
      </c>
      <c r="K21" s="1016">
        <f>IF('[1]BASE'!FW21=0,"",'[1]BASE'!FW21)</f>
      </c>
      <c r="L21" s="1016">
        <f>IF('[1]BASE'!FX21=0,"",'[1]BASE'!FX21)</f>
      </c>
      <c r="M21" s="1016">
        <f>IF('[1]BASE'!FY21=0,"",'[1]BASE'!FY21)</f>
      </c>
      <c r="N21" s="1016">
        <f>IF('[1]BASE'!FZ21=0,"",'[1]BASE'!FZ21)</f>
      </c>
      <c r="O21" s="1016">
        <f>IF('[1]BASE'!GA21=0,"",'[1]BASE'!GA21)</f>
      </c>
      <c r="P21" s="1016">
        <f>IF('[1]BASE'!GB21=0,"",'[1]BASE'!GB21)</f>
      </c>
      <c r="Q21" s="1016">
        <f>IF('[1]BASE'!GC21=0,"",'[1]BASE'!GC21)</f>
      </c>
      <c r="R21" s="1016">
        <f>IF('[1]BASE'!GD21=0,"",'[1]BASE'!GD21)</f>
      </c>
      <c r="S21" s="1016">
        <f>IF('[1]BASE'!GE21=0,"",'[1]BASE'!GE21)</f>
      </c>
      <c r="T21" s="1017"/>
      <c r="U21" s="1013"/>
    </row>
    <row r="22" spans="2:21" s="1007" customFormat="1" ht="19.5" customHeight="1">
      <c r="B22" s="1008"/>
      <c r="C22" s="1018">
        <f>IF('[1]BASE'!C22=0,"",'[1]BASE'!C22)</f>
        <v>6</v>
      </c>
      <c r="D22" s="1018" t="str">
        <f>IF('[1]BASE'!D22=0,"",'[1]BASE'!D22)</f>
        <v>ALMAFUERTE - EMBALSE </v>
      </c>
      <c r="E22" s="1018">
        <f>IF('[1]BASE'!E22=0,"",'[1]BASE'!E22)</f>
        <v>500</v>
      </c>
      <c r="F22" s="1018">
        <f>IF('[1]BASE'!F22=0,"",'[1]BASE'!F22)</f>
        <v>12</v>
      </c>
      <c r="G22" s="1019" t="str">
        <f>IF('[1]BASE'!G22=0,"",'[1]BASE'!G22)</f>
        <v>A</v>
      </c>
      <c r="H22" s="1016">
        <f>IF('[1]BASE'!FT22=0,"",'[1]BASE'!FT22)</f>
      </c>
      <c r="I22" s="1016">
        <f>IF('[1]BASE'!FU22=0,"",'[1]BASE'!FU22)</f>
      </c>
      <c r="J22" s="1016">
        <f>IF('[1]BASE'!FV22=0,"",'[1]BASE'!FV22)</f>
      </c>
      <c r="K22" s="1016">
        <f>IF('[1]BASE'!FW22=0,"",'[1]BASE'!FW22)</f>
      </c>
      <c r="L22" s="1016">
        <f>IF('[1]BASE'!FX22=0,"",'[1]BASE'!FX22)</f>
      </c>
      <c r="M22" s="1016">
        <f>IF('[1]BASE'!FY22=0,"",'[1]BASE'!FY22)</f>
      </c>
      <c r="N22" s="1016">
        <f>IF('[1]BASE'!FZ22=0,"",'[1]BASE'!FZ22)</f>
      </c>
      <c r="O22" s="1016">
        <f>IF('[1]BASE'!GA22=0,"",'[1]BASE'!GA22)</f>
      </c>
      <c r="P22" s="1016">
        <f>IF('[1]BASE'!GB22=0,"",'[1]BASE'!GB22)</f>
      </c>
      <c r="Q22" s="1016">
        <f>IF('[1]BASE'!GC22=0,"",'[1]BASE'!GC22)</f>
      </c>
      <c r="R22" s="1016">
        <f>IF('[1]BASE'!GD22=0,"",'[1]BASE'!GD22)</f>
      </c>
      <c r="S22" s="1016">
        <f>IF('[1]BASE'!GE22=0,"",'[1]BASE'!GE22)</f>
      </c>
      <c r="T22" s="1017"/>
      <c r="U22" s="1013"/>
    </row>
    <row r="23" spans="2:21" s="1007" customFormat="1" ht="19.5" customHeight="1">
      <c r="B23" s="1008"/>
      <c r="C23" s="1020">
        <f>IF('[1]BASE'!C23=0,"",'[1]BASE'!C23)</f>
        <v>7</v>
      </c>
      <c r="D23" s="1020" t="str">
        <f>IF('[1]BASE'!D23=0,"",'[1]BASE'!D23)</f>
        <v> ALMAFUERTE - ROSARIO OESTE</v>
      </c>
      <c r="E23" s="1020">
        <f>IF('[1]BASE'!E23=0,"",'[1]BASE'!E23)</f>
        <v>500</v>
      </c>
      <c r="F23" s="1020">
        <f>IF('[1]BASE'!F23=0,"",'[1]BASE'!F23)</f>
        <v>345</v>
      </c>
      <c r="G23" s="1021" t="str">
        <f>IF('[1]BASE'!G23=0,"",'[1]BASE'!G23)</f>
        <v>B</v>
      </c>
      <c r="H23" s="1016">
        <f>IF('[1]BASE'!FT23=0,"",'[1]BASE'!FT23)</f>
      </c>
      <c r="I23" s="1016">
        <f>IF('[1]BASE'!FU23=0,"",'[1]BASE'!FU23)</f>
      </c>
      <c r="J23" s="1016">
        <f>IF('[1]BASE'!FV23=0,"",'[1]BASE'!FV23)</f>
      </c>
      <c r="K23" s="1016">
        <f>IF('[1]BASE'!FW23=0,"",'[1]BASE'!FW23)</f>
      </c>
      <c r="L23" s="1016">
        <f>IF('[1]BASE'!FX23=0,"",'[1]BASE'!FX23)</f>
      </c>
      <c r="M23" s="1016">
        <f>IF('[1]BASE'!FY23=0,"",'[1]BASE'!FY23)</f>
      </c>
      <c r="N23" s="1016">
        <f>IF('[1]BASE'!FZ23=0,"",'[1]BASE'!FZ23)</f>
      </c>
      <c r="O23" s="1016">
        <f>IF('[1]BASE'!GA23=0,"",'[1]BASE'!GA23)</f>
        <v>1</v>
      </c>
      <c r="P23" s="1016">
        <f>IF('[1]BASE'!GB23=0,"",'[1]BASE'!GB23)</f>
      </c>
      <c r="Q23" s="1016">
        <f>IF('[1]BASE'!GC23=0,"",'[1]BASE'!GC23)</f>
      </c>
      <c r="R23" s="1016">
        <f>IF('[1]BASE'!GD23=0,"",'[1]BASE'!GD23)</f>
      </c>
      <c r="S23" s="1016">
        <f>IF('[1]BASE'!GE23=0,"",'[1]BASE'!GE23)</f>
      </c>
      <c r="T23" s="1017"/>
      <c r="U23" s="1013"/>
    </row>
    <row r="24" spans="2:21" s="1007" customFormat="1" ht="19.5" customHeight="1">
      <c r="B24" s="1008"/>
      <c r="C24" s="1018">
        <f>IF('[1]BASE'!C24=0,"",'[1]BASE'!C24)</f>
        <v>8</v>
      </c>
      <c r="D24" s="1018" t="str">
        <f>IF('[1]BASE'!D24=0,"",'[1]BASE'!D24)</f>
        <v>BAHIA BLANCA - CHOELE CHOEL 1</v>
      </c>
      <c r="E24" s="1018">
        <f>IF('[1]BASE'!E24=0,"",'[1]BASE'!E24)</f>
        <v>500</v>
      </c>
      <c r="F24" s="1018">
        <f>IF('[1]BASE'!F24=0,"",'[1]BASE'!F24)</f>
        <v>346</v>
      </c>
      <c r="G24" s="1019" t="str">
        <f>IF('[1]BASE'!G24=0,"",'[1]BASE'!G24)</f>
        <v>B</v>
      </c>
      <c r="H24" s="1016">
        <f>IF('[1]BASE'!FT24=0,"",'[1]BASE'!FT24)</f>
      </c>
      <c r="I24" s="1016">
        <f>IF('[1]BASE'!FU24=0,"",'[1]BASE'!FU24)</f>
      </c>
      <c r="J24" s="1016">
        <f>IF('[1]BASE'!FV24=0,"",'[1]BASE'!FV24)</f>
      </c>
      <c r="K24" s="1016">
        <f>IF('[1]BASE'!FW24=0,"",'[1]BASE'!FW24)</f>
      </c>
      <c r="L24" s="1016">
        <f>IF('[1]BASE'!FX24=0,"",'[1]BASE'!FX24)</f>
      </c>
      <c r="M24" s="1016">
        <f>IF('[1]BASE'!FY24=0,"",'[1]BASE'!FY24)</f>
      </c>
      <c r="N24" s="1016">
        <f>IF('[1]BASE'!FZ24=0,"",'[1]BASE'!FZ24)</f>
      </c>
      <c r="O24" s="1016">
        <f>IF('[1]BASE'!GA24=0,"",'[1]BASE'!GA24)</f>
      </c>
      <c r="P24" s="1016">
        <f>IF('[1]BASE'!GB24=0,"",'[1]BASE'!GB24)</f>
      </c>
      <c r="Q24" s="1016">
        <f>IF('[1]BASE'!GC24=0,"",'[1]BASE'!GC24)</f>
        <v>1</v>
      </c>
      <c r="R24" s="1016">
        <f>IF('[1]BASE'!GD24=0,"",'[1]BASE'!GD24)</f>
      </c>
      <c r="S24" s="1016">
        <f>IF('[1]BASE'!GE24=0,"",'[1]BASE'!GE24)</f>
      </c>
      <c r="T24" s="1017"/>
      <c r="U24" s="1013"/>
    </row>
    <row r="25" spans="2:21" s="1007" customFormat="1" ht="19.5" customHeight="1">
      <c r="B25" s="1008"/>
      <c r="C25" s="1020">
        <f>IF('[1]BASE'!C25=0,"",'[1]BASE'!C25)</f>
        <v>9</v>
      </c>
      <c r="D25" s="1020" t="str">
        <f>IF('[1]BASE'!D25=0,"",'[1]BASE'!D25)</f>
        <v>BAHIA BLANCA - CHOELE CHOEL 2</v>
      </c>
      <c r="E25" s="1020">
        <f>IF('[1]BASE'!E25=0,"",'[1]BASE'!E25)</f>
        <v>500</v>
      </c>
      <c r="F25" s="1020">
        <f>IF('[1]BASE'!F25=0,"",'[1]BASE'!F25)</f>
        <v>348.4</v>
      </c>
      <c r="G25" s="1021">
        <f>IF('[1]BASE'!G25=0,"",'[1]BASE'!G25)</f>
      </c>
      <c r="H25" s="1016">
        <f>IF('[1]BASE'!FT25=0,"",'[1]BASE'!FT25)</f>
      </c>
      <c r="I25" s="1016">
        <f>IF('[1]BASE'!FU25=0,"",'[1]BASE'!FU25)</f>
      </c>
      <c r="J25" s="1016">
        <f>IF('[1]BASE'!FV25=0,"",'[1]BASE'!FV25)</f>
      </c>
      <c r="K25" s="1016">
        <f>IF('[1]BASE'!FW25=0,"",'[1]BASE'!FW25)</f>
      </c>
      <c r="L25" s="1016">
        <f>IF('[1]BASE'!FX25=0,"",'[1]BASE'!FX25)</f>
      </c>
      <c r="M25" s="1016">
        <f>IF('[1]BASE'!FY25=0,"",'[1]BASE'!FY25)</f>
      </c>
      <c r="N25" s="1016">
        <f>IF('[1]BASE'!FZ25=0,"",'[1]BASE'!FZ25)</f>
      </c>
      <c r="O25" s="1016">
        <f>IF('[1]BASE'!GA25=0,"",'[1]BASE'!GA25)</f>
      </c>
      <c r="P25" s="1016">
        <f>IF('[1]BASE'!GB25=0,"",'[1]BASE'!GB25)</f>
      </c>
      <c r="Q25" s="1016">
        <f>IF('[1]BASE'!GC25=0,"",'[1]BASE'!GC25)</f>
      </c>
      <c r="R25" s="1016">
        <f>IF('[1]BASE'!GD25=0,"",'[1]BASE'!GD25)</f>
      </c>
      <c r="S25" s="1016">
        <f>IF('[1]BASE'!GE25=0,"",'[1]BASE'!GE25)</f>
      </c>
      <c r="T25" s="1017"/>
      <c r="U25" s="1013"/>
    </row>
    <row r="26" spans="2:21" s="1007" customFormat="1" ht="19.5" customHeight="1">
      <c r="B26" s="1008"/>
      <c r="C26" s="1018">
        <f>IF('[1]BASE'!C26=0,"",'[1]BASE'!C26)</f>
        <v>10</v>
      </c>
      <c r="D26" s="1018" t="str">
        <f>IF('[1]BASE'!D26=0,"",'[1]BASE'!D26)</f>
        <v>CERR. de la CTA - P.BAND. (A3)</v>
      </c>
      <c r="E26" s="1018">
        <f>IF('[1]BASE'!E26=0,"",'[1]BASE'!E26)</f>
        <v>500</v>
      </c>
      <c r="F26" s="1018">
        <f>IF('[1]BASE'!F26=0,"",'[1]BASE'!F26)</f>
        <v>27</v>
      </c>
      <c r="G26" s="1019" t="str">
        <f>IF('[1]BASE'!G26=0,"",'[1]BASE'!G26)</f>
        <v>C</v>
      </c>
      <c r="H26" s="1016">
        <f>IF('[1]BASE'!FT26=0,"",'[1]BASE'!FT26)</f>
      </c>
      <c r="I26" s="1016">
        <f>IF('[1]BASE'!FU26=0,"",'[1]BASE'!FU26)</f>
      </c>
      <c r="J26" s="1016">
        <f>IF('[1]BASE'!FV26=0,"",'[1]BASE'!FV26)</f>
      </c>
      <c r="K26" s="1016">
        <f>IF('[1]BASE'!FW26=0,"",'[1]BASE'!FW26)</f>
      </c>
      <c r="L26" s="1016">
        <f>IF('[1]BASE'!FX26=0,"",'[1]BASE'!FX26)</f>
        <v>2</v>
      </c>
      <c r="M26" s="1016">
        <f>IF('[1]BASE'!FY26=0,"",'[1]BASE'!FY26)</f>
      </c>
      <c r="N26" s="1016">
        <f>IF('[1]BASE'!FZ26=0,"",'[1]BASE'!FZ26)</f>
      </c>
      <c r="O26" s="1016">
        <f>IF('[1]BASE'!GA26=0,"",'[1]BASE'!GA26)</f>
        <v>1</v>
      </c>
      <c r="P26" s="1016">
        <f>IF('[1]BASE'!GB26=0,"",'[1]BASE'!GB26)</f>
      </c>
      <c r="Q26" s="1016">
        <f>IF('[1]BASE'!GC26=0,"",'[1]BASE'!GC26)</f>
      </c>
      <c r="R26" s="1016">
        <f>IF('[1]BASE'!GD26=0,"",'[1]BASE'!GD26)</f>
      </c>
      <c r="S26" s="1016">
        <f>IF('[1]BASE'!GE26=0,"",'[1]BASE'!GE26)</f>
      </c>
      <c r="T26" s="1017"/>
      <c r="U26" s="1013"/>
    </row>
    <row r="27" spans="2:21" s="1007" customFormat="1" ht="19.5" customHeight="1">
      <c r="B27" s="1008"/>
      <c r="C27" s="1020">
        <f>IF('[1]BASE'!C27=0,"",'[1]BASE'!C27)</f>
        <v>11</v>
      </c>
      <c r="D27" s="1020" t="str">
        <f>IF('[1]BASE'!D27=0,"",'[1]BASE'!D27)</f>
        <v>COLONIA ELIA - CAMPANA</v>
      </c>
      <c r="E27" s="1020">
        <f>IF('[1]BASE'!E27=0,"",'[1]BASE'!E27)</f>
        <v>500</v>
      </c>
      <c r="F27" s="1020">
        <f>IF('[1]BASE'!F27=0,"",'[1]BASE'!F27)</f>
        <v>194</v>
      </c>
      <c r="G27" s="1021" t="str">
        <f>IF('[1]BASE'!G27=0,"",'[1]BASE'!G27)</f>
        <v>C</v>
      </c>
      <c r="H27" s="1016">
        <f>IF('[1]BASE'!FT27=0,"",'[1]BASE'!FT27)</f>
      </c>
      <c r="I27" s="1016">
        <f>IF('[1]BASE'!FU27=0,"",'[1]BASE'!FU27)</f>
      </c>
      <c r="J27" s="1016">
        <f>IF('[1]BASE'!FV27=0,"",'[1]BASE'!FV27)</f>
      </c>
      <c r="K27" s="1016">
        <f>IF('[1]BASE'!FW27=0,"",'[1]BASE'!FW27)</f>
      </c>
      <c r="L27" s="1016">
        <f>IF('[1]BASE'!FX27=0,"",'[1]BASE'!FX27)</f>
      </c>
      <c r="M27" s="1016">
        <f>IF('[1]BASE'!FY27=0,"",'[1]BASE'!FY27)</f>
      </c>
      <c r="N27" s="1016">
        <f>IF('[1]BASE'!FZ27=0,"",'[1]BASE'!FZ27)</f>
      </c>
      <c r="O27" s="1016">
        <f>IF('[1]BASE'!GA27=0,"",'[1]BASE'!GA27)</f>
      </c>
      <c r="P27" s="1016">
        <f>IF('[1]BASE'!GB27=0,"",'[1]BASE'!GB27)</f>
      </c>
      <c r="Q27" s="1016">
        <f>IF('[1]BASE'!GC27=0,"",'[1]BASE'!GC27)</f>
      </c>
      <c r="R27" s="1016">
        <f>IF('[1]BASE'!GD27=0,"",'[1]BASE'!GD27)</f>
      </c>
      <c r="S27" s="1016">
        <f>IF('[1]BASE'!GE27=0,"",'[1]BASE'!GE27)</f>
        <v>1</v>
      </c>
      <c r="T27" s="1017"/>
      <c r="U27" s="1013"/>
    </row>
    <row r="28" spans="2:21" s="1007" customFormat="1" ht="19.5" customHeight="1">
      <c r="B28" s="1008"/>
      <c r="C28" s="1018">
        <f>IF('[1]BASE'!C28=0,"",'[1]BASE'!C28)</f>
        <v>12</v>
      </c>
      <c r="D28" s="1018" t="str">
        <f>IF('[1]BASE'!D28=0,"",'[1]BASE'!D28)</f>
        <v>CHO. W. - CHOELE CHOEL (5WH1)</v>
      </c>
      <c r="E28" s="1018">
        <f>IF('[1]BASE'!E28=0,"",'[1]BASE'!E28)</f>
        <v>500</v>
      </c>
      <c r="F28" s="1018">
        <f>IF('[1]BASE'!F28=0,"",'[1]BASE'!F28)</f>
        <v>269</v>
      </c>
      <c r="G28" s="1019" t="str">
        <f>IF('[1]BASE'!G28=0,"",'[1]BASE'!G28)</f>
        <v>B</v>
      </c>
      <c r="H28" s="1016">
        <f>IF('[1]BASE'!FT28=0,"",'[1]BASE'!FT28)</f>
      </c>
      <c r="I28" s="1016">
        <f>IF('[1]BASE'!FU28=0,"",'[1]BASE'!FU28)</f>
      </c>
      <c r="J28" s="1016">
        <f>IF('[1]BASE'!FV28=0,"",'[1]BASE'!FV28)</f>
      </c>
      <c r="K28" s="1016">
        <f>IF('[1]BASE'!FW28=0,"",'[1]BASE'!FW28)</f>
      </c>
      <c r="L28" s="1016">
        <f>IF('[1]BASE'!FX28=0,"",'[1]BASE'!FX28)</f>
      </c>
      <c r="M28" s="1016">
        <f>IF('[1]BASE'!FY28=0,"",'[1]BASE'!FY28)</f>
      </c>
      <c r="N28" s="1016">
        <f>IF('[1]BASE'!FZ28=0,"",'[1]BASE'!FZ28)</f>
      </c>
      <c r="O28" s="1016">
        <f>IF('[1]BASE'!GA28=0,"",'[1]BASE'!GA28)</f>
      </c>
      <c r="P28" s="1016">
        <f>IF('[1]BASE'!GB28=0,"",'[1]BASE'!GB28)</f>
      </c>
      <c r="Q28" s="1016">
        <f>IF('[1]BASE'!GC28=0,"",'[1]BASE'!GC28)</f>
      </c>
      <c r="R28" s="1016">
        <f>IF('[1]BASE'!GD28=0,"",'[1]BASE'!GD28)</f>
      </c>
      <c r="S28" s="1016">
        <f>IF('[1]BASE'!GE28=0,"",'[1]BASE'!GE28)</f>
      </c>
      <c r="T28" s="1017"/>
      <c r="U28" s="1013"/>
    </row>
    <row r="29" spans="2:21" s="1007" customFormat="1" ht="19.5" customHeight="1">
      <c r="B29" s="1008"/>
      <c r="C29" s="1020">
        <f>IF('[1]BASE'!C29=0,"",'[1]BASE'!C29)</f>
        <v>13</v>
      </c>
      <c r="D29" s="1020" t="str">
        <f>IF('[1]BASE'!D29=0,"",'[1]BASE'!D29)</f>
        <v>CHO.W. - CHO. 1 (5WC1)</v>
      </c>
      <c r="E29" s="1020">
        <f>IF('[1]BASE'!E29=0,"",'[1]BASE'!E29)</f>
        <v>500</v>
      </c>
      <c r="F29" s="1020">
        <f>IF('[1]BASE'!F29=0,"",'[1]BASE'!F29)</f>
        <v>4.5</v>
      </c>
      <c r="G29" s="1021" t="str">
        <f>IF('[1]BASE'!G29=0,"",'[1]BASE'!G29)</f>
        <v>C</v>
      </c>
      <c r="H29" s="1016">
        <f>IF('[1]BASE'!FT29=0,"",'[1]BASE'!FT29)</f>
      </c>
      <c r="I29" s="1016">
        <f>IF('[1]BASE'!FU29=0,"",'[1]BASE'!FU29)</f>
      </c>
      <c r="J29" s="1016">
        <f>IF('[1]BASE'!FV29=0,"",'[1]BASE'!FV29)</f>
      </c>
      <c r="K29" s="1016">
        <f>IF('[1]BASE'!FW29=0,"",'[1]BASE'!FW29)</f>
      </c>
      <c r="L29" s="1016">
        <f>IF('[1]BASE'!FX29=0,"",'[1]BASE'!FX29)</f>
      </c>
      <c r="M29" s="1016">
        <f>IF('[1]BASE'!FY29=0,"",'[1]BASE'!FY29)</f>
      </c>
      <c r="N29" s="1016">
        <f>IF('[1]BASE'!FZ29=0,"",'[1]BASE'!FZ29)</f>
      </c>
      <c r="O29" s="1016">
        <f>IF('[1]BASE'!GA29=0,"",'[1]BASE'!GA29)</f>
      </c>
      <c r="P29" s="1016">
        <f>IF('[1]BASE'!GB29=0,"",'[1]BASE'!GB29)</f>
      </c>
      <c r="Q29" s="1016">
        <f>IF('[1]BASE'!GC29=0,"",'[1]BASE'!GC29)</f>
      </c>
      <c r="R29" s="1016">
        <f>IF('[1]BASE'!GD29=0,"",'[1]BASE'!GD29)</f>
      </c>
      <c r="S29" s="1016">
        <f>IF('[1]BASE'!GE29=0,"",'[1]BASE'!GE29)</f>
      </c>
      <c r="T29" s="1017"/>
      <c r="U29" s="1013"/>
    </row>
    <row r="30" spans="2:21" s="1007" customFormat="1" ht="19.5" customHeight="1">
      <c r="B30" s="1008"/>
      <c r="C30" s="1018">
        <f>IF('[1]BASE'!C30=0,"",'[1]BASE'!C30)</f>
        <v>14</v>
      </c>
      <c r="D30" s="1018" t="str">
        <f>IF('[1]BASE'!D30=0,"",'[1]BASE'!D30)</f>
        <v>CHO.W. - CHO. 2 (5WC2)</v>
      </c>
      <c r="E30" s="1018">
        <f>IF('[1]BASE'!E30=0,"",'[1]BASE'!E30)</f>
        <v>500</v>
      </c>
      <c r="F30" s="1018">
        <f>IF('[1]BASE'!F30=0,"",'[1]BASE'!F30)</f>
        <v>4.5</v>
      </c>
      <c r="G30" s="1019" t="str">
        <f>IF('[1]BASE'!G30=0,"",'[1]BASE'!G30)</f>
        <v>C</v>
      </c>
      <c r="H30" s="1016">
        <f>IF('[1]BASE'!FT30=0,"",'[1]BASE'!FT30)</f>
      </c>
      <c r="I30" s="1016">
        <f>IF('[1]BASE'!FU30=0,"",'[1]BASE'!FU30)</f>
      </c>
      <c r="J30" s="1016">
        <f>IF('[1]BASE'!FV30=0,"",'[1]BASE'!FV30)</f>
      </c>
      <c r="K30" s="1016">
        <f>IF('[1]BASE'!FW30=0,"",'[1]BASE'!FW30)</f>
      </c>
      <c r="L30" s="1016">
        <f>IF('[1]BASE'!FX30=0,"",'[1]BASE'!FX30)</f>
      </c>
      <c r="M30" s="1016">
        <f>IF('[1]BASE'!FY30=0,"",'[1]BASE'!FY30)</f>
      </c>
      <c r="N30" s="1016">
        <f>IF('[1]BASE'!FZ30=0,"",'[1]BASE'!FZ30)</f>
      </c>
      <c r="O30" s="1016">
        <f>IF('[1]BASE'!GA30=0,"",'[1]BASE'!GA30)</f>
      </c>
      <c r="P30" s="1016">
        <f>IF('[1]BASE'!GB30=0,"",'[1]BASE'!GB30)</f>
      </c>
      <c r="Q30" s="1016">
        <f>IF('[1]BASE'!GC30=0,"",'[1]BASE'!GC30)</f>
      </c>
      <c r="R30" s="1016">
        <f>IF('[1]BASE'!GD30=0,"",'[1]BASE'!GD30)</f>
      </c>
      <c r="S30" s="1016">
        <f>IF('[1]BASE'!GE30=0,"",'[1]BASE'!GE30)</f>
      </c>
      <c r="T30" s="1017"/>
      <c r="U30" s="1013"/>
    </row>
    <row r="31" spans="2:21" s="1007" customFormat="1" ht="19.5" customHeight="1">
      <c r="B31" s="1008"/>
      <c r="C31" s="1020">
        <f>IF('[1]BASE'!C31=0,"",'[1]BASE'!C31)</f>
        <v>15</v>
      </c>
      <c r="D31" s="1020" t="str">
        <f>IF('[1]BASE'!D31=0,"",'[1]BASE'!D31)</f>
        <v>CHOCON - C.H. CHOCON 1</v>
      </c>
      <c r="E31" s="1020">
        <f>IF('[1]BASE'!E31=0,"",'[1]BASE'!E31)</f>
        <v>500</v>
      </c>
      <c r="F31" s="1020">
        <f>IF('[1]BASE'!F31=0,"",'[1]BASE'!F31)</f>
        <v>3</v>
      </c>
      <c r="G31" s="1021" t="str">
        <f>IF('[1]BASE'!G31=0,"",'[1]BASE'!G31)</f>
        <v>C</v>
      </c>
      <c r="H31" s="1016">
        <f>IF('[1]BASE'!FT31=0,"",'[1]BASE'!FT31)</f>
      </c>
      <c r="I31" s="1016">
        <f>IF('[1]BASE'!FU31=0,"",'[1]BASE'!FU31)</f>
      </c>
      <c r="J31" s="1016">
        <f>IF('[1]BASE'!FV31=0,"",'[1]BASE'!FV31)</f>
      </c>
      <c r="K31" s="1016">
        <f>IF('[1]BASE'!FW31=0,"",'[1]BASE'!FW31)</f>
      </c>
      <c r="L31" s="1016">
        <f>IF('[1]BASE'!FX31=0,"",'[1]BASE'!FX31)</f>
      </c>
      <c r="M31" s="1016">
        <f>IF('[1]BASE'!FY31=0,"",'[1]BASE'!FY31)</f>
      </c>
      <c r="N31" s="1016">
        <f>IF('[1]BASE'!FZ31=0,"",'[1]BASE'!FZ31)</f>
      </c>
      <c r="O31" s="1016">
        <f>IF('[1]BASE'!GA31=0,"",'[1]BASE'!GA31)</f>
      </c>
      <c r="P31" s="1016">
        <f>IF('[1]BASE'!GB31=0,"",'[1]BASE'!GB31)</f>
      </c>
      <c r="Q31" s="1016">
        <f>IF('[1]BASE'!GC31=0,"",'[1]BASE'!GC31)</f>
      </c>
      <c r="R31" s="1016">
        <f>IF('[1]BASE'!GD31=0,"",'[1]BASE'!GD31)</f>
      </c>
      <c r="S31" s="1016">
        <f>IF('[1]BASE'!GE31=0,"",'[1]BASE'!GE31)</f>
      </c>
      <c r="T31" s="1017"/>
      <c r="U31" s="1013"/>
    </row>
    <row r="32" spans="2:21" s="1007" customFormat="1" ht="19.5" customHeight="1">
      <c r="B32" s="1008"/>
      <c r="C32" s="1018">
        <f>IF('[1]BASE'!C32=0,"",'[1]BASE'!C32)</f>
        <v>16</v>
      </c>
      <c r="D32" s="1018" t="str">
        <f>IF('[1]BASE'!D32=0,"",'[1]BASE'!D32)</f>
        <v>CHOCON - C.H. CHOCON 2</v>
      </c>
      <c r="E32" s="1018">
        <f>IF('[1]BASE'!E32=0,"",'[1]BASE'!E32)</f>
        <v>500</v>
      </c>
      <c r="F32" s="1018">
        <f>IF('[1]BASE'!F32=0,"",'[1]BASE'!F32)</f>
        <v>3</v>
      </c>
      <c r="G32" s="1019" t="str">
        <f>IF('[1]BASE'!G32=0,"",'[1]BASE'!G32)</f>
        <v>C</v>
      </c>
      <c r="H32" s="1016">
        <f>IF('[1]BASE'!FT32=0,"",'[1]BASE'!FT32)</f>
      </c>
      <c r="I32" s="1016">
        <f>IF('[1]BASE'!FU32=0,"",'[1]BASE'!FU32)</f>
      </c>
      <c r="J32" s="1016">
        <f>IF('[1]BASE'!FV32=0,"",'[1]BASE'!FV32)</f>
      </c>
      <c r="K32" s="1016">
        <f>IF('[1]BASE'!FW32=0,"",'[1]BASE'!FW32)</f>
      </c>
      <c r="L32" s="1016">
        <f>IF('[1]BASE'!FX32=0,"",'[1]BASE'!FX32)</f>
      </c>
      <c r="M32" s="1016">
        <f>IF('[1]BASE'!FY32=0,"",'[1]BASE'!FY32)</f>
      </c>
      <c r="N32" s="1016">
        <f>IF('[1]BASE'!FZ32=0,"",'[1]BASE'!FZ32)</f>
      </c>
      <c r="O32" s="1016">
        <f>IF('[1]BASE'!GA32=0,"",'[1]BASE'!GA32)</f>
      </c>
      <c r="P32" s="1016">
        <f>IF('[1]BASE'!GB32=0,"",'[1]BASE'!GB32)</f>
      </c>
      <c r="Q32" s="1016">
        <f>IF('[1]BASE'!GC32=0,"",'[1]BASE'!GC32)</f>
      </c>
      <c r="R32" s="1016">
        <f>IF('[1]BASE'!GD32=0,"",'[1]BASE'!GD32)</f>
      </c>
      <c r="S32" s="1016">
        <f>IF('[1]BASE'!GE32=0,"",'[1]BASE'!GE32)</f>
      </c>
      <c r="T32" s="1017"/>
      <c r="U32" s="1013"/>
    </row>
    <row r="33" spans="2:21" s="1007" customFormat="1" ht="19.5" customHeight="1">
      <c r="B33" s="1008"/>
      <c r="C33" s="1020">
        <f>IF('[1]BASE'!C33=0,"",'[1]BASE'!C33)</f>
        <v>17</v>
      </c>
      <c r="D33" s="1020" t="str">
        <f>IF('[1]BASE'!D33=0,"",'[1]BASE'!D33)</f>
        <v>CHOCON - C.H. CHOCON 3</v>
      </c>
      <c r="E33" s="1020">
        <f>IF('[1]BASE'!E33=0,"",'[1]BASE'!E33)</f>
        <v>500</v>
      </c>
      <c r="F33" s="1020">
        <f>IF('[1]BASE'!F33=0,"",'[1]BASE'!F33)</f>
        <v>3</v>
      </c>
      <c r="G33" s="1021" t="str">
        <f>IF('[1]BASE'!G33=0,"",'[1]BASE'!G33)</f>
        <v>C</v>
      </c>
      <c r="H33" s="1016">
        <f>IF('[1]BASE'!FT33=0,"",'[1]BASE'!FT33)</f>
      </c>
      <c r="I33" s="1016">
        <f>IF('[1]BASE'!FU33=0,"",'[1]BASE'!FU33)</f>
      </c>
      <c r="J33" s="1016">
        <f>IF('[1]BASE'!FV33=0,"",'[1]BASE'!FV33)</f>
      </c>
      <c r="K33" s="1016">
        <f>IF('[1]BASE'!FW33=0,"",'[1]BASE'!FW33)</f>
      </c>
      <c r="L33" s="1016">
        <f>IF('[1]BASE'!FX33=0,"",'[1]BASE'!FX33)</f>
        <v>1</v>
      </c>
      <c r="M33" s="1016">
        <f>IF('[1]BASE'!FY33=0,"",'[1]BASE'!FY33)</f>
      </c>
      <c r="N33" s="1016">
        <f>IF('[1]BASE'!FZ33=0,"",'[1]BASE'!FZ33)</f>
      </c>
      <c r="O33" s="1016">
        <f>IF('[1]BASE'!GA33=0,"",'[1]BASE'!GA33)</f>
      </c>
      <c r="P33" s="1016">
        <f>IF('[1]BASE'!GB33=0,"",'[1]BASE'!GB33)</f>
      </c>
      <c r="Q33" s="1016">
        <f>IF('[1]BASE'!GC33=0,"",'[1]BASE'!GC33)</f>
      </c>
      <c r="R33" s="1016">
        <f>IF('[1]BASE'!GD33=0,"",'[1]BASE'!GD33)</f>
      </c>
      <c r="S33" s="1016">
        <f>IF('[1]BASE'!GE33=0,"",'[1]BASE'!GE33)</f>
      </c>
      <c r="T33" s="1017"/>
      <c r="U33" s="1013"/>
    </row>
    <row r="34" spans="2:21" s="1007" customFormat="1" ht="19.5" customHeight="1">
      <c r="B34" s="1008"/>
      <c r="C34" s="1018">
        <f>IF('[1]BASE'!C34=0,"",'[1]BASE'!C34)</f>
        <v>18</v>
      </c>
      <c r="D34" s="1018" t="str">
        <f>IF('[1]BASE'!D34=0,"",'[1]BASE'!D34)</f>
        <v>CHOCON - PUELCHES 1</v>
      </c>
      <c r="E34" s="1018">
        <f>IF('[1]BASE'!E34=0,"",'[1]BASE'!E34)</f>
        <v>500</v>
      </c>
      <c r="F34" s="1018">
        <f>IF('[1]BASE'!F34=0,"",'[1]BASE'!F34)</f>
        <v>304</v>
      </c>
      <c r="G34" s="1019" t="str">
        <f>IF('[1]BASE'!G34=0,"",'[1]BASE'!G34)</f>
        <v>A</v>
      </c>
      <c r="H34" s="1016">
        <f>IF('[1]BASE'!FT34=0,"",'[1]BASE'!FT34)</f>
      </c>
      <c r="I34" s="1016">
        <f>IF('[1]BASE'!FU34=0,"",'[1]BASE'!FU34)</f>
      </c>
      <c r="J34" s="1016">
        <f>IF('[1]BASE'!FV34=0,"",'[1]BASE'!FV34)</f>
      </c>
      <c r="K34" s="1016">
        <f>IF('[1]BASE'!FW34=0,"",'[1]BASE'!FW34)</f>
      </c>
      <c r="L34" s="1016">
        <f>IF('[1]BASE'!FX34=0,"",'[1]BASE'!FX34)</f>
      </c>
      <c r="M34" s="1016">
        <f>IF('[1]BASE'!FY34=0,"",'[1]BASE'!FY34)</f>
      </c>
      <c r="N34" s="1016">
        <f>IF('[1]BASE'!FZ34=0,"",'[1]BASE'!FZ34)</f>
      </c>
      <c r="O34" s="1016">
        <f>IF('[1]BASE'!GA34=0,"",'[1]BASE'!GA34)</f>
      </c>
      <c r="P34" s="1016">
        <f>IF('[1]BASE'!GB34=0,"",'[1]BASE'!GB34)</f>
      </c>
      <c r="Q34" s="1016">
        <f>IF('[1]BASE'!GC34=0,"",'[1]BASE'!GC34)</f>
        <v>2</v>
      </c>
      <c r="R34" s="1016">
        <f>IF('[1]BASE'!GD34=0,"",'[1]BASE'!GD34)</f>
      </c>
      <c r="S34" s="1016">
        <f>IF('[1]BASE'!GE34=0,"",'[1]BASE'!GE34)</f>
      </c>
      <c r="T34" s="1017"/>
      <c r="U34" s="1013"/>
    </row>
    <row r="35" spans="2:21" s="1007" customFormat="1" ht="19.5" customHeight="1">
      <c r="B35" s="1008"/>
      <c r="C35" s="1020">
        <f>IF('[1]BASE'!C35=0,"",'[1]BASE'!C35)</f>
        <v>19</v>
      </c>
      <c r="D35" s="1020" t="str">
        <f>IF('[1]BASE'!D35=0,"",'[1]BASE'!D35)</f>
        <v>CHOCON - PUELCHES 2</v>
      </c>
      <c r="E35" s="1020">
        <f>IF('[1]BASE'!E35=0,"",'[1]BASE'!E35)</f>
        <v>500</v>
      </c>
      <c r="F35" s="1020">
        <f>IF('[1]BASE'!F35=0,"",'[1]BASE'!F35)</f>
        <v>304</v>
      </c>
      <c r="G35" s="1021" t="str">
        <f>IF('[1]BASE'!G35=0,"",'[1]BASE'!G35)</f>
        <v>A</v>
      </c>
      <c r="H35" s="1016">
        <f>IF('[1]BASE'!FT35=0,"",'[1]BASE'!FT35)</f>
      </c>
      <c r="I35" s="1016">
        <f>IF('[1]BASE'!FU35=0,"",'[1]BASE'!FU35)</f>
      </c>
      <c r="J35" s="1016">
        <f>IF('[1]BASE'!FV35=0,"",'[1]BASE'!FV35)</f>
      </c>
      <c r="K35" s="1016">
        <f>IF('[1]BASE'!FW35=0,"",'[1]BASE'!FW35)</f>
        <v>1</v>
      </c>
      <c r="L35" s="1016">
        <f>IF('[1]BASE'!FX35=0,"",'[1]BASE'!FX35)</f>
      </c>
      <c r="M35" s="1016">
        <f>IF('[1]BASE'!FY35=0,"",'[1]BASE'!FY35)</f>
      </c>
      <c r="N35" s="1016">
        <f>IF('[1]BASE'!FZ35=0,"",'[1]BASE'!FZ35)</f>
      </c>
      <c r="O35" s="1016">
        <f>IF('[1]BASE'!GA35=0,"",'[1]BASE'!GA35)</f>
      </c>
      <c r="P35" s="1016">
        <f>IF('[1]BASE'!GB35=0,"",'[1]BASE'!GB35)</f>
      </c>
      <c r="Q35" s="1016">
        <f>IF('[1]BASE'!GC35=0,"",'[1]BASE'!GC35)</f>
      </c>
      <c r="R35" s="1016">
        <f>IF('[1]BASE'!GD35=0,"",'[1]BASE'!GD35)</f>
      </c>
      <c r="S35" s="1016">
        <f>IF('[1]BASE'!GE35=0,"",'[1]BASE'!GE35)</f>
      </c>
      <c r="T35" s="1017"/>
      <c r="U35" s="1013"/>
    </row>
    <row r="36" spans="2:21" s="1007" customFormat="1" ht="19.5" customHeight="1">
      <c r="B36" s="1008"/>
      <c r="C36" s="1018">
        <f>IF('[1]BASE'!C36=0,"",'[1]BASE'!C36)</f>
        <v>20</v>
      </c>
      <c r="D36" s="1018" t="str">
        <f>IF('[1]BASE'!D36=0,"",'[1]BASE'!D36)</f>
        <v>E.T.P.del AGUILA - CENTRAL P.del A. 1</v>
      </c>
      <c r="E36" s="1018">
        <f>IF('[1]BASE'!E36=0,"",'[1]BASE'!E36)</f>
        <v>500</v>
      </c>
      <c r="F36" s="1018">
        <f>IF('[1]BASE'!F36=0,"",'[1]BASE'!F36)</f>
        <v>5.6</v>
      </c>
      <c r="G36" s="1019" t="str">
        <f>IF('[1]BASE'!G36=0,"",'[1]BASE'!G36)</f>
        <v>C</v>
      </c>
      <c r="H36" s="1016">
        <f>IF('[1]BASE'!FT36=0,"",'[1]BASE'!FT36)</f>
      </c>
      <c r="I36" s="1016">
        <f>IF('[1]BASE'!FU36=0,"",'[1]BASE'!FU36)</f>
      </c>
      <c r="J36" s="1016">
        <f>IF('[1]BASE'!FV36=0,"",'[1]BASE'!FV36)</f>
      </c>
      <c r="K36" s="1016">
        <f>IF('[1]BASE'!FW36=0,"",'[1]BASE'!FW36)</f>
      </c>
      <c r="L36" s="1016">
        <f>IF('[1]BASE'!FX36=0,"",'[1]BASE'!FX36)</f>
      </c>
      <c r="M36" s="1016">
        <f>IF('[1]BASE'!FY36=0,"",'[1]BASE'!FY36)</f>
      </c>
      <c r="N36" s="1016">
        <f>IF('[1]BASE'!FZ36=0,"",'[1]BASE'!FZ36)</f>
      </c>
      <c r="O36" s="1016">
        <f>IF('[1]BASE'!GA36=0,"",'[1]BASE'!GA36)</f>
      </c>
      <c r="P36" s="1016">
        <f>IF('[1]BASE'!GB36=0,"",'[1]BASE'!GB36)</f>
      </c>
      <c r="Q36" s="1016">
        <f>IF('[1]BASE'!GC36=0,"",'[1]BASE'!GC36)</f>
      </c>
      <c r="R36" s="1016">
        <f>IF('[1]BASE'!GD36=0,"",'[1]BASE'!GD36)</f>
      </c>
      <c r="S36" s="1016">
        <f>IF('[1]BASE'!GE36=0,"",'[1]BASE'!GE36)</f>
      </c>
      <c r="T36" s="1017"/>
      <c r="U36" s="1013"/>
    </row>
    <row r="37" spans="2:21" s="1007" customFormat="1" ht="19.5" customHeight="1">
      <c r="B37" s="1008"/>
      <c r="C37" s="1020">
        <f>IF('[1]BASE'!C37=0,"",'[1]BASE'!C37)</f>
        <v>21</v>
      </c>
      <c r="D37" s="1020" t="str">
        <f>IF('[1]BASE'!D37=0,"",'[1]BASE'!D37)</f>
        <v>E.T.P.del AGUILA - CENTRAL P.del A. 2</v>
      </c>
      <c r="E37" s="1020">
        <f>IF('[1]BASE'!E37=0,"",'[1]BASE'!E37)</f>
        <v>500</v>
      </c>
      <c r="F37" s="1020">
        <f>IF('[1]BASE'!F37=0,"",'[1]BASE'!F37)</f>
        <v>5.6</v>
      </c>
      <c r="G37" s="1021" t="str">
        <f>IF('[1]BASE'!G37=0,"",'[1]BASE'!G37)</f>
        <v>C</v>
      </c>
      <c r="H37" s="1016">
        <f>IF('[1]BASE'!FT37=0,"",'[1]BASE'!FT37)</f>
      </c>
      <c r="I37" s="1016">
        <f>IF('[1]BASE'!FU37=0,"",'[1]BASE'!FU37)</f>
      </c>
      <c r="J37" s="1016">
        <f>IF('[1]BASE'!FV37=0,"",'[1]BASE'!FV37)</f>
      </c>
      <c r="K37" s="1016">
        <f>IF('[1]BASE'!FW37=0,"",'[1]BASE'!FW37)</f>
      </c>
      <c r="L37" s="1016">
        <f>IF('[1]BASE'!FX37=0,"",'[1]BASE'!FX37)</f>
      </c>
      <c r="M37" s="1016">
        <f>IF('[1]BASE'!FY37=0,"",'[1]BASE'!FY37)</f>
      </c>
      <c r="N37" s="1016">
        <f>IF('[1]BASE'!FZ37=0,"",'[1]BASE'!FZ37)</f>
      </c>
      <c r="O37" s="1016">
        <f>IF('[1]BASE'!GA37=0,"",'[1]BASE'!GA37)</f>
      </c>
      <c r="P37" s="1016">
        <f>IF('[1]BASE'!GB37=0,"",'[1]BASE'!GB37)</f>
      </c>
      <c r="Q37" s="1016">
        <f>IF('[1]BASE'!GC37=0,"",'[1]BASE'!GC37)</f>
      </c>
      <c r="R37" s="1016">
        <f>IF('[1]BASE'!GD37=0,"",'[1]BASE'!GD37)</f>
      </c>
      <c r="S37" s="1016">
        <f>IF('[1]BASE'!GE37=0,"",'[1]BASE'!GE37)</f>
      </c>
      <c r="T37" s="1017"/>
      <c r="U37" s="1013"/>
    </row>
    <row r="38" spans="2:21" s="1007" customFormat="1" ht="19.5" customHeight="1">
      <c r="B38" s="1008"/>
      <c r="C38" s="1018">
        <f>IF('[1]BASE'!C38=0,"",'[1]BASE'!C38)</f>
        <v>22</v>
      </c>
      <c r="D38" s="1018" t="str">
        <f>IF('[1]BASE'!D38=0,"",'[1]BASE'!D38)</f>
        <v>EL BRACHO - RECREO(5)</v>
      </c>
      <c r="E38" s="1018">
        <f>IF('[1]BASE'!E38=0,"",'[1]BASE'!E38)</f>
        <v>500</v>
      </c>
      <c r="F38" s="1018">
        <f>IF('[1]BASE'!F38=0,"",'[1]BASE'!F38)</f>
        <v>255</v>
      </c>
      <c r="G38" s="1019" t="str">
        <f>IF('[1]BASE'!G38=0,"",'[1]BASE'!G38)</f>
        <v>C</v>
      </c>
      <c r="H38" s="1016">
        <f>IF('[1]BASE'!FT38=0,"",'[1]BASE'!FT38)</f>
      </c>
      <c r="I38" s="1016">
        <f>IF('[1]BASE'!FU38=0,"",'[1]BASE'!FU38)</f>
      </c>
      <c r="J38" s="1016">
        <f>IF('[1]BASE'!FV38=0,"",'[1]BASE'!FV38)</f>
      </c>
      <c r="K38" s="1016">
        <f>IF('[1]BASE'!FW38=0,"",'[1]BASE'!FW38)</f>
      </c>
      <c r="L38" s="1016">
        <f>IF('[1]BASE'!FX38=0,"",'[1]BASE'!FX38)</f>
      </c>
      <c r="M38" s="1016">
        <f>IF('[1]BASE'!FY38=0,"",'[1]BASE'!FY38)</f>
      </c>
      <c r="N38" s="1016">
        <f>IF('[1]BASE'!FZ38=0,"",'[1]BASE'!FZ38)</f>
      </c>
      <c r="O38" s="1016">
        <f>IF('[1]BASE'!GA38=0,"",'[1]BASE'!GA38)</f>
      </c>
      <c r="P38" s="1016">
        <f>IF('[1]BASE'!GB38=0,"",'[1]BASE'!GB38)</f>
      </c>
      <c r="Q38" s="1016">
        <f>IF('[1]BASE'!GC38=0,"",'[1]BASE'!GC38)</f>
      </c>
      <c r="R38" s="1016">
        <f>IF('[1]BASE'!GD38=0,"",'[1]BASE'!GD38)</f>
      </c>
      <c r="S38" s="1016">
        <f>IF('[1]BASE'!GE38=0,"",'[1]BASE'!GE38)</f>
      </c>
      <c r="T38" s="1017"/>
      <c r="U38" s="1013"/>
    </row>
    <row r="39" spans="2:21" s="1007" customFormat="1" ht="19.5" customHeight="1">
      <c r="B39" s="1008"/>
      <c r="C39" s="1020">
        <f>IF('[1]BASE'!C39=0,"",'[1]BASE'!C39)</f>
        <v>23</v>
      </c>
      <c r="D39" s="1020" t="str">
        <f>IF('[1]BASE'!D39=0,"",'[1]BASE'!D39)</f>
        <v>EZEIZA - ABASTO 1</v>
      </c>
      <c r="E39" s="1020">
        <f>IF('[1]BASE'!E39=0,"",'[1]BASE'!E39)</f>
        <v>500</v>
      </c>
      <c r="F39" s="1020">
        <f>IF('[1]BASE'!F39=0,"",'[1]BASE'!F39)</f>
        <v>58</v>
      </c>
      <c r="G39" s="1021" t="str">
        <f>IF('[1]BASE'!G39=0,"",'[1]BASE'!G39)</f>
        <v>C</v>
      </c>
      <c r="H39" s="1016">
        <f>IF('[1]BASE'!FT39=0,"",'[1]BASE'!FT39)</f>
      </c>
      <c r="I39" s="1016">
        <f>IF('[1]BASE'!FU39=0,"",'[1]BASE'!FU39)</f>
      </c>
      <c r="J39" s="1016">
        <f>IF('[1]BASE'!FV39=0,"",'[1]BASE'!FV39)</f>
      </c>
      <c r="K39" s="1016">
        <f>IF('[1]BASE'!FW39=0,"",'[1]BASE'!FW39)</f>
      </c>
      <c r="L39" s="1016">
        <f>IF('[1]BASE'!FX39=0,"",'[1]BASE'!FX39)</f>
      </c>
      <c r="M39" s="1016">
        <f>IF('[1]BASE'!FY39=0,"",'[1]BASE'!FY39)</f>
      </c>
      <c r="N39" s="1016">
        <f>IF('[1]BASE'!FZ39=0,"",'[1]BASE'!FZ39)</f>
      </c>
      <c r="O39" s="1016">
        <f>IF('[1]BASE'!GA39=0,"",'[1]BASE'!GA39)</f>
      </c>
      <c r="P39" s="1016">
        <f>IF('[1]BASE'!GB39=0,"",'[1]BASE'!GB39)</f>
      </c>
      <c r="Q39" s="1016">
        <f>IF('[1]BASE'!GC39=0,"",'[1]BASE'!GC39)</f>
      </c>
      <c r="R39" s="1016">
        <f>IF('[1]BASE'!GD39=0,"",'[1]BASE'!GD39)</f>
      </c>
      <c r="S39" s="1016">
        <f>IF('[1]BASE'!GE39=0,"",'[1]BASE'!GE39)</f>
      </c>
      <c r="T39" s="1017"/>
      <c r="U39" s="1013"/>
    </row>
    <row r="40" spans="2:21" s="1007" customFormat="1" ht="19.5" customHeight="1">
      <c r="B40" s="1008"/>
      <c r="C40" s="1018">
        <f>IF('[1]BASE'!C40=0,"",'[1]BASE'!C40)</f>
        <v>24</v>
      </c>
      <c r="D40" s="1018" t="str">
        <f>IF('[1]BASE'!D40=0,"",'[1]BASE'!D40)</f>
        <v>EZEIZA - ABASTO 2</v>
      </c>
      <c r="E40" s="1018">
        <f>IF('[1]BASE'!E40=0,"",'[1]BASE'!E40)</f>
        <v>500</v>
      </c>
      <c r="F40" s="1018">
        <f>IF('[1]BASE'!F40=0,"",'[1]BASE'!F40)</f>
        <v>58</v>
      </c>
      <c r="G40" s="1019" t="str">
        <f>IF('[1]BASE'!G40=0,"",'[1]BASE'!G40)</f>
        <v>C</v>
      </c>
      <c r="H40" s="1016">
        <f>IF('[1]BASE'!FT40=0,"",'[1]BASE'!FT40)</f>
      </c>
      <c r="I40" s="1016">
        <f>IF('[1]BASE'!FU40=0,"",'[1]BASE'!FU40)</f>
      </c>
      <c r="J40" s="1016">
        <f>IF('[1]BASE'!FV40=0,"",'[1]BASE'!FV40)</f>
      </c>
      <c r="K40" s="1016">
        <f>IF('[1]BASE'!FW40=0,"",'[1]BASE'!FW40)</f>
      </c>
      <c r="L40" s="1016">
        <f>IF('[1]BASE'!FX40=0,"",'[1]BASE'!FX40)</f>
      </c>
      <c r="M40" s="1016">
        <f>IF('[1]BASE'!FY40=0,"",'[1]BASE'!FY40)</f>
      </c>
      <c r="N40" s="1016">
        <f>IF('[1]BASE'!FZ40=0,"",'[1]BASE'!FZ40)</f>
      </c>
      <c r="O40" s="1016">
        <f>IF('[1]BASE'!GA40=0,"",'[1]BASE'!GA40)</f>
      </c>
      <c r="P40" s="1016">
        <f>IF('[1]BASE'!GB40=0,"",'[1]BASE'!GB40)</f>
      </c>
      <c r="Q40" s="1016">
        <f>IF('[1]BASE'!GC40=0,"",'[1]BASE'!GC40)</f>
      </c>
      <c r="R40" s="1016">
        <f>IF('[1]BASE'!GD40=0,"",'[1]BASE'!GD40)</f>
      </c>
      <c r="S40" s="1016">
        <f>IF('[1]BASE'!GE40=0,"",'[1]BASE'!GE40)</f>
      </c>
      <c r="T40" s="1017"/>
      <c r="U40" s="1013"/>
    </row>
    <row r="41" spans="2:21" s="1007" customFormat="1" ht="19.5" customHeight="1">
      <c r="B41" s="1008"/>
      <c r="C41" s="1020">
        <f>IF('[1]BASE'!C41=0,"",'[1]BASE'!C41)</f>
        <v>25</v>
      </c>
      <c r="D41" s="1020" t="str">
        <f>IF('[1]BASE'!D41=0,"",'[1]BASE'!D41)</f>
        <v>EZEIZA - RODRIGUEZ 1</v>
      </c>
      <c r="E41" s="1020">
        <f>IF('[1]BASE'!E41=0,"",'[1]BASE'!E41)</f>
        <v>500</v>
      </c>
      <c r="F41" s="1020">
        <f>IF('[1]BASE'!F41=0,"",'[1]BASE'!F41)</f>
        <v>53</v>
      </c>
      <c r="G41" s="1021" t="str">
        <f>IF('[1]BASE'!G41=0,"",'[1]BASE'!G41)</f>
        <v>C</v>
      </c>
      <c r="H41" s="1016">
        <f>IF('[1]BASE'!FT41=0,"",'[1]BASE'!FT41)</f>
      </c>
      <c r="I41" s="1016">
        <f>IF('[1]BASE'!FU41=0,"",'[1]BASE'!FU41)</f>
      </c>
      <c r="J41" s="1016">
        <f>IF('[1]BASE'!FV41=0,"",'[1]BASE'!FV41)</f>
      </c>
      <c r="K41" s="1016">
        <f>IF('[1]BASE'!FW41=0,"",'[1]BASE'!FW41)</f>
      </c>
      <c r="L41" s="1016">
        <f>IF('[1]BASE'!FX41=0,"",'[1]BASE'!FX41)</f>
      </c>
      <c r="M41" s="1016">
        <f>IF('[1]BASE'!FY41=0,"",'[1]BASE'!FY41)</f>
      </c>
      <c r="N41" s="1016">
        <f>IF('[1]BASE'!FZ41=0,"",'[1]BASE'!FZ41)</f>
      </c>
      <c r="O41" s="1016">
        <f>IF('[1]BASE'!GA41=0,"",'[1]BASE'!GA41)</f>
      </c>
      <c r="P41" s="1016">
        <f>IF('[1]BASE'!GB41=0,"",'[1]BASE'!GB41)</f>
      </c>
      <c r="Q41" s="1016">
        <f>IF('[1]BASE'!GC41=0,"",'[1]BASE'!GC41)</f>
      </c>
      <c r="R41" s="1016">
        <f>IF('[1]BASE'!GD41=0,"",'[1]BASE'!GD41)</f>
      </c>
      <c r="S41" s="1016">
        <f>IF('[1]BASE'!GE41=0,"",'[1]BASE'!GE41)</f>
      </c>
      <c r="T41" s="1017"/>
      <c r="U41" s="1013"/>
    </row>
    <row r="42" spans="2:21" s="1007" customFormat="1" ht="19.5" customHeight="1">
      <c r="B42" s="1008"/>
      <c r="C42" s="1018">
        <f>IF('[1]BASE'!C42=0,"",'[1]BASE'!C42)</f>
        <v>26</v>
      </c>
      <c r="D42" s="1018" t="str">
        <f>IF('[1]BASE'!D42=0,"",'[1]BASE'!D42)</f>
        <v>EZEIZA - RODRIGUEZ 2</v>
      </c>
      <c r="E42" s="1018">
        <f>IF('[1]BASE'!E42=0,"",'[1]BASE'!E42)</f>
        <v>500</v>
      </c>
      <c r="F42" s="1018">
        <f>IF('[1]BASE'!F42=0,"",'[1]BASE'!F42)</f>
        <v>53</v>
      </c>
      <c r="G42" s="1019" t="str">
        <f>IF('[1]BASE'!G42=0,"",'[1]BASE'!G42)</f>
        <v>C</v>
      </c>
      <c r="H42" s="1016">
        <f>IF('[1]BASE'!FT42=0,"",'[1]BASE'!FT42)</f>
      </c>
      <c r="I42" s="1016">
        <f>IF('[1]BASE'!FU42=0,"",'[1]BASE'!FU42)</f>
      </c>
      <c r="J42" s="1016">
        <f>IF('[1]BASE'!FV42=0,"",'[1]BASE'!FV42)</f>
      </c>
      <c r="K42" s="1016">
        <f>IF('[1]BASE'!FW42=0,"",'[1]BASE'!FW42)</f>
      </c>
      <c r="L42" s="1016">
        <f>IF('[1]BASE'!FX42=0,"",'[1]BASE'!FX42)</f>
      </c>
      <c r="M42" s="1016">
        <f>IF('[1]BASE'!FY42=0,"",'[1]BASE'!FY42)</f>
      </c>
      <c r="N42" s="1016">
        <f>IF('[1]BASE'!FZ42=0,"",'[1]BASE'!FZ42)</f>
      </c>
      <c r="O42" s="1016">
        <f>IF('[1]BASE'!GA42=0,"",'[1]BASE'!GA42)</f>
      </c>
      <c r="P42" s="1016">
        <f>IF('[1]BASE'!GB42=0,"",'[1]BASE'!GB42)</f>
      </c>
      <c r="Q42" s="1016">
        <f>IF('[1]BASE'!GC42=0,"",'[1]BASE'!GC42)</f>
      </c>
      <c r="R42" s="1016">
        <f>IF('[1]BASE'!GD42=0,"",'[1]BASE'!GD42)</f>
      </c>
      <c r="S42" s="1016">
        <f>IF('[1]BASE'!GE42=0,"",'[1]BASE'!GE42)</f>
      </c>
      <c r="T42" s="1017"/>
      <c r="U42" s="1013"/>
    </row>
    <row r="43" spans="2:21" s="1007" customFormat="1" ht="19.5" customHeight="1">
      <c r="B43" s="1008"/>
      <c r="C43" s="1020">
        <f>IF('[1]BASE'!C43=0,"",'[1]BASE'!C43)</f>
        <v>27</v>
      </c>
      <c r="D43" s="1020" t="str">
        <f>IF('[1]BASE'!D43=0,"",'[1]BASE'!D43)</f>
        <v>EZEIZA- HENDERSON 1</v>
      </c>
      <c r="E43" s="1020">
        <f>IF('[1]BASE'!E43=0,"",'[1]BASE'!E43)</f>
        <v>500</v>
      </c>
      <c r="F43" s="1020">
        <f>IF('[1]BASE'!F43=0,"",'[1]BASE'!F43)</f>
        <v>313</v>
      </c>
      <c r="G43" s="1021" t="str">
        <f>IF('[1]BASE'!G43=0,"",'[1]BASE'!G43)</f>
        <v>A</v>
      </c>
      <c r="H43" s="1016">
        <f>IF('[1]BASE'!FT43=0,"",'[1]BASE'!FT43)</f>
      </c>
      <c r="I43" s="1016">
        <f>IF('[1]BASE'!FU43=0,"",'[1]BASE'!FU43)</f>
      </c>
      <c r="J43" s="1016">
        <f>IF('[1]BASE'!FV43=0,"",'[1]BASE'!FV43)</f>
      </c>
      <c r="K43" s="1016">
        <f>IF('[1]BASE'!FW43=0,"",'[1]BASE'!FW43)</f>
      </c>
      <c r="L43" s="1016">
        <f>IF('[1]BASE'!FX43=0,"",'[1]BASE'!FX43)</f>
      </c>
      <c r="M43" s="1016">
        <f>IF('[1]BASE'!FY43=0,"",'[1]BASE'!FY43)</f>
      </c>
      <c r="N43" s="1016">
        <f>IF('[1]BASE'!FZ43=0,"",'[1]BASE'!FZ43)</f>
      </c>
      <c r="O43" s="1016">
        <f>IF('[1]BASE'!GA43=0,"",'[1]BASE'!GA43)</f>
      </c>
      <c r="P43" s="1016">
        <f>IF('[1]BASE'!GB43=0,"",'[1]BASE'!GB43)</f>
        <v>1</v>
      </c>
      <c r="Q43" s="1016">
        <f>IF('[1]BASE'!GC43=0,"",'[1]BASE'!GC43)</f>
        <v>1</v>
      </c>
      <c r="R43" s="1016">
        <f>IF('[1]BASE'!GD43=0,"",'[1]BASE'!GD43)</f>
      </c>
      <c r="S43" s="1016">
        <f>IF('[1]BASE'!GE43=0,"",'[1]BASE'!GE43)</f>
      </c>
      <c r="T43" s="1017"/>
      <c r="U43" s="1013"/>
    </row>
    <row r="44" spans="2:21" s="1007" customFormat="1" ht="19.5" customHeight="1">
      <c r="B44" s="1008"/>
      <c r="C44" s="1018">
        <f>IF('[1]BASE'!C44=0,"",'[1]BASE'!C44)</f>
        <v>28</v>
      </c>
      <c r="D44" s="1018" t="str">
        <f>IF('[1]BASE'!D44=0,"",'[1]BASE'!D44)</f>
        <v>EZEIZA - HENDERSON 2</v>
      </c>
      <c r="E44" s="1018">
        <f>IF('[1]BASE'!E44=0,"",'[1]BASE'!E44)</f>
        <v>500</v>
      </c>
      <c r="F44" s="1018">
        <f>IF('[1]BASE'!F44=0,"",'[1]BASE'!F44)</f>
        <v>313</v>
      </c>
      <c r="G44" s="1019" t="str">
        <f>IF('[1]BASE'!G44=0,"",'[1]BASE'!G44)</f>
        <v>A</v>
      </c>
      <c r="H44" s="1016">
        <f>IF('[1]BASE'!FT44=0,"",'[1]BASE'!FT44)</f>
      </c>
      <c r="I44" s="1016">
        <f>IF('[1]BASE'!FU44=0,"",'[1]BASE'!FU44)</f>
      </c>
      <c r="J44" s="1016">
        <f>IF('[1]BASE'!FV44=0,"",'[1]BASE'!FV44)</f>
      </c>
      <c r="K44" s="1016">
        <f>IF('[1]BASE'!FW44=0,"",'[1]BASE'!FW44)</f>
      </c>
      <c r="L44" s="1016">
        <f>IF('[1]BASE'!FX44=0,"",'[1]BASE'!FX44)</f>
      </c>
      <c r="M44" s="1016">
        <f>IF('[1]BASE'!FY44=0,"",'[1]BASE'!FY44)</f>
      </c>
      <c r="N44" s="1016">
        <f>IF('[1]BASE'!FZ44=0,"",'[1]BASE'!FZ44)</f>
      </c>
      <c r="O44" s="1016">
        <f>IF('[1]BASE'!GA44=0,"",'[1]BASE'!GA44)</f>
      </c>
      <c r="P44" s="1016">
        <f>IF('[1]BASE'!GB44=0,"",'[1]BASE'!GB44)</f>
        <v>2</v>
      </c>
      <c r="Q44" s="1016">
        <f>IF('[1]BASE'!GC44=0,"",'[1]BASE'!GC44)</f>
      </c>
      <c r="R44" s="1016">
        <f>IF('[1]BASE'!GD44=0,"",'[1]BASE'!GD44)</f>
      </c>
      <c r="S44" s="1016">
        <f>IF('[1]BASE'!GE44=0,"",'[1]BASE'!GE44)</f>
      </c>
      <c r="T44" s="1017"/>
      <c r="U44" s="1013"/>
    </row>
    <row r="45" spans="2:21" s="1007" customFormat="1" ht="19.5" customHeight="1">
      <c r="B45" s="1008"/>
      <c r="C45" s="1020">
        <f>IF('[1]BASE'!C45=0,"",'[1]BASE'!C45)</f>
        <v>29</v>
      </c>
      <c r="D45" s="1020" t="str">
        <f>IF('[1]BASE'!D45=0,"",'[1]BASE'!D45)</f>
        <v>GRAL. RODRIGUEZ - CAMPANA </v>
      </c>
      <c r="E45" s="1020">
        <f>IF('[1]BASE'!E45=0,"",'[1]BASE'!E45)</f>
        <v>500</v>
      </c>
      <c r="F45" s="1020">
        <f>IF('[1]BASE'!F45=0,"",'[1]BASE'!F45)</f>
        <v>42</v>
      </c>
      <c r="G45" s="1021" t="str">
        <f>IF('[1]BASE'!G45=0,"",'[1]BASE'!G45)</f>
        <v>B</v>
      </c>
      <c r="H45" s="1016">
        <f>IF('[1]BASE'!FT45=0,"",'[1]BASE'!FT45)</f>
      </c>
      <c r="I45" s="1016">
        <f>IF('[1]BASE'!FU45=0,"",'[1]BASE'!FU45)</f>
      </c>
      <c r="J45" s="1016">
        <f>IF('[1]BASE'!FV45=0,"",'[1]BASE'!FV45)</f>
      </c>
      <c r="K45" s="1016">
        <f>IF('[1]BASE'!FW45=0,"",'[1]BASE'!FW45)</f>
      </c>
      <c r="L45" s="1016">
        <f>IF('[1]BASE'!FX45=0,"",'[1]BASE'!FX45)</f>
      </c>
      <c r="M45" s="1016">
        <f>IF('[1]BASE'!FY45=0,"",'[1]BASE'!FY45)</f>
      </c>
      <c r="N45" s="1016">
        <f>IF('[1]BASE'!FZ45=0,"",'[1]BASE'!FZ45)</f>
      </c>
      <c r="O45" s="1016">
        <f>IF('[1]BASE'!GA45=0,"",'[1]BASE'!GA45)</f>
      </c>
      <c r="P45" s="1016">
        <f>IF('[1]BASE'!GB45=0,"",'[1]BASE'!GB45)</f>
        <v>1</v>
      </c>
      <c r="Q45" s="1016">
        <f>IF('[1]BASE'!GC45=0,"",'[1]BASE'!GC45)</f>
      </c>
      <c r="R45" s="1016">
        <f>IF('[1]BASE'!GD45=0,"",'[1]BASE'!GD45)</f>
      </c>
      <c r="S45" s="1016">
        <f>IF('[1]BASE'!GE45=0,"",'[1]BASE'!GE45)</f>
      </c>
      <c r="T45" s="1017"/>
      <c r="U45" s="1013"/>
    </row>
    <row r="46" spans="2:21" s="1007" customFormat="1" ht="19.5" customHeight="1">
      <c r="B46" s="1008"/>
      <c r="C46" s="1018">
        <f>IF('[1]BASE'!C46=0,"",'[1]BASE'!C46)</f>
        <v>30</v>
      </c>
      <c r="D46" s="1018" t="str">
        <f>IF('[1]BASE'!D46=0,"",'[1]BASE'!D46)</f>
        <v>GRAL. RODRIGUEZ- ROSARIO OESTE </v>
      </c>
      <c r="E46" s="1018">
        <f>IF('[1]BASE'!E46=0,"",'[1]BASE'!E46)</f>
        <v>500</v>
      </c>
      <c r="F46" s="1018">
        <f>IF('[1]BASE'!F46=0,"",'[1]BASE'!F46)</f>
        <v>258</v>
      </c>
      <c r="G46" s="1019" t="str">
        <f>IF('[1]BASE'!G46=0,"",'[1]BASE'!G46)</f>
        <v>C</v>
      </c>
      <c r="H46" s="1016" t="str">
        <f>IF('[1]BASE'!FT46=0,"",'[1]BASE'!FT46)</f>
        <v>XXXX</v>
      </c>
      <c r="I46" s="1016" t="str">
        <f>IF('[1]BASE'!FU46=0,"",'[1]BASE'!FU46)</f>
        <v>XXXX</v>
      </c>
      <c r="J46" s="1016" t="str">
        <f>IF('[1]BASE'!FV46=0,"",'[1]BASE'!FV46)</f>
        <v>XXXX</v>
      </c>
      <c r="K46" s="1016" t="str">
        <f>IF('[1]BASE'!FW46=0,"",'[1]BASE'!FW46)</f>
        <v>XXXX</v>
      </c>
      <c r="L46" s="1016" t="str">
        <f>IF('[1]BASE'!FX46=0,"",'[1]BASE'!FX46)</f>
        <v>XXXX</v>
      </c>
      <c r="M46" s="1016" t="str">
        <f>IF('[1]BASE'!FY46=0,"",'[1]BASE'!FY46)</f>
        <v>XXXX</v>
      </c>
      <c r="N46" s="1016" t="str">
        <f>IF('[1]BASE'!FZ46=0,"",'[1]BASE'!FZ46)</f>
        <v>XXXX</v>
      </c>
      <c r="O46" s="1016" t="str">
        <f>IF('[1]BASE'!GA46=0,"",'[1]BASE'!GA46)</f>
        <v>XXXX</v>
      </c>
      <c r="P46" s="1016" t="str">
        <f>IF('[1]BASE'!GB46=0,"",'[1]BASE'!GB46)</f>
        <v>XXXX</v>
      </c>
      <c r="Q46" s="1016" t="str">
        <f>IF('[1]BASE'!GC46=0,"",'[1]BASE'!GC46)</f>
        <v>XXXX</v>
      </c>
      <c r="R46" s="1016" t="str">
        <f>IF('[1]BASE'!GD46=0,"",'[1]BASE'!GD46)</f>
        <v>XXXX</v>
      </c>
      <c r="S46" s="1016" t="str">
        <f>IF('[1]BASE'!GE46=0,"",'[1]BASE'!GE46)</f>
        <v>XXXX</v>
      </c>
      <c r="T46" s="1017"/>
      <c r="U46" s="1013"/>
    </row>
    <row r="47" spans="2:21" s="1007" customFormat="1" ht="19.5" customHeight="1">
      <c r="B47" s="1008"/>
      <c r="C47" s="1020">
        <f>IF('[1]BASE'!C47=0,"",'[1]BASE'!C47)</f>
        <v>31</v>
      </c>
      <c r="D47" s="1020" t="str">
        <f>IF('[1]BASE'!D47=0,"",'[1]BASE'!D47)</f>
        <v>MALVINAS ARG. - ALMAFUERTE </v>
      </c>
      <c r="E47" s="1020">
        <f>IF('[1]BASE'!E47=0,"",'[1]BASE'!E47)</f>
        <v>500</v>
      </c>
      <c r="F47" s="1020">
        <f>IF('[1]BASE'!F47=0,"",'[1]BASE'!F47)</f>
        <v>105</v>
      </c>
      <c r="G47" s="1021" t="str">
        <f>IF('[1]BASE'!G47=0,"",'[1]BASE'!G47)</f>
        <v>B</v>
      </c>
      <c r="H47" s="1016">
        <f>IF('[1]BASE'!FT47=0,"",'[1]BASE'!FT47)</f>
      </c>
      <c r="I47" s="1016">
        <f>IF('[1]BASE'!FU47=0,"",'[1]BASE'!FU47)</f>
      </c>
      <c r="J47" s="1016">
        <f>IF('[1]BASE'!FV47=0,"",'[1]BASE'!FV47)</f>
      </c>
      <c r="K47" s="1016">
        <f>IF('[1]BASE'!FW47=0,"",'[1]BASE'!FW47)</f>
      </c>
      <c r="L47" s="1016">
        <f>IF('[1]BASE'!FX47=0,"",'[1]BASE'!FX47)</f>
      </c>
      <c r="M47" s="1016">
        <f>IF('[1]BASE'!FY47=0,"",'[1]BASE'!FY47)</f>
      </c>
      <c r="N47" s="1016">
        <f>IF('[1]BASE'!FZ47=0,"",'[1]BASE'!FZ47)</f>
      </c>
      <c r="O47" s="1016">
        <f>IF('[1]BASE'!GA47=0,"",'[1]BASE'!GA47)</f>
      </c>
      <c r="P47" s="1016">
        <f>IF('[1]BASE'!GB47=0,"",'[1]BASE'!GB47)</f>
      </c>
      <c r="Q47" s="1016">
        <f>IF('[1]BASE'!GC47=0,"",'[1]BASE'!GC47)</f>
      </c>
      <c r="R47" s="1016">
        <f>IF('[1]BASE'!GD47=0,"",'[1]BASE'!GD47)</f>
      </c>
      <c r="S47" s="1016">
        <f>IF('[1]BASE'!GE47=0,"",'[1]BASE'!GE47)</f>
      </c>
      <c r="T47" s="1017"/>
      <c r="U47" s="1013"/>
    </row>
    <row r="48" spans="2:21" s="1007" customFormat="1" ht="19.5" customHeight="1">
      <c r="B48" s="1008"/>
      <c r="C48" s="1018">
        <f>IF('[1]BASE'!C48=0,"",'[1]BASE'!C48)</f>
        <v>32</v>
      </c>
      <c r="D48" s="1018" t="str">
        <f>IF('[1]BASE'!D48=0,"",'[1]BASE'!D48)</f>
        <v>OLAVARRIA - BAHIA BLANCA 1</v>
      </c>
      <c r="E48" s="1018">
        <f>IF('[1]BASE'!E48=0,"",'[1]BASE'!E48)</f>
        <v>500</v>
      </c>
      <c r="F48" s="1018">
        <f>IF('[1]BASE'!F48=0,"",'[1]BASE'!F48)</f>
        <v>255</v>
      </c>
      <c r="G48" s="1019" t="str">
        <f>IF('[1]BASE'!G48=0,"",'[1]BASE'!G48)</f>
        <v>B</v>
      </c>
      <c r="H48" s="1016">
        <f>IF('[1]BASE'!FT48=0,"",'[1]BASE'!FT48)</f>
      </c>
      <c r="I48" s="1016">
        <f>IF('[1]BASE'!FU48=0,"",'[1]BASE'!FU48)</f>
      </c>
      <c r="J48" s="1016">
        <f>IF('[1]BASE'!FV48=0,"",'[1]BASE'!FV48)</f>
      </c>
      <c r="K48" s="1016">
        <f>IF('[1]BASE'!FW48=0,"",'[1]BASE'!FW48)</f>
      </c>
      <c r="L48" s="1016">
        <f>IF('[1]BASE'!FX48=0,"",'[1]BASE'!FX48)</f>
      </c>
      <c r="M48" s="1016">
        <f>IF('[1]BASE'!FY48=0,"",'[1]BASE'!FY48)</f>
        <v>1</v>
      </c>
      <c r="N48" s="1016">
        <f>IF('[1]BASE'!FZ48=0,"",'[1]BASE'!FZ48)</f>
      </c>
      <c r="O48" s="1016">
        <f>IF('[1]BASE'!GA48=0,"",'[1]BASE'!GA48)</f>
      </c>
      <c r="P48" s="1016">
        <f>IF('[1]BASE'!GB48=0,"",'[1]BASE'!GB48)</f>
      </c>
      <c r="Q48" s="1016">
        <f>IF('[1]BASE'!GC48=0,"",'[1]BASE'!GC48)</f>
      </c>
      <c r="R48" s="1016">
        <f>IF('[1]BASE'!GD48=0,"",'[1]BASE'!GD48)</f>
      </c>
      <c r="S48" s="1016">
        <f>IF('[1]BASE'!GE48=0,"",'[1]BASE'!GE48)</f>
      </c>
      <c r="T48" s="1017"/>
      <c r="U48" s="1013"/>
    </row>
    <row r="49" spans="2:21" s="1007" customFormat="1" ht="19.5" customHeight="1">
      <c r="B49" s="1008"/>
      <c r="C49" s="1020">
        <f>IF('[1]BASE'!C49=0,"",'[1]BASE'!C49)</f>
        <v>33</v>
      </c>
      <c r="D49" s="1020" t="str">
        <f>IF('[1]BASE'!D49=0,"",'[1]BASE'!D49)</f>
        <v>OLAVARRIA - BAHIA BLANCA 2</v>
      </c>
      <c r="E49" s="1020">
        <f>IF('[1]BASE'!E49=0,"",'[1]BASE'!E49)</f>
        <v>500</v>
      </c>
      <c r="F49" s="1020">
        <f>IF('[1]BASE'!F49=0,"",'[1]BASE'!F49)</f>
        <v>254.8</v>
      </c>
      <c r="G49" s="1021">
        <f>IF('[1]BASE'!G49=0,"",'[1]BASE'!G49)</f>
      </c>
      <c r="H49" s="1016">
        <f>IF('[1]BASE'!FT49=0,"",'[1]BASE'!FT49)</f>
      </c>
      <c r="I49" s="1016">
        <f>IF('[1]BASE'!FU49=0,"",'[1]BASE'!FU49)</f>
      </c>
      <c r="J49" s="1016">
        <f>IF('[1]BASE'!FV49=0,"",'[1]BASE'!FV49)</f>
      </c>
      <c r="K49" s="1016">
        <f>IF('[1]BASE'!FW49=0,"",'[1]BASE'!FW49)</f>
      </c>
      <c r="L49" s="1016">
        <f>IF('[1]BASE'!FX49=0,"",'[1]BASE'!FX49)</f>
      </c>
      <c r="M49" s="1016">
        <f>IF('[1]BASE'!FY49=0,"",'[1]BASE'!FY49)</f>
      </c>
      <c r="N49" s="1016">
        <f>IF('[1]BASE'!FZ49=0,"",'[1]BASE'!FZ49)</f>
      </c>
      <c r="O49" s="1016">
        <f>IF('[1]BASE'!GA49=0,"",'[1]BASE'!GA49)</f>
      </c>
      <c r="P49" s="1016">
        <f>IF('[1]BASE'!GB49=0,"",'[1]BASE'!GB49)</f>
      </c>
      <c r="Q49" s="1016">
        <f>IF('[1]BASE'!GC49=0,"",'[1]BASE'!GC49)</f>
      </c>
      <c r="R49" s="1016">
        <f>IF('[1]BASE'!GD49=0,"",'[1]BASE'!GD49)</f>
      </c>
      <c r="S49" s="1016">
        <f>IF('[1]BASE'!GE49=0,"",'[1]BASE'!GE49)</f>
      </c>
      <c r="T49" s="1017"/>
      <c r="U49" s="1013"/>
    </row>
    <row r="50" spans="2:21" s="1007" customFormat="1" ht="19.5" customHeight="1">
      <c r="B50" s="1008"/>
      <c r="C50" s="1018">
        <f>IF('[1]BASE'!C50=0,"",'[1]BASE'!C50)</f>
        <v>34</v>
      </c>
      <c r="D50" s="1018" t="str">
        <f>IF('[1]BASE'!D50=0,"",'[1]BASE'!D50)</f>
        <v>P.del AGUILA  - CHOELE CHOEL</v>
      </c>
      <c r="E50" s="1018">
        <f>IF('[1]BASE'!E50=0,"",'[1]BASE'!E50)</f>
        <v>500</v>
      </c>
      <c r="F50" s="1018">
        <f>IF('[1]BASE'!F50=0,"",'[1]BASE'!F50)</f>
        <v>386.7</v>
      </c>
      <c r="G50" s="1019">
        <f>IF('[1]BASE'!G50=0,"",'[1]BASE'!G50)</f>
      </c>
      <c r="H50" s="1016">
        <f>IF('[1]BASE'!FT50=0,"",'[1]BASE'!FT50)</f>
      </c>
      <c r="I50" s="1016">
        <f>IF('[1]BASE'!FU50=0,"",'[1]BASE'!FU50)</f>
      </c>
      <c r="J50" s="1016">
        <f>IF('[1]BASE'!FV50=0,"",'[1]BASE'!FV50)</f>
      </c>
      <c r="K50" s="1016">
        <f>IF('[1]BASE'!FW50=0,"",'[1]BASE'!FW50)</f>
      </c>
      <c r="L50" s="1016">
        <f>IF('[1]BASE'!FX50=0,"",'[1]BASE'!FX50)</f>
      </c>
      <c r="M50" s="1016">
        <f>IF('[1]BASE'!FY50=0,"",'[1]BASE'!FY50)</f>
      </c>
      <c r="N50" s="1016">
        <f>IF('[1]BASE'!FZ50=0,"",'[1]BASE'!FZ50)</f>
      </c>
      <c r="O50" s="1016">
        <f>IF('[1]BASE'!GA50=0,"",'[1]BASE'!GA50)</f>
      </c>
      <c r="P50" s="1016">
        <f>IF('[1]BASE'!GB50=0,"",'[1]BASE'!GB50)</f>
      </c>
      <c r="Q50" s="1016">
        <f>IF('[1]BASE'!GC50=0,"",'[1]BASE'!GC50)</f>
      </c>
      <c r="R50" s="1016">
        <f>IF('[1]BASE'!GD50=0,"",'[1]BASE'!GD50)</f>
      </c>
      <c r="S50" s="1016">
        <f>IF('[1]BASE'!GE50=0,"",'[1]BASE'!GE50)</f>
      </c>
      <c r="T50" s="1017"/>
      <c r="U50" s="1013"/>
    </row>
    <row r="51" spans="2:21" s="1007" customFormat="1" ht="19.5" customHeight="1">
      <c r="B51" s="1008"/>
      <c r="C51" s="1020">
        <f>IF('[1]BASE'!C51=0,"",'[1]BASE'!C51)</f>
        <v>35</v>
      </c>
      <c r="D51" s="1020" t="str">
        <f>IF('[1]BASE'!D51=0,"",'[1]BASE'!D51)</f>
        <v>P.del AGUILA  - CHO. W. 1 (5GW1)</v>
      </c>
      <c r="E51" s="1020">
        <f>IF('[1]BASE'!E51=0,"",'[1]BASE'!E51)</f>
        <v>500</v>
      </c>
      <c r="F51" s="1020">
        <f>IF('[1]BASE'!F51=0,"",'[1]BASE'!F51)</f>
        <v>165</v>
      </c>
      <c r="G51" s="1021" t="str">
        <f>IF('[1]BASE'!G51=0,"",'[1]BASE'!G51)</f>
        <v>A</v>
      </c>
      <c r="H51" s="1016">
        <f>IF('[1]BASE'!FT51=0,"",'[1]BASE'!FT51)</f>
      </c>
      <c r="I51" s="1016">
        <f>IF('[1]BASE'!FU51=0,"",'[1]BASE'!FU51)</f>
      </c>
      <c r="J51" s="1016">
        <f>IF('[1]BASE'!FV51=0,"",'[1]BASE'!FV51)</f>
      </c>
      <c r="K51" s="1016">
        <f>IF('[1]BASE'!FW51=0,"",'[1]BASE'!FW51)</f>
      </c>
      <c r="L51" s="1016">
        <f>IF('[1]BASE'!FX51=0,"",'[1]BASE'!FX51)</f>
      </c>
      <c r="M51" s="1016">
        <f>IF('[1]BASE'!FY51=0,"",'[1]BASE'!FY51)</f>
      </c>
      <c r="N51" s="1016">
        <f>IF('[1]BASE'!FZ51=0,"",'[1]BASE'!FZ51)</f>
      </c>
      <c r="O51" s="1016">
        <f>IF('[1]BASE'!GA51=0,"",'[1]BASE'!GA51)</f>
      </c>
      <c r="P51" s="1016">
        <f>IF('[1]BASE'!GB51=0,"",'[1]BASE'!GB51)</f>
      </c>
      <c r="Q51" s="1016">
        <f>IF('[1]BASE'!GC51=0,"",'[1]BASE'!GC51)</f>
      </c>
      <c r="R51" s="1016">
        <f>IF('[1]BASE'!GD51=0,"",'[1]BASE'!GD51)</f>
      </c>
      <c r="S51" s="1016">
        <f>IF('[1]BASE'!GE51=0,"",'[1]BASE'!GE51)</f>
        <v>2</v>
      </c>
      <c r="T51" s="1017"/>
      <c r="U51" s="1013"/>
    </row>
    <row r="52" spans="2:21" s="1007" customFormat="1" ht="19.5" customHeight="1">
      <c r="B52" s="1008"/>
      <c r="C52" s="1018">
        <f>IF('[1]BASE'!C52=0,"",'[1]BASE'!C52)</f>
        <v>36</v>
      </c>
      <c r="D52" s="1018" t="str">
        <f>IF('[1]BASE'!D52=0,"",'[1]BASE'!D52)</f>
        <v>P.del AGUILA  - CHO. W. 2 (5GW2)</v>
      </c>
      <c r="E52" s="1018">
        <f>IF('[1]BASE'!E52=0,"",'[1]BASE'!E52)</f>
        <v>500</v>
      </c>
      <c r="F52" s="1018">
        <f>IF('[1]BASE'!F52=0,"",'[1]BASE'!F52)</f>
        <v>170</v>
      </c>
      <c r="G52" s="1019" t="str">
        <f>IF('[1]BASE'!G52=0,"",'[1]BASE'!G52)</f>
        <v>A</v>
      </c>
      <c r="H52" s="1016">
        <f>IF('[1]BASE'!FT52=0,"",'[1]BASE'!FT52)</f>
      </c>
      <c r="I52" s="1016">
        <f>IF('[1]BASE'!FU52=0,"",'[1]BASE'!FU52)</f>
      </c>
      <c r="J52" s="1016">
        <f>IF('[1]BASE'!FV52=0,"",'[1]BASE'!FV52)</f>
      </c>
      <c r="K52" s="1016">
        <f>IF('[1]BASE'!FW52=0,"",'[1]BASE'!FW52)</f>
      </c>
      <c r="L52" s="1016">
        <f>IF('[1]BASE'!FX52=0,"",'[1]BASE'!FX52)</f>
      </c>
      <c r="M52" s="1016">
        <f>IF('[1]BASE'!FY52=0,"",'[1]BASE'!FY52)</f>
      </c>
      <c r="N52" s="1016">
        <f>IF('[1]BASE'!FZ52=0,"",'[1]BASE'!FZ52)</f>
      </c>
      <c r="O52" s="1016">
        <f>IF('[1]BASE'!GA52=0,"",'[1]BASE'!GA52)</f>
      </c>
      <c r="P52" s="1016">
        <f>IF('[1]BASE'!GB52=0,"",'[1]BASE'!GB52)</f>
      </c>
      <c r="Q52" s="1016">
        <f>IF('[1]BASE'!GC52=0,"",'[1]BASE'!GC52)</f>
      </c>
      <c r="R52" s="1016">
        <f>IF('[1]BASE'!GD52=0,"",'[1]BASE'!GD52)</f>
      </c>
      <c r="S52" s="1016">
        <f>IF('[1]BASE'!GE52=0,"",'[1]BASE'!GE52)</f>
      </c>
      <c r="T52" s="1017"/>
      <c r="U52" s="1013"/>
    </row>
    <row r="53" spans="2:21" s="1007" customFormat="1" ht="19.5" customHeight="1">
      <c r="B53" s="1008"/>
      <c r="C53" s="1020">
        <f>IF('[1]BASE'!C53=0,"",'[1]BASE'!C53)</f>
        <v>37</v>
      </c>
      <c r="D53" s="1020" t="str">
        <f>IF('[1]BASE'!D53=0,"",'[1]BASE'!D53)</f>
        <v>PUELCHES - HENDERSON 1 (B1)</v>
      </c>
      <c r="E53" s="1020">
        <f>IF('[1]BASE'!E53=0,"",'[1]BASE'!E53)</f>
        <v>500</v>
      </c>
      <c r="F53" s="1020">
        <f>IF('[1]BASE'!F53=0,"",'[1]BASE'!F53)</f>
        <v>421</v>
      </c>
      <c r="G53" s="1021" t="str">
        <f>IF('[1]BASE'!G53=0,"",'[1]BASE'!G53)</f>
        <v>A</v>
      </c>
      <c r="H53" s="1016">
        <f>IF('[1]BASE'!FT53=0,"",'[1]BASE'!FT53)</f>
      </c>
      <c r="I53" s="1016">
        <f>IF('[1]BASE'!FU53=0,"",'[1]BASE'!FU53)</f>
      </c>
      <c r="J53" s="1016">
        <f>IF('[1]BASE'!FV53=0,"",'[1]BASE'!FV53)</f>
      </c>
      <c r="K53" s="1016">
        <f>IF('[1]BASE'!FW53=0,"",'[1]BASE'!FW53)</f>
      </c>
      <c r="L53" s="1016">
        <f>IF('[1]BASE'!FX53=0,"",'[1]BASE'!FX53)</f>
      </c>
      <c r="M53" s="1016">
        <f>IF('[1]BASE'!FY53=0,"",'[1]BASE'!FY53)</f>
        <v>1</v>
      </c>
      <c r="N53" s="1016">
        <f>IF('[1]BASE'!FZ53=0,"",'[1]BASE'!FZ53)</f>
      </c>
      <c r="O53" s="1016">
        <f>IF('[1]BASE'!GA53=0,"",'[1]BASE'!GA53)</f>
      </c>
      <c r="P53" s="1016">
        <f>IF('[1]BASE'!GB53=0,"",'[1]BASE'!GB53)</f>
      </c>
      <c r="Q53" s="1016">
        <f>IF('[1]BASE'!GC53=0,"",'[1]BASE'!GC53)</f>
      </c>
      <c r="R53" s="1016">
        <f>IF('[1]BASE'!GD53=0,"",'[1]BASE'!GD53)</f>
      </c>
      <c r="S53" s="1016">
        <f>IF('[1]BASE'!GE53=0,"",'[1]BASE'!GE53)</f>
      </c>
      <c r="T53" s="1017"/>
      <c r="U53" s="1013"/>
    </row>
    <row r="54" spans="2:21" s="1007" customFormat="1" ht="19.5" customHeight="1">
      <c r="B54" s="1008"/>
      <c r="C54" s="1018">
        <f>IF('[1]BASE'!C54=0,"",'[1]BASE'!C54)</f>
        <v>38</v>
      </c>
      <c r="D54" s="1018" t="str">
        <f>IF('[1]BASE'!D54=0,"",'[1]BASE'!D54)</f>
        <v>PUELCHES - HENDERSON 2 (B2)</v>
      </c>
      <c r="E54" s="1018">
        <f>IF('[1]BASE'!E54=0,"",'[1]BASE'!E54)</f>
        <v>500</v>
      </c>
      <c r="F54" s="1018">
        <f>IF('[1]BASE'!F54=0,"",'[1]BASE'!F54)</f>
        <v>421</v>
      </c>
      <c r="G54" s="1019" t="str">
        <f>IF('[1]BASE'!G54=0,"",'[1]BASE'!G54)</f>
        <v>A</v>
      </c>
      <c r="H54" s="1016" t="str">
        <f>IF('[1]BASE'!FT54=0,"",'[1]BASE'!FT54)</f>
        <v>XXXX</v>
      </c>
      <c r="I54" s="1016" t="str">
        <f>IF('[1]BASE'!FU54=0,"",'[1]BASE'!FU54)</f>
        <v>XXXX</v>
      </c>
      <c r="J54" s="1016" t="str">
        <f>IF('[1]BASE'!FV54=0,"",'[1]BASE'!FV54)</f>
        <v>XXXX</v>
      </c>
      <c r="K54" s="1016" t="str">
        <f>IF('[1]BASE'!FW54=0,"",'[1]BASE'!FW54)</f>
        <v>XXXX</v>
      </c>
      <c r="L54" s="1016" t="str">
        <f>IF('[1]BASE'!FX54=0,"",'[1]BASE'!FX54)</f>
        <v>XXXX</v>
      </c>
      <c r="M54" s="1016" t="str">
        <f>IF('[1]BASE'!FY54=0,"",'[1]BASE'!FY54)</f>
        <v>XXXX</v>
      </c>
      <c r="N54" s="1016" t="str">
        <f>IF('[1]BASE'!FZ54=0,"",'[1]BASE'!FZ54)</f>
        <v>XXXX</v>
      </c>
      <c r="O54" s="1016" t="str">
        <f>IF('[1]BASE'!GA54=0,"",'[1]BASE'!GA54)</f>
        <v>XXXX</v>
      </c>
      <c r="P54" s="1016" t="str">
        <f>IF('[1]BASE'!GB54=0,"",'[1]BASE'!GB54)</f>
        <v>XXXX</v>
      </c>
      <c r="Q54" s="1016" t="str">
        <f>IF('[1]BASE'!GC54=0,"",'[1]BASE'!GC54)</f>
        <v>XXXX</v>
      </c>
      <c r="R54" s="1016" t="str">
        <f>IF('[1]BASE'!GD54=0,"",'[1]BASE'!GD54)</f>
        <v>XXXX</v>
      </c>
      <c r="S54" s="1016" t="str">
        <f>IF('[1]BASE'!GE54=0,"",'[1]BASE'!GE54)</f>
        <v>XXXX</v>
      </c>
      <c r="T54" s="1017"/>
      <c r="U54" s="1013"/>
    </row>
    <row r="55" spans="2:21" s="1007" customFormat="1" ht="19.5" customHeight="1">
      <c r="B55" s="1008"/>
      <c r="C55" s="1020">
        <f>IF('[1]BASE'!C55=0,"",'[1]BASE'!C55)</f>
        <v>39</v>
      </c>
      <c r="D55" s="1020" t="str">
        <f>IF('[1]BASE'!D55=0,"",'[1]BASE'!D55)</f>
        <v>RECREO - MALVINAS ARG. </v>
      </c>
      <c r="E55" s="1020">
        <f>IF('[1]BASE'!E55=0,"",'[1]BASE'!E55)</f>
        <v>500</v>
      </c>
      <c r="F55" s="1020">
        <f>IF('[1]BASE'!F55=0,"",'[1]BASE'!F55)</f>
        <v>259</v>
      </c>
      <c r="G55" s="1021" t="str">
        <f>IF('[1]BASE'!G55=0,"",'[1]BASE'!G55)</f>
        <v>C</v>
      </c>
      <c r="H55" s="1016">
        <f>IF('[1]BASE'!FT55=0,"",'[1]BASE'!FT55)</f>
      </c>
      <c r="I55" s="1016">
        <f>IF('[1]BASE'!FU55=0,"",'[1]BASE'!FU55)</f>
      </c>
      <c r="J55" s="1016">
        <f>IF('[1]BASE'!FV55=0,"",'[1]BASE'!FV55)</f>
      </c>
      <c r="K55" s="1016">
        <f>IF('[1]BASE'!FW55=0,"",'[1]BASE'!FW55)</f>
      </c>
      <c r="L55" s="1016">
        <f>IF('[1]BASE'!FX55=0,"",'[1]BASE'!FX55)</f>
      </c>
      <c r="M55" s="1016">
        <f>IF('[1]BASE'!FY55=0,"",'[1]BASE'!FY55)</f>
      </c>
      <c r="N55" s="1016">
        <f>IF('[1]BASE'!FZ55=0,"",'[1]BASE'!FZ55)</f>
      </c>
      <c r="O55" s="1016">
        <f>IF('[1]BASE'!GA55=0,"",'[1]BASE'!GA55)</f>
      </c>
      <c r="P55" s="1016">
        <f>IF('[1]BASE'!GB55=0,"",'[1]BASE'!GB55)</f>
      </c>
      <c r="Q55" s="1016">
        <f>IF('[1]BASE'!GC55=0,"",'[1]BASE'!GC55)</f>
      </c>
      <c r="R55" s="1016">
        <f>IF('[1]BASE'!GD55=0,"",'[1]BASE'!GD55)</f>
      </c>
      <c r="S55" s="1016">
        <f>IF('[1]BASE'!GE55=0,"",'[1]BASE'!GE55)</f>
      </c>
      <c r="T55" s="1017"/>
      <c r="U55" s="1013"/>
    </row>
    <row r="56" spans="2:21" s="1007" customFormat="1" ht="19.5" customHeight="1">
      <c r="B56" s="1008"/>
      <c r="C56" s="1018">
        <f>IF('[1]BASE'!C56=0,"",'[1]BASE'!C56)</f>
        <v>40</v>
      </c>
      <c r="D56" s="1018" t="str">
        <f>IF('[1]BASE'!D56=0,"",'[1]BASE'!D56)</f>
        <v>RIO GRANDE - EMBALSE</v>
      </c>
      <c r="E56" s="1018">
        <f>IF('[1]BASE'!E56=0,"",'[1]BASE'!E56)</f>
        <v>500</v>
      </c>
      <c r="F56" s="1018">
        <f>IF('[1]BASE'!F56=0,"",'[1]BASE'!F56)</f>
        <v>30</v>
      </c>
      <c r="G56" s="1019" t="str">
        <f>IF('[1]BASE'!G56=0,"",'[1]BASE'!G56)</f>
        <v>B</v>
      </c>
      <c r="H56" s="1016">
        <f>IF('[1]BASE'!FT56=0,"",'[1]BASE'!FT56)</f>
      </c>
      <c r="I56" s="1016">
        <f>IF('[1]BASE'!FU56=0,"",'[1]BASE'!FU56)</f>
      </c>
      <c r="J56" s="1016">
        <f>IF('[1]BASE'!FV56=0,"",'[1]BASE'!FV56)</f>
      </c>
      <c r="K56" s="1016">
        <f>IF('[1]BASE'!FW56=0,"",'[1]BASE'!FW56)</f>
      </c>
      <c r="L56" s="1016">
        <f>IF('[1]BASE'!FX56=0,"",'[1]BASE'!FX56)</f>
      </c>
      <c r="M56" s="1016">
        <f>IF('[1]BASE'!FY56=0,"",'[1]BASE'!FY56)</f>
      </c>
      <c r="N56" s="1016">
        <f>IF('[1]BASE'!FZ56=0,"",'[1]BASE'!FZ56)</f>
      </c>
      <c r="O56" s="1016">
        <f>IF('[1]BASE'!GA56=0,"",'[1]BASE'!GA56)</f>
      </c>
      <c r="P56" s="1016">
        <f>IF('[1]BASE'!GB56=0,"",'[1]BASE'!GB56)</f>
      </c>
      <c r="Q56" s="1016">
        <f>IF('[1]BASE'!GC56=0,"",'[1]BASE'!GC56)</f>
      </c>
      <c r="R56" s="1016">
        <f>IF('[1]BASE'!GD56=0,"",'[1]BASE'!GD56)</f>
        <v>1</v>
      </c>
      <c r="S56" s="1016">
        <f>IF('[1]BASE'!GE56=0,"",'[1]BASE'!GE56)</f>
      </c>
      <c r="T56" s="1017"/>
      <c r="U56" s="1013"/>
    </row>
    <row r="57" spans="2:21" s="1007" customFormat="1" ht="19.5" customHeight="1">
      <c r="B57" s="1008"/>
      <c r="C57" s="1020">
        <f>IF('[1]BASE'!C57=0,"",'[1]BASE'!C57)</f>
        <v>41</v>
      </c>
      <c r="D57" s="1020" t="str">
        <f>IF('[1]BASE'!D57=0,"",'[1]BASE'!D57)</f>
        <v>RIO GRANDE - GRAN MENDOZA</v>
      </c>
      <c r="E57" s="1020">
        <f>IF('[1]BASE'!E57=0,"",'[1]BASE'!E57)</f>
        <v>500</v>
      </c>
      <c r="F57" s="1020">
        <f>IF('[1]BASE'!F57=0,"",'[1]BASE'!F57)</f>
        <v>407</v>
      </c>
      <c r="G57" s="1021" t="str">
        <f>IF('[1]BASE'!G57=0,"",'[1]BASE'!G57)</f>
        <v>B</v>
      </c>
      <c r="H57" s="1016" t="str">
        <f>IF('[1]BASE'!FT57=0,"",'[1]BASE'!FT57)</f>
        <v>XXXX</v>
      </c>
      <c r="I57" s="1016" t="str">
        <f>IF('[1]BASE'!FU57=0,"",'[1]BASE'!FU57)</f>
        <v>XXXX</v>
      </c>
      <c r="J57" s="1016" t="str">
        <f>IF('[1]BASE'!FV57=0,"",'[1]BASE'!FV57)</f>
        <v>XXXX</v>
      </c>
      <c r="K57" s="1016" t="str">
        <f>IF('[1]BASE'!FW57=0,"",'[1]BASE'!FW57)</f>
        <v>XXXX</v>
      </c>
      <c r="L57" s="1016" t="str">
        <f>IF('[1]BASE'!FX57=0,"",'[1]BASE'!FX57)</f>
        <v>XXXX</v>
      </c>
      <c r="M57" s="1016" t="str">
        <f>IF('[1]BASE'!FY57=0,"",'[1]BASE'!FY57)</f>
        <v>XXXX</v>
      </c>
      <c r="N57" s="1016" t="str">
        <f>IF('[1]BASE'!FZ57=0,"",'[1]BASE'!FZ57)</f>
        <v>XXXX</v>
      </c>
      <c r="O57" s="1016" t="str">
        <f>IF('[1]BASE'!GA57=0,"",'[1]BASE'!GA57)</f>
        <v>XXXX</v>
      </c>
      <c r="P57" s="1016" t="str">
        <f>IF('[1]BASE'!GB57=0,"",'[1]BASE'!GB57)</f>
        <v>XXXX</v>
      </c>
      <c r="Q57" s="1016" t="str">
        <f>IF('[1]BASE'!GC57=0,"",'[1]BASE'!GC57)</f>
        <v>XXXX</v>
      </c>
      <c r="R57" s="1016" t="str">
        <f>IF('[1]BASE'!GD57=0,"",'[1]BASE'!GD57)</f>
        <v>XXXX</v>
      </c>
      <c r="S57" s="1016" t="str">
        <f>IF('[1]BASE'!GE57=0,"",'[1]BASE'!GE57)</f>
        <v>XXXX</v>
      </c>
      <c r="T57" s="1017"/>
      <c r="U57" s="1013"/>
    </row>
    <row r="58" spans="2:21" s="1007" customFormat="1" ht="19.5" customHeight="1">
      <c r="B58" s="1008"/>
      <c r="C58" s="1018">
        <f>IF('[1]BASE'!C58=0,"",'[1]BASE'!C58)</f>
        <v>42</v>
      </c>
      <c r="D58" s="1018" t="str">
        <f>IF('[1]BASE'!D58=0,"",'[1]BASE'!D58)</f>
        <v>RIO GRANDE - LUJAN</v>
      </c>
      <c r="E58" s="1018">
        <f>IF('[1]BASE'!E58=0,"",'[1]BASE'!E58)</f>
        <v>500</v>
      </c>
      <c r="F58" s="1018">
        <f>IF('[1]BASE'!F58=0,"",'[1]BASE'!F58)</f>
        <v>150</v>
      </c>
      <c r="G58" s="1019" t="str">
        <f>IF('[1]BASE'!G58=0,"",'[1]BASE'!G58)</f>
        <v>A</v>
      </c>
      <c r="H58" s="1016">
        <f>IF('[1]BASE'!FT58=0,"",'[1]BASE'!FT58)</f>
      </c>
      <c r="I58" s="1016">
        <f>IF('[1]BASE'!FU58=0,"",'[1]BASE'!FU58)</f>
      </c>
      <c r="J58" s="1016">
        <f>IF('[1]BASE'!FV58=0,"",'[1]BASE'!FV58)</f>
      </c>
      <c r="K58" s="1016">
        <f>IF('[1]BASE'!FW58=0,"",'[1]BASE'!FW58)</f>
      </c>
      <c r="L58" s="1016">
        <f>IF('[1]BASE'!FX58=0,"",'[1]BASE'!FX58)</f>
      </c>
      <c r="M58" s="1016">
        <f>IF('[1]BASE'!FY58=0,"",'[1]BASE'!FY58)</f>
      </c>
      <c r="N58" s="1016">
        <f>IF('[1]BASE'!FZ58=0,"",'[1]BASE'!FZ58)</f>
      </c>
      <c r="O58" s="1016">
        <f>IF('[1]BASE'!GA58=0,"",'[1]BASE'!GA58)</f>
      </c>
      <c r="P58" s="1016">
        <f>IF('[1]BASE'!GB58=0,"",'[1]BASE'!GB58)</f>
      </c>
      <c r="Q58" s="1016">
        <f>IF('[1]BASE'!GC58=0,"",'[1]BASE'!GC58)</f>
      </c>
      <c r="R58" s="1016">
        <f>IF('[1]BASE'!GD58=0,"",'[1]BASE'!GD58)</f>
      </c>
      <c r="S58" s="1016">
        <f>IF('[1]BASE'!GE58=0,"",'[1]BASE'!GE58)</f>
        <v>3</v>
      </c>
      <c r="T58" s="1017"/>
      <c r="U58" s="1013"/>
    </row>
    <row r="59" spans="2:21" s="1007" customFormat="1" ht="19.5" customHeight="1">
      <c r="B59" s="1008"/>
      <c r="C59" s="1020">
        <f>IF('[1]BASE'!C59=0,"",'[1]BASE'!C59)</f>
        <v>43</v>
      </c>
      <c r="D59" s="1020" t="str">
        <f>IF('[1]BASE'!D59=0,"",'[1]BASE'!D59)</f>
        <v>LUJAN - GRAN MENDOZA</v>
      </c>
      <c r="E59" s="1020">
        <f>IF('[1]BASE'!E59=0,"",'[1]BASE'!E59)</f>
        <v>500</v>
      </c>
      <c r="F59" s="1020">
        <f>IF('[1]BASE'!F59=0,"",'[1]BASE'!F59)</f>
        <v>257</v>
      </c>
      <c r="G59" s="1021" t="str">
        <f>IF('[1]BASE'!G59=0,"",'[1]BASE'!G59)</f>
        <v>B</v>
      </c>
      <c r="H59" s="1016">
        <f>IF('[1]BASE'!FT59=0,"",'[1]BASE'!FT59)</f>
      </c>
      <c r="I59" s="1016">
        <f>IF('[1]BASE'!FU59=0,"",'[1]BASE'!FU59)</f>
      </c>
      <c r="J59" s="1016">
        <f>IF('[1]BASE'!FV59=0,"",'[1]BASE'!FV59)</f>
      </c>
      <c r="K59" s="1016">
        <f>IF('[1]BASE'!FW59=0,"",'[1]BASE'!FW59)</f>
      </c>
      <c r="L59" s="1016">
        <f>IF('[1]BASE'!FX59=0,"",'[1]BASE'!FX59)</f>
      </c>
      <c r="M59" s="1016">
        <f>IF('[1]BASE'!FY59=0,"",'[1]BASE'!FY59)</f>
      </c>
      <c r="N59" s="1016">
        <f>IF('[1]BASE'!FZ59=0,"",'[1]BASE'!FZ59)</f>
      </c>
      <c r="O59" s="1016">
        <f>IF('[1]BASE'!GA59=0,"",'[1]BASE'!GA59)</f>
      </c>
      <c r="P59" s="1016">
        <f>IF('[1]BASE'!GB59=0,"",'[1]BASE'!GB59)</f>
      </c>
      <c r="Q59" s="1016">
        <f>IF('[1]BASE'!GC59=0,"",'[1]BASE'!GC59)</f>
      </c>
      <c r="R59" s="1016">
        <f>IF('[1]BASE'!GD59=0,"",'[1]BASE'!GD59)</f>
      </c>
      <c r="S59" s="1016">
        <f>IF('[1]BASE'!GE59=0,"",'[1]BASE'!GE59)</f>
        <v>1</v>
      </c>
      <c r="T59" s="1017"/>
      <c r="U59" s="1013"/>
    </row>
    <row r="60" spans="2:21" s="1007" customFormat="1" ht="19.5" customHeight="1">
      <c r="B60" s="1008"/>
      <c r="C60" s="1018">
        <f>IF('[1]BASE'!C60=0,"",'[1]BASE'!C60)</f>
        <v>44</v>
      </c>
      <c r="D60" s="1018" t="str">
        <f>IF('[1]BASE'!D60=0,"",'[1]BASE'!D60)</f>
        <v>ROMANG - RESISTENCIA</v>
      </c>
      <c r="E60" s="1018">
        <f>IF('[1]BASE'!E60=0,"",'[1]BASE'!E60)</f>
        <v>500</v>
      </c>
      <c r="F60" s="1018">
        <f>IF('[1]BASE'!F60=0,"",'[1]BASE'!F60)</f>
        <v>256</v>
      </c>
      <c r="G60" s="1019" t="str">
        <f>IF('[1]BASE'!G60=0,"",'[1]BASE'!G60)</f>
        <v>A</v>
      </c>
      <c r="H60" s="1016">
        <f>IF('[1]BASE'!FT60=0,"",'[1]BASE'!FT60)</f>
      </c>
      <c r="I60" s="1016">
        <f>IF('[1]BASE'!FU60=0,"",'[1]BASE'!FU60)</f>
      </c>
      <c r="J60" s="1016">
        <f>IF('[1]BASE'!FV60=0,"",'[1]BASE'!FV60)</f>
      </c>
      <c r="K60" s="1016">
        <f>IF('[1]BASE'!FW60=0,"",'[1]BASE'!FW60)</f>
      </c>
      <c r="L60" s="1016">
        <f>IF('[1]BASE'!FX60=0,"",'[1]BASE'!FX60)</f>
      </c>
      <c r="M60" s="1016">
        <f>IF('[1]BASE'!FY60=0,"",'[1]BASE'!FY60)</f>
      </c>
      <c r="N60" s="1016">
        <f>IF('[1]BASE'!FZ60=0,"",'[1]BASE'!FZ60)</f>
      </c>
      <c r="O60" s="1016">
        <f>IF('[1]BASE'!GA60=0,"",'[1]BASE'!GA60)</f>
        <v>1</v>
      </c>
      <c r="P60" s="1016">
        <f>IF('[1]BASE'!GB60=0,"",'[1]BASE'!GB60)</f>
        <v>1</v>
      </c>
      <c r="Q60" s="1016">
        <f>IF('[1]BASE'!GC60=0,"",'[1]BASE'!GC60)</f>
      </c>
      <c r="R60" s="1016">
        <f>IF('[1]BASE'!GD60=0,"",'[1]BASE'!GD60)</f>
        <v>1</v>
      </c>
      <c r="S60" s="1016">
        <f>IF('[1]BASE'!GE60=0,"",'[1]BASE'!GE60)</f>
      </c>
      <c r="T60" s="1017"/>
      <c r="U60" s="1013"/>
    </row>
    <row r="61" spans="2:21" s="1007" customFormat="1" ht="19.5" customHeight="1">
      <c r="B61" s="1008"/>
      <c r="C61" s="1020">
        <f>IF('[1]BASE'!C61=0,"",'[1]BASE'!C61)</f>
        <v>45</v>
      </c>
      <c r="D61" s="1020" t="str">
        <f>IF('[1]BASE'!D61=0,"",'[1]BASE'!D61)</f>
        <v>ROSARIO OESTE -SANTO TOME</v>
      </c>
      <c r="E61" s="1020">
        <f>IF('[1]BASE'!E61=0,"",'[1]BASE'!E61)</f>
        <v>500</v>
      </c>
      <c r="F61" s="1020">
        <f>IF('[1]BASE'!F61=0,"",'[1]BASE'!F61)</f>
        <v>159</v>
      </c>
      <c r="G61" s="1021" t="str">
        <f>IF('[1]BASE'!G61=0,"",'[1]BASE'!G61)</f>
        <v>C</v>
      </c>
      <c r="H61" s="1016">
        <f>IF('[1]BASE'!FT61=0,"",'[1]BASE'!FT61)</f>
        <v>1</v>
      </c>
      <c r="I61" s="1016">
        <f>IF('[1]BASE'!FU61=0,"",'[1]BASE'!FU61)</f>
        <v>1</v>
      </c>
      <c r="J61" s="1016">
        <f>IF('[1]BASE'!FV61=0,"",'[1]BASE'!FV61)</f>
        <v>1</v>
      </c>
      <c r="K61" s="1016">
        <f>IF('[1]BASE'!FW61=0,"",'[1]BASE'!FW61)</f>
      </c>
      <c r="L61" s="1016">
        <f>IF('[1]BASE'!FX61=0,"",'[1]BASE'!FX61)</f>
      </c>
      <c r="M61" s="1016">
        <f>IF('[1]BASE'!FY61=0,"",'[1]BASE'!FY61)</f>
      </c>
      <c r="N61" s="1016">
        <f>IF('[1]BASE'!FZ61=0,"",'[1]BASE'!FZ61)</f>
      </c>
      <c r="O61" s="1016">
        <f>IF('[1]BASE'!GA61=0,"",'[1]BASE'!GA61)</f>
      </c>
      <c r="P61" s="1016">
        <f>IF('[1]BASE'!GB61=0,"",'[1]BASE'!GB61)</f>
        <v>1</v>
      </c>
      <c r="Q61" s="1016">
        <f>IF('[1]BASE'!GC61=0,"",'[1]BASE'!GC61)</f>
      </c>
      <c r="R61" s="1016">
        <f>IF('[1]BASE'!GD61=0,"",'[1]BASE'!GD61)</f>
      </c>
      <c r="S61" s="1016">
        <f>IF('[1]BASE'!GE61=0,"",'[1]BASE'!GE61)</f>
      </c>
      <c r="T61" s="1017"/>
      <c r="U61" s="1013"/>
    </row>
    <row r="62" spans="2:21" s="1007" customFormat="1" ht="19.5" customHeight="1">
      <c r="B62" s="1008"/>
      <c r="C62" s="1018">
        <f>IF('[1]BASE'!C62=0,"",'[1]BASE'!C62)</f>
        <v>46</v>
      </c>
      <c r="D62" s="1018" t="str">
        <f>IF('[1]BASE'!D62=0,"",'[1]BASE'!D62)</f>
        <v>SALTO GRANDE - SANTO TOME </v>
      </c>
      <c r="E62" s="1018">
        <f>IF('[1]BASE'!E62=0,"",'[1]BASE'!E62)</f>
        <v>500</v>
      </c>
      <c r="F62" s="1018">
        <f>IF('[1]BASE'!F62=0,"",'[1]BASE'!F62)</f>
        <v>289</v>
      </c>
      <c r="G62" s="1019" t="str">
        <f>IF('[1]BASE'!G62=0,"",'[1]BASE'!G62)</f>
        <v>C</v>
      </c>
      <c r="H62" s="1016">
        <f>IF('[1]BASE'!FT62=0,"",'[1]BASE'!FT62)</f>
      </c>
      <c r="I62" s="1016">
        <f>IF('[1]BASE'!FU62=0,"",'[1]BASE'!FU62)</f>
      </c>
      <c r="J62" s="1016">
        <f>IF('[1]BASE'!FV62=0,"",'[1]BASE'!FV62)</f>
      </c>
      <c r="K62" s="1016">
        <f>IF('[1]BASE'!FW62=0,"",'[1]BASE'!FW62)</f>
      </c>
      <c r="L62" s="1016">
        <f>IF('[1]BASE'!FX62=0,"",'[1]BASE'!FX62)</f>
      </c>
      <c r="M62" s="1016">
        <f>IF('[1]BASE'!FY62=0,"",'[1]BASE'!FY62)</f>
      </c>
      <c r="N62" s="1016">
        <f>IF('[1]BASE'!FZ62=0,"",'[1]BASE'!FZ62)</f>
      </c>
      <c r="O62" s="1016">
        <f>IF('[1]BASE'!GA62=0,"",'[1]BASE'!GA62)</f>
        <v>1</v>
      </c>
      <c r="P62" s="1016">
        <f>IF('[1]BASE'!GB62=0,"",'[1]BASE'!GB62)</f>
      </c>
      <c r="Q62" s="1016">
        <f>IF('[1]BASE'!GC62=0,"",'[1]BASE'!GC62)</f>
      </c>
      <c r="R62" s="1016">
        <f>IF('[1]BASE'!GD62=0,"",'[1]BASE'!GD62)</f>
      </c>
      <c r="S62" s="1016">
        <f>IF('[1]BASE'!GE62=0,"",'[1]BASE'!GE62)</f>
      </c>
      <c r="T62" s="1017"/>
      <c r="U62" s="1013"/>
    </row>
    <row r="63" spans="2:21" s="1007" customFormat="1" ht="19.5" customHeight="1">
      <c r="B63" s="1008"/>
      <c r="C63" s="1020">
        <f>IF('[1]BASE'!C63=0,"",'[1]BASE'!C63)</f>
        <v>47</v>
      </c>
      <c r="D63" s="1020" t="str">
        <f>IF('[1]BASE'!D63=0,"",'[1]BASE'!D63)</f>
        <v>SANTO TOME - ROMANG </v>
      </c>
      <c r="E63" s="1020">
        <f>IF('[1]BASE'!E63=0,"",'[1]BASE'!E63)</f>
        <v>500</v>
      </c>
      <c r="F63" s="1020">
        <f>IF('[1]BASE'!F63=0,"",'[1]BASE'!F63)</f>
        <v>270</v>
      </c>
      <c r="G63" s="1021" t="str">
        <f>IF('[1]BASE'!G63=0,"",'[1]BASE'!G63)</f>
        <v>A</v>
      </c>
      <c r="H63" s="1016">
        <f>IF('[1]BASE'!FT63=0,"",'[1]BASE'!FT63)</f>
      </c>
      <c r="I63" s="1016">
        <f>IF('[1]BASE'!FU63=0,"",'[1]BASE'!FU63)</f>
      </c>
      <c r="J63" s="1016">
        <f>IF('[1]BASE'!FV63=0,"",'[1]BASE'!FV63)</f>
      </c>
      <c r="K63" s="1016">
        <f>IF('[1]BASE'!FW63=0,"",'[1]BASE'!FW63)</f>
      </c>
      <c r="L63" s="1016">
        <f>IF('[1]BASE'!FX63=0,"",'[1]BASE'!FX63)</f>
      </c>
      <c r="M63" s="1016">
        <f>IF('[1]BASE'!FY63=0,"",'[1]BASE'!FY63)</f>
      </c>
      <c r="N63" s="1016">
        <f>IF('[1]BASE'!FZ63=0,"",'[1]BASE'!FZ63)</f>
      </c>
      <c r="O63" s="1016">
        <f>IF('[1]BASE'!GA63=0,"",'[1]BASE'!GA63)</f>
      </c>
      <c r="P63" s="1016">
        <f>IF('[1]BASE'!GB63=0,"",'[1]BASE'!GB63)</f>
      </c>
      <c r="Q63" s="1016">
        <f>IF('[1]BASE'!GC63=0,"",'[1]BASE'!GC63)</f>
      </c>
      <c r="R63" s="1016">
        <f>IF('[1]BASE'!GD63=0,"",'[1]BASE'!GD63)</f>
      </c>
      <c r="S63" s="1016">
        <f>IF('[1]BASE'!GE63=0,"",'[1]BASE'!GE63)</f>
      </c>
      <c r="T63" s="1017"/>
      <c r="U63" s="1013"/>
    </row>
    <row r="64" spans="2:21" s="1007" customFormat="1" ht="9.75" customHeight="1">
      <c r="B64" s="1008"/>
      <c r="C64" s="1018">
        <f>IF('[1]BASE'!C64=0,"",'[1]BASE'!C64)</f>
      </c>
      <c r="D64" s="1018">
        <f>IF('[1]BASE'!D64=0,"",'[1]BASE'!D64)</f>
      </c>
      <c r="E64" s="1018">
        <f>IF('[1]BASE'!E64=0,"",'[1]BASE'!E64)</f>
      </c>
      <c r="F64" s="1018">
        <f>IF('[1]BASE'!F64=0,"",'[1]BASE'!F64)</f>
      </c>
      <c r="G64" s="1019">
        <f>IF('[1]BASE'!G64=0,"",'[1]BASE'!G64)</f>
      </c>
      <c r="H64" s="1016">
        <f>IF('[1]BASE'!FT64=0,"",'[1]BASE'!FT64)</f>
      </c>
      <c r="I64" s="1016">
        <f>IF('[1]BASE'!FU64=0,"",'[1]BASE'!FU64)</f>
      </c>
      <c r="J64" s="1016">
        <f>IF('[1]BASE'!FV64=0,"",'[1]BASE'!FV64)</f>
      </c>
      <c r="K64" s="1016">
        <f>IF('[1]BASE'!FW64=0,"",'[1]BASE'!FW64)</f>
      </c>
      <c r="L64" s="1016">
        <f>IF('[1]BASE'!FX64=0,"",'[1]BASE'!FX64)</f>
      </c>
      <c r="M64" s="1016">
        <f>IF('[1]BASE'!FY64=0,"",'[1]BASE'!FY64)</f>
      </c>
      <c r="N64" s="1016">
        <f>IF('[1]BASE'!FZ64=0,"",'[1]BASE'!FZ64)</f>
      </c>
      <c r="O64" s="1016">
        <f>IF('[1]BASE'!GA64=0,"",'[1]BASE'!GA64)</f>
      </c>
      <c r="P64" s="1016">
        <f>IF('[1]BASE'!GB64=0,"",'[1]BASE'!GB64)</f>
      </c>
      <c r="Q64" s="1016">
        <f>IF('[1]BASE'!GC64=0,"",'[1]BASE'!GC64)</f>
      </c>
      <c r="R64" s="1016">
        <f>IF('[1]BASE'!GD64=0,"",'[1]BASE'!GD64)</f>
      </c>
      <c r="S64" s="1016">
        <f>IF('[1]BASE'!GE64=0,"",'[1]BASE'!GE64)</f>
      </c>
      <c r="T64" s="1017"/>
      <c r="U64" s="1013"/>
    </row>
    <row r="65" spans="2:21" s="1007" customFormat="1" ht="19.5" customHeight="1">
      <c r="B65" s="1008"/>
      <c r="C65" s="1020">
        <f>IF('[1]BASE'!C65=0,"",'[1]BASE'!C65)</f>
        <v>48</v>
      </c>
      <c r="D65" s="1020" t="str">
        <f>IF('[1]BASE'!D65=0,"",'[1]BASE'!D65)</f>
        <v>GRAL. RODRIGUEZ - VILLA  LIA 1</v>
      </c>
      <c r="E65" s="1020">
        <f>IF('[1]BASE'!E65=0,"",'[1]BASE'!E65)</f>
        <v>220</v>
      </c>
      <c r="F65" s="1020">
        <f>IF('[1]BASE'!F65=0,"",'[1]BASE'!F65)</f>
        <v>61</v>
      </c>
      <c r="G65" s="1021" t="str">
        <f>IF('[1]BASE'!G65=0,"",'[1]BASE'!G65)</f>
        <v>C</v>
      </c>
      <c r="H65" s="1016">
        <f>IF('[1]BASE'!FT65=0,"",'[1]BASE'!FT65)</f>
        <v>1</v>
      </c>
      <c r="I65" s="1016">
        <f>IF('[1]BASE'!FU65=0,"",'[1]BASE'!FU65)</f>
      </c>
      <c r="J65" s="1016">
        <f>IF('[1]BASE'!FV65=0,"",'[1]BASE'!FV65)</f>
        <v>1</v>
      </c>
      <c r="K65" s="1016">
        <f>IF('[1]BASE'!FW65=0,"",'[1]BASE'!FW65)</f>
      </c>
      <c r="L65" s="1016">
        <f>IF('[1]BASE'!FX65=0,"",'[1]BASE'!FX65)</f>
        <v>1</v>
      </c>
      <c r="M65" s="1016">
        <f>IF('[1]BASE'!FY65=0,"",'[1]BASE'!FY65)</f>
      </c>
      <c r="N65" s="1016">
        <f>IF('[1]BASE'!FZ65=0,"",'[1]BASE'!FZ65)</f>
      </c>
      <c r="O65" s="1016">
        <f>IF('[1]BASE'!GA65=0,"",'[1]BASE'!GA65)</f>
      </c>
      <c r="P65" s="1016">
        <f>IF('[1]BASE'!GB65=0,"",'[1]BASE'!GB65)</f>
      </c>
      <c r="Q65" s="1016">
        <f>IF('[1]BASE'!GC65=0,"",'[1]BASE'!GC65)</f>
      </c>
      <c r="R65" s="1016">
        <f>IF('[1]BASE'!GD65=0,"",'[1]BASE'!GD65)</f>
        <v>1</v>
      </c>
      <c r="S65" s="1016">
        <f>IF('[1]BASE'!GE65=0,"",'[1]BASE'!GE65)</f>
      </c>
      <c r="T65" s="1017"/>
      <c r="U65" s="1013"/>
    </row>
    <row r="66" spans="2:21" s="1007" customFormat="1" ht="19.5" customHeight="1">
      <c r="B66" s="1008"/>
      <c r="C66" s="1018">
        <f>IF('[1]BASE'!C66=0,"",'[1]BASE'!C66)</f>
        <v>49</v>
      </c>
      <c r="D66" s="1018" t="str">
        <f>IF('[1]BASE'!D66=0,"",'[1]BASE'!D66)</f>
        <v>GRAL. RODRIGUEZ - VILLA  LIA 2</v>
      </c>
      <c r="E66" s="1018">
        <f>IF('[1]BASE'!E66=0,"",'[1]BASE'!E66)</f>
        <v>220</v>
      </c>
      <c r="F66" s="1018">
        <f>IF('[1]BASE'!F66=0,"",'[1]BASE'!F66)</f>
        <v>61</v>
      </c>
      <c r="G66" s="1019" t="str">
        <f>IF('[1]BASE'!G66=0,"",'[1]BASE'!G66)</f>
        <v>C</v>
      </c>
      <c r="H66" s="1016">
        <f>IF('[1]BASE'!FT66=0,"",'[1]BASE'!FT66)</f>
      </c>
      <c r="I66" s="1016">
        <f>IF('[1]BASE'!FU66=0,"",'[1]BASE'!FU66)</f>
      </c>
      <c r="J66" s="1016">
        <f>IF('[1]BASE'!FV66=0,"",'[1]BASE'!FV66)</f>
      </c>
      <c r="K66" s="1016">
        <f>IF('[1]BASE'!FW66=0,"",'[1]BASE'!FW66)</f>
      </c>
      <c r="L66" s="1016">
        <f>IF('[1]BASE'!FX66=0,"",'[1]BASE'!FX66)</f>
      </c>
      <c r="M66" s="1016">
        <f>IF('[1]BASE'!FY66=0,"",'[1]BASE'!FY66)</f>
      </c>
      <c r="N66" s="1016">
        <f>IF('[1]BASE'!FZ66=0,"",'[1]BASE'!FZ66)</f>
      </c>
      <c r="O66" s="1016">
        <f>IF('[1]BASE'!GA66=0,"",'[1]BASE'!GA66)</f>
      </c>
      <c r="P66" s="1016">
        <f>IF('[1]BASE'!GB66=0,"",'[1]BASE'!GB66)</f>
      </c>
      <c r="Q66" s="1016">
        <f>IF('[1]BASE'!GC66=0,"",'[1]BASE'!GC66)</f>
      </c>
      <c r="R66" s="1016">
        <f>IF('[1]BASE'!GD66=0,"",'[1]BASE'!GD66)</f>
      </c>
      <c r="S66" s="1016">
        <f>IF('[1]BASE'!GE66=0,"",'[1]BASE'!GE66)</f>
      </c>
      <c r="T66" s="1017"/>
      <c r="U66" s="1013"/>
    </row>
    <row r="67" spans="2:21" s="1007" customFormat="1" ht="19.5" customHeight="1">
      <c r="B67" s="1008"/>
      <c r="C67" s="1020">
        <f>IF('[1]BASE'!C67=0,"",'[1]BASE'!C67)</f>
        <v>50</v>
      </c>
      <c r="D67" s="1020" t="str">
        <f>IF('[1]BASE'!D67=0,"",'[1]BASE'!D67)</f>
        <v>RAMALLO - SAN NICOLAS (2)</v>
      </c>
      <c r="E67" s="1020">
        <f>IF('[1]BASE'!E67=0,"",'[1]BASE'!E67)</f>
        <v>220</v>
      </c>
      <c r="F67" s="1020">
        <f>IF('[1]BASE'!F67=0,"",'[1]BASE'!F67)</f>
        <v>6</v>
      </c>
      <c r="G67" s="1021" t="str">
        <f>IF('[1]BASE'!G67=0,"",'[1]BASE'!G67)</f>
        <v>C</v>
      </c>
      <c r="H67" s="1016">
        <f>IF('[1]BASE'!FT67=0,"",'[1]BASE'!FT67)</f>
      </c>
      <c r="I67" s="1016">
        <f>IF('[1]BASE'!FU67=0,"",'[1]BASE'!FU67)</f>
      </c>
      <c r="J67" s="1016">
        <f>IF('[1]BASE'!FV67=0,"",'[1]BASE'!FV67)</f>
      </c>
      <c r="K67" s="1016">
        <f>IF('[1]BASE'!FW67=0,"",'[1]BASE'!FW67)</f>
      </c>
      <c r="L67" s="1016">
        <f>IF('[1]BASE'!FX67=0,"",'[1]BASE'!FX67)</f>
      </c>
      <c r="M67" s="1016">
        <f>IF('[1]BASE'!FY67=0,"",'[1]BASE'!FY67)</f>
      </c>
      <c r="N67" s="1016">
        <f>IF('[1]BASE'!FZ67=0,"",'[1]BASE'!FZ67)</f>
      </c>
      <c r="O67" s="1016">
        <f>IF('[1]BASE'!GA67=0,"",'[1]BASE'!GA67)</f>
      </c>
      <c r="P67" s="1016">
        <f>IF('[1]BASE'!GB67=0,"",'[1]BASE'!GB67)</f>
      </c>
      <c r="Q67" s="1016">
        <f>IF('[1]BASE'!GC67=0,"",'[1]BASE'!GC67)</f>
      </c>
      <c r="R67" s="1016">
        <f>IF('[1]BASE'!GD67=0,"",'[1]BASE'!GD67)</f>
      </c>
      <c r="S67" s="1016">
        <f>IF('[1]BASE'!GE67=0,"",'[1]BASE'!GE67)</f>
      </c>
      <c r="T67" s="1017"/>
      <c r="U67" s="1013"/>
    </row>
    <row r="68" spans="2:21" s="1007" customFormat="1" ht="19.5" customHeight="1">
      <c r="B68" s="1008"/>
      <c r="C68" s="1018">
        <f>IF('[1]BASE'!C68=0,"",'[1]BASE'!C68)</f>
        <v>51</v>
      </c>
      <c r="D68" s="1018" t="str">
        <f>IF('[1]BASE'!D68=0,"",'[1]BASE'!D68)</f>
        <v>RAMALLO - SAN NICOLAS (1)</v>
      </c>
      <c r="E68" s="1018">
        <f>IF('[1]BASE'!E68=0,"",'[1]BASE'!E68)</f>
        <v>220</v>
      </c>
      <c r="F68" s="1018">
        <f>IF('[1]BASE'!F68=0,"",'[1]BASE'!F68)</f>
        <v>6</v>
      </c>
      <c r="G68" s="1019" t="str">
        <f>IF('[1]BASE'!G68=0,"",'[1]BASE'!G68)</f>
        <v>C</v>
      </c>
      <c r="H68" s="1016">
        <f>IF('[1]BASE'!FT68=0,"",'[1]BASE'!FT68)</f>
      </c>
      <c r="I68" s="1016">
        <f>IF('[1]BASE'!FU68=0,"",'[1]BASE'!FU68)</f>
      </c>
      <c r="J68" s="1016">
        <f>IF('[1]BASE'!FV68=0,"",'[1]BASE'!FV68)</f>
      </c>
      <c r="K68" s="1016">
        <f>IF('[1]BASE'!FW68=0,"",'[1]BASE'!FW68)</f>
      </c>
      <c r="L68" s="1016">
        <f>IF('[1]BASE'!FX68=0,"",'[1]BASE'!FX68)</f>
      </c>
      <c r="M68" s="1016">
        <f>IF('[1]BASE'!FY68=0,"",'[1]BASE'!FY68)</f>
      </c>
      <c r="N68" s="1016">
        <f>IF('[1]BASE'!FZ68=0,"",'[1]BASE'!FZ68)</f>
      </c>
      <c r="O68" s="1016">
        <f>IF('[1]BASE'!GA68=0,"",'[1]BASE'!GA68)</f>
      </c>
      <c r="P68" s="1016">
        <f>IF('[1]BASE'!GB68=0,"",'[1]BASE'!GB68)</f>
      </c>
      <c r="Q68" s="1016">
        <f>IF('[1]BASE'!GC68=0,"",'[1]BASE'!GC68)</f>
      </c>
      <c r="R68" s="1016">
        <f>IF('[1]BASE'!GD68=0,"",'[1]BASE'!GD68)</f>
      </c>
      <c r="S68" s="1016">
        <f>IF('[1]BASE'!GE68=0,"",'[1]BASE'!GE68)</f>
      </c>
      <c r="T68" s="1017"/>
      <c r="U68" s="1013"/>
    </row>
    <row r="69" spans="2:21" s="1007" customFormat="1" ht="19.5" customHeight="1">
      <c r="B69" s="1008"/>
      <c r="C69" s="1020">
        <f>IF('[1]BASE'!C69=0,"",'[1]BASE'!C69)</f>
        <v>52</v>
      </c>
      <c r="D69" s="1020" t="str">
        <f>IF('[1]BASE'!D69=0,"",'[1]BASE'!D69)</f>
        <v>RAMALLO - VILLA LIA  1</v>
      </c>
      <c r="E69" s="1020">
        <f>IF('[1]BASE'!E69=0,"",'[1]BASE'!E69)</f>
        <v>220</v>
      </c>
      <c r="F69" s="1021">
        <f>IF('[1]BASE'!F69=0,"",'[1]BASE'!F69)</f>
        <v>114</v>
      </c>
      <c r="G69" s="1021" t="str">
        <f>IF('[1]BASE'!G69=0,"",'[1]BASE'!G69)</f>
        <v>C</v>
      </c>
      <c r="H69" s="1016">
        <f>IF('[1]BASE'!FT69=0,"",'[1]BASE'!FT69)</f>
      </c>
      <c r="I69" s="1016">
        <f>IF('[1]BASE'!FU69=0,"",'[1]BASE'!FU69)</f>
      </c>
      <c r="J69" s="1016">
        <f>IF('[1]BASE'!FV69=0,"",'[1]BASE'!FV69)</f>
      </c>
      <c r="K69" s="1016">
        <f>IF('[1]BASE'!FW69=0,"",'[1]BASE'!FW69)</f>
      </c>
      <c r="L69" s="1016">
        <f>IF('[1]BASE'!FX69=0,"",'[1]BASE'!FX69)</f>
      </c>
      <c r="M69" s="1016">
        <f>IF('[1]BASE'!FY69=0,"",'[1]BASE'!FY69)</f>
      </c>
      <c r="N69" s="1016">
        <f>IF('[1]BASE'!FZ69=0,"",'[1]BASE'!FZ69)</f>
      </c>
      <c r="O69" s="1016">
        <f>IF('[1]BASE'!GA69=0,"",'[1]BASE'!GA69)</f>
        <v>1</v>
      </c>
      <c r="P69" s="1016">
        <f>IF('[1]BASE'!GB69=0,"",'[1]BASE'!GB69)</f>
      </c>
      <c r="Q69" s="1016">
        <f>IF('[1]BASE'!GC69=0,"",'[1]BASE'!GC69)</f>
      </c>
      <c r="R69" s="1016">
        <f>IF('[1]BASE'!GD69=0,"",'[1]BASE'!GD69)</f>
        <v>2</v>
      </c>
      <c r="S69" s="1016">
        <f>IF('[1]BASE'!GE69=0,"",'[1]BASE'!GE69)</f>
      </c>
      <c r="T69" s="1017"/>
      <c r="U69" s="1013"/>
    </row>
    <row r="70" spans="2:21" s="1007" customFormat="1" ht="19.5" customHeight="1">
      <c r="B70" s="1008"/>
      <c r="C70" s="1018">
        <f>IF('[1]BASE'!C70=0,"",'[1]BASE'!C70)</f>
        <v>53</v>
      </c>
      <c r="D70" s="1018" t="str">
        <f>IF('[1]BASE'!D70=0,"",'[1]BASE'!D70)</f>
        <v>RAMALLO - VILLA LIA  2</v>
      </c>
      <c r="E70" s="1018">
        <f>IF('[1]BASE'!E70=0,"",'[1]BASE'!E70)</f>
        <v>220</v>
      </c>
      <c r="F70" s="1019">
        <f>IF('[1]BASE'!F70=0,"",'[1]BASE'!F70)</f>
        <v>114</v>
      </c>
      <c r="G70" s="1019" t="str">
        <f>IF('[1]BASE'!G70=0,"",'[1]BASE'!G70)</f>
        <v>C</v>
      </c>
      <c r="H70" s="1016">
        <f>IF('[1]BASE'!FT70=0,"",'[1]BASE'!FT70)</f>
      </c>
      <c r="I70" s="1016">
        <f>IF('[1]BASE'!FU70=0,"",'[1]BASE'!FU70)</f>
      </c>
      <c r="J70" s="1016">
        <f>IF('[1]BASE'!FV70=0,"",'[1]BASE'!FV70)</f>
      </c>
      <c r="K70" s="1016">
        <f>IF('[1]BASE'!FW70=0,"",'[1]BASE'!FW70)</f>
      </c>
      <c r="L70" s="1016">
        <f>IF('[1]BASE'!FX70=0,"",'[1]BASE'!FX70)</f>
        <v>1</v>
      </c>
      <c r="M70" s="1016">
        <f>IF('[1]BASE'!FY70=0,"",'[1]BASE'!FY70)</f>
      </c>
      <c r="N70" s="1016">
        <f>IF('[1]BASE'!FZ70=0,"",'[1]BASE'!FZ70)</f>
      </c>
      <c r="O70" s="1016">
        <f>IF('[1]BASE'!GA70=0,"",'[1]BASE'!GA70)</f>
      </c>
      <c r="P70" s="1016">
        <f>IF('[1]BASE'!GB70=0,"",'[1]BASE'!GB70)</f>
      </c>
      <c r="Q70" s="1016">
        <f>IF('[1]BASE'!GC70=0,"",'[1]BASE'!GC70)</f>
      </c>
      <c r="R70" s="1016">
        <f>IF('[1]BASE'!GD70=0,"",'[1]BASE'!GD70)</f>
      </c>
      <c r="S70" s="1016">
        <f>IF('[1]BASE'!GE70=0,"",'[1]BASE'!GE70)</f>
      </c>
      <c r="T70" s="1017"/>
      <c r="U70" s="1013"/>
    </row>
    <row r="71" spans="2:21" s="1007" customFormat="1" ht="19.5" customHeight="1">
      <c r="B71" s="1008"/>
      <c r="C71" s="1020">
        <f>IF('[1]BASE'!C71=0,"",'[1]BASE'!C71)</f>
        <v>54</v>
      </c>
      <c r="D71" s="1020" t="str">
        <f>IF('[1]BASE'!D71=0,"",'[1]BASE'!D71)</f>
        <v>ROSARIO OESTE - RAMALLO  1</v>
      </c>
      <c r="E71" s="1020">
        <f>IF('[1]BASE'!E71=0,"",'[1]BASE'!E71)</f>
        <v>220</v>
      </c>
      <c r="F71" s="1021">
        <f>IF('[1]BASE'!F71=0,"",'[1]BASE'!F71)</f>
        <v>77</v>
      </c>
      <c r="G71" s="1021" t="str">
        <f>IF('[1]BASE'!G71=0,"",'[1]BASE'!G71)</f>
        <v>C</v>
      </c>
      <c r="H71" s="1016">
        <f>IF('[1]BASE'!FT71=0,"",'[1]BASE'!FT71)</f>
      </c>
      <c r="I71" s="1016">
        <f>IF('[1]BASE'!FU71=0,"",'[1]BASE'!FU71)</f>
      </c>
      <c r="J71" s="1016">
        <f>IF('[1]BASE'!FV71=0,"",'[1]BASE'!FV71)</f>
      </c>
      <c r="K71" s="1016">
        <f>IF('[1]BASE'!FW71=0,"",'[1]BASE'!FW71)</f>
      </c>
      <c r="L71" s="1016">
        <f>IF('[1]BASE'!FX71=0,"",'[1]BASE'!FX71)</f>
      </c>
      <c r="M71" s="1016">
        <f>IF('[1]BASE'!FY71=0,"",'[1]BASE'!FY71)</f>
      </c>
      <c r="N71" s="1016">
        <f>IF('[1]BASE'!FZ71=0,"",'[1]BASE'!FZ71)</f>
      </c>
      <c r="O71" s="1016">
        <f>IF('[1]BASE'!GA71=0,"",'[1]BASE'!GA71)</f>
      </c>
      <c r="P71" s="1016">
        <f>IF('[1]BASE'!GB71=0,"",'[1]BASE'!GB71)</f>
      </c>
      <c r="Q71" s="1016">
        <f>IF('[1]BASE'!GC71=0,"",'[1]BASE'!GC71)</f>
      </c>
      <c r="R71" s="1016">
        <f>IF('[1]BASE'!GD71=0,"",'[1]BASE'!GD71)</f>
      </c>
      <c r="S71" s="1016">
        <f>IF('[1]BASE'!GE71=0,"",'[1]BASE'!GE71)</f>
      </c>
      <c r="T71" s="1017"/>
      <c r="U71" s="1013"/>
    </row>
    <row r="72" spans="2:21" s="1007" customFormat="1" ht="19.5" customHeight="1">
      <c r="B72" s="1008"/>
      <c r="C72" s="1018">
        <f>IF('[1]BASE'!C72=0,"",'[1]BASE'!C72)</f>
        <v>55</v>
      </c>
      <c r="D72" s="1018" t="str">
        <f>IF('[1]BASE'!D72=0,"",'[1]BASE'!D72)</f>
        <v>ROSARIO OESTE - RAMALLO  2</v>
      </c>
      <c r="E72" s="1018">
        <f>IF('[1]BASE'!E72=0,"",'[1]BASE'!E72)</f>
        <v>220</v>
      </c>
      <c r="F72" s="1019">
        <f>IF('[1]BASE'!F72=0,"",'[1]BASE'!F72)</f>
        <v>77</v>
      </c>
      <c r="G72" s="1019" t="str">
        <f>IF('[1]BASE'!G72=0,"",'[1]BASE'!G72)</f>
        <v>C</v>
      </c>
      <c r="H72" s="1016">
        <f>IF('[1]BASE'!FT72=0,"",'[1]BASE'!FT72)</f>
      </c>
      <c r="I72" s="1016">
        <f>IF('[1]BASE'!FU72=0,"",'[1]BASE'!FU72)</f>
      </c>
      <c r="J72" s="1016">
        <f>IF('[1]BASE'!FV72=0,"",'[1]BASE'!FV72)</f>
      </c>
      <c r="K72" s="1016">
        <f>IF('[1]BASE'!FW72=0,"",'[1]BASE'!FW72)</f>
      </c>
      <c r="L72" s="1016">
        <f>IF('[1]BASE'!FX72=0,"",'[1]BASE'!FX72)</f>
      </c>
      <c r="M72" s="1016">
        <f>IF('[1]BASE'!FY72=0,"",'[1]BASE'!FY72)</f>
      </c>
      <c r="N72" s="1016">
        <f>IF('[1]BASE'!FZ72=0,"",'[1]BASE'!FZ72)</f>
      </c>
      <c r="O72" s="1016">
        <f>IF('[1]BASE'!GA72=0,"",'[1]BASE'!GA72)</f>
      </c>
      <c r="P72" s="1016">
        <f>IF('[1]BASE'!GB72=0,"",'[1]BASE'!GB72)</f>
      </c>
      <c r="Q72" s="1016">
        <f>IF('[1]BASE'!GC72=0,"",'[1]BASE'!GC72)</f>
      </c>
      <c r="R72" s="1016">
        <f>IF('[1]BASE'!GD72=0,"",'[1]BASE'!GD72)</f>
      </c>
      <c r="S72" s="1016">
        <f>IF('[1]BASE'!GE72=0,"",'[1]BASE'!GE72)</f>
      </c>
      <c r="T72" s="1017"/>
      <c r="U72" s="1013"/>
    </row>
    <row r="73" spans="2:21" s="1007" customFormat="1" ht="19.5" customHeight="1">
      <c r="B73" s="1008"/>
      <c r="C73" s="1020">
        <f>IF('[1]BASE'!C73=0,"",'[1]BASE'!C73)</f>
        <v>56</v>
      </c>
      <c r="D73" s="1020" t="str">
        <f>IF('[1]BASE'!D73=0,"",'[1]BASE'!D73)</f>
        <v>VILLA LIA - ATUCHA 1</v>
      </c>
      <c r="E73" s="1020">
        <f>IF('[1]BASE'!E73=0,"",'[1]BASE'!E73)</f>
        <v>220</v>
      </c>
      <c r="F73" s="1020">
        <f>IF('[1]BASE'!F73=0,"",'[1]BASE'!F73)</f>
        <v>26</v>
      </c>
      <c r="G73" s="1021" t="str">
        <f>IF('[1]BASE'!G73=0,"",'[1]BASE'!G73)</f>
        <v>C</v>
      </c>
      <c r="H73" s="1016">
        <f>IF('[1]BASE'!FT73=0,"",'[1]BASE'!FT73)</f>
      </c>
      <c r="I73" s="1016">
        <f>IF('[1]BASE'!FU73=0,"",'[1]BASE'!FU73)</f>
      </c>
      <c r="J73" s="1016">
        <f>IF('[1]BASE'!FV73=0,"",'[1]BASE'!FV73)</f>
      </c>
      <c r="K73" s="1016">
        <f>IF('[1]BASE'!FW73=0,"",'[1]BASE'!FW73)</f>
      </c>
      <c r="L73" s="1016">
        <f>IF('[1]BASE'!FX73=0,"",'[1]BASE'!FX73)</f>
        <v>2</v>
      </c>
      <c r="M73" s="1016">
        <f>IF('[1]BASE'!FY73=0,"",'[1]BASE'!FY73)</f>
      </c>
      <c r="N73" s="1016">
        <f>IF('[1]BASE'!FZ73=0,"",'[1]BASE'!FZ73)</f>
      </c>
      <c r="O73" s="1016">
        <f>IF('[1]BASE'!GA73=0,"",'[1]BASE'!GA73)</f>
      </c>
      <c r="P73" s="1016">
        <f>IF('[1]BASE'!GB73=0,"",'[1]BASE'!GB73)</f>
      </c>
      <c r="Q73" s="1016">
        <f>IF('[1]BASE'!GC73=0,"",'[1]BASE'!GC73)</f>
      </c>
      <c r="R73" s="1016">
        <f>IF('[1]BASE'!GD73=0,"",'[1]BASE'!GD73)</f>
        <v>1</v>
      </c>
      <c r="S73" s="1016">
        <f>IF('[1]BASE'!GE73=0,"",'[1]BASE'!GE73)</f>
      </c>
      <c r="T73" s="1017"/>
      <c r="U73" s="1013"/>
    </row>
    <row r="74" spans="2:21" s="1007" customFormat="1" ht="19.5" customHeight="1">
      <c r="B74" s="1008"/>
      <c r="C74" s="1018">
        <f>IF('[1]BASE'!C74=0,"",'[1]BASE'!C74)</f>
        <v>57</v>
      </c>
      <c r="D74" s="1018" t="str">
        <f>IF('[1]BASE'!D74=0,"",'[1]BASE'!D74)</f>
        <v>VILLA LIA - ATUCHA 2</v>
      </c>
      <c r="E74" s="1018">
        <f>IF('[1]BASE'!E74=0,"",'[1]BASE'!E74)</f>
        <v>220</v>
      </c>
      <c r="F74" s="1018">
        <f>IF('[1]BASE'!F74=0,"",'[1]BASE'!F74)</f>
        <v>26</v>
      </c>
      <c r="G74" s="1019" t="str">
        <f>IF('[1]BASE'!G74=0,"",'[1]BASE'!G74)</f>
        <v>C</v>
      </c>
      <c r="H74" s="1016">
        <f>IF('[1]BASE'!FT74=0,"",'[1]BASE'!FT74)</f>
      </c>
      <c r="I74" s="1016">
        <f>IF('[1]BASE'!FU74=0,"",'[1]BASE'!FU74)</f>
      </c>
      <c r="J74" s="1016">
        <f>IF('[1]BASE'!FV74=0,"",'[1]BASE'!FV74)</f>
      </c>
      <c r="K74" s="1016">
        <f>IF('[1]BASE'!FW74=0,"",'[1]BASE'!FW74)</f>
      </c>
      <c r="L74" s="1016">
        <f>IF('[1]BASE'!FX74=0,"",'[1]BASE'!FX74)</f>
        <v>1</v>
      </c>
      <c r="M74" s="1016">
        <f>IF('[1]BASE'!FY74=0,"",'[1]BASE'!FY74)</f>
      </c>
      <c r="N74" s="1016">
        <f>IF('[1]BASE'!FZ74=0,"",'[1]BASE'!FZ74)</f>
      </c>
      <c r="O74" s="1016">
        <f>IF('[1]BASE'!GA74=0,"",'[1]BASE'!GA74)</f>
      </c>
      <c r="P74" s="1016">
        <f>IF('[1]BASE'!GB74=0,"",'[1]BASE'!GB74)</f>
      </c>
      <c r="Q74" s="1016">
        <f>IF('[1]BASE'!GC74=0,"",'[1]BASE'!GC74)</f>
      </c>
      <c r="R74" s="1016">
        <f>IF('[1]BASE'!GD74=0,"",'[1]BASE'!GD74)</f>
      </c>
      <c r="S74" s="1016">
        <f>IF('[1]BASE'!GE74=0,"",'[1]BASE'!GE74)</f>
      </c>
      <c r="T74" s="1017"/>
      <c r="U74" s="1013"/>
    </row>
    <row r="75" spans="2:21" s="1007" customFormat="1" ht="9.75" customHeight="1">
      <c r="B75" s="1008"/>
      <c r="C75" s="1020">
        <f>IF('[1]BASE'!C75=0,"",'[1]BASE'!C75)</f>
      </c>
      <c r="D75" s="1020">
        <f>IF('[1]BASE'!D75=0,"",'[1]BASE'!D75)</f>
      </c>
      <c r="E75" s="1020">
        <f>IF('[1]BASE'!E75=0,"",'[1]BASE'!E75)</f>
      </c>
      <c r="F75" s="1020">
        <f>IF('[1]BASE'!F75=0,"",'[1]BASE'!F75)</f>
      </c>
      <c r="G75" s="1021">
        <f>IF('[1]BASE'!G75=0,"",'[1]BASE'!G75)</f>
      </c>
      <c r="H75" s="1016">
        <f>IF('[1]BASE'!FT75=0,"",'[1]BASE'!FT75)</f>
      </c>
      <c r="I75" s="1016">
        <f>IF('[1]BASE'!FU75=0,"",'[1]BASE'!FU75)</f>
      </c>
      <c r="J75" s="1016">
        <f>IF('[1]BASE'!FV75=0,"",'[1]BASE'!FV75)</f>
      </c>
      <c r="K75" s="1016">
        <f>IF('[1]BASE'!FW75=0,"",'[1]BASE'!FW75)</f>
      </c>
      <c r="L75" s="1016">
        <f>IF('[1]BASE'!FX75=0,"",'[1]BASE'!FX75)</f>
      </c>
      <c r="M75" s="1016">
        <f>IF('[1]BASE'!FY75=0,"",'[1]BASE'!FY75)</f>
      </c>
      <c r="N75" s="1016">
        <f>IF('[1]BASE'!FZ75=0,"",'[1]BASE'!FZ75)</f>
      </c>
      <c r="O75" s="1016">
        <f>IF('[1]BASE'!GA75=0,"",'[1]BASE'!GA75)</f>
      </c>
      <c r="P75" s="1016">
        <f>IF('[1]BASE'!GB75=0,"",'[1]BASE'!GB75)</f>
      </c>
      <c r="Q75" s="1016">
        <f>IF('[1]BASE'!GC75=0,"",'[1]BASE'!GC75)</f>
      </c>
      <c r="R75" s="1016">
        <f>IF('[1]BASE'!GD75=0,"",'[1]BASE'!GD75)</f>
      </c>
      <c r="S75" s="1016">
        <f>IF('[1]BASE'!GE75=0,"",'[1]BASE'!GE75)</f>
      </c>
      <c r="T75" s="1017"/>
      <c r="U75" s="1013"/>
    </row>
    <row r="76" spans="2:21" s="1007" customFormat="1" ht="19.5" customHeight="1">
      <c r="B76" s="1008"/>
      <c r="C76" s="1018">
        <f>IF('[1]BASE'!C76=0,"",'[1]BASE'!C76)</f>
        <v>58</v>
      </c>
      <c r="D76" s="1018" t="str">
        <f>IF('[1]BASE'!D76=0,"",'[1]BASE'!D76)</f>
        <v>GRAL RODRIGUEZ - RAMALLO</v>
      </c>
      <c r="E76" s="1018">
        <f>IF('[1]BASE'!E76=0,"",'[1]BASE'!E76)</f>
        <v>500</v>
      </c>
      <c r="F76" s="1019">
        <f>IF('[1]BASE'!F76=0,"",'[1]BASE'!F76)</f>
        <v>183.9</v>
      </c>
      <c r="G76" s="1019" t="str">
        <f>IF('[1]BASE'!G76=0,"",'[1]BASE'!G76)</f>
        <v>C</v>
      </c>
      <c r="H76" s="1016">
        <f>IF('[1]BASE'!FT76=0,"",'[1]BASE'!FT76)</f>
      </c>
      <c r="I76" s="1016">
        <f>IF('[1]BASE'!FU76=0,"",'[1]BASE'!FU76)</f>
      </c>
      <c r="J76" s="1016">
        <f>IF('[1]BASE'!FV76=0,"",'[1]BASE'!FV76)</f>
      </c>
      <c r="K76" s="1016">
        <f>IF('[1]BASE'!FW76=0,"",'[1]BASE'!FW76)</f>
      </c>
      <c r="L76" s="1016">
        <f>IF('[1]BASE'!FX76=0,"",'[1]BASE'!FX76)</f>
      </c>
      <c r="M76" s="1016">
        <f>IF('[1]BASE'!FY76=0,"",'[1]BASE'!FY76)</f>
      </c>
      <c r="N76" s="1016">
        <f>IF('[1]BASE'!FZ76=0,"",'[1]BASE'!FZ76)</f>
      </c>
      <c r="O76" s="1016">
        <f>IF('[1]BASE'!GA76=0,"",'[1]BASE'!GA76)</f>
      </c>
      <c r="P76" s="1016">
        <f>IF('[1]BASE'!GB76=0,"",'[1]BASE'!GB76)</f>
      </c>
      <c r="Q76" s="1016">
        <f>IF('[1]BASE'!GC76=0,"",'[1]BASE'!GC76)</f>
        <v>1</v>
      </c>
      <c r="R76" s="1016">
        <f>IF('[1]BASE'!GD76=0,"",'[1]BASE'!GD76)</f>
      </c>
      <c r="S76" s="1016">
        <f>IF('[1]BASE'!GE76=0,"",'[1]BASE'!GE76)</f>
        <v>2</v>
      </c>
      <c r="T76" s="1017"/>
      <c r="U76" s="1013"/>
    </row>
    <row r="77" spans="2:21" s="1007" customFormat="1" ht="19.5" customHeight="1">
      <c r="B77" s="1008"/>
      <c r="C77" s="1020">
        <f>IF('[1]BASE'!C77=0,"",'[1]BASE'!C77)</f>
        <v>59</v>
      </c>
      <c r="D77" s="1020" t="str">
        <f>IF('[1]BASE'!D77=0,"",'[1]BASE'!D77)</f>
        <v>RAMALLO - ROSARIO OESTE</v>
      </c>
      <c r="E77" s="1020">
        <f>IF('[1]BASE'!E77=0,"",'[1]BASE'!E77)</f>
        <v>500</v>
      </c>
      <c r="F77" s="1021">
        <f>IF('[1]BASE'!F77=0,"",'[1]BASE'!F77)</f>
        <v>77</v>
      </c>
      <c r="G77" s="1021" t="str">
        <f>IF('[1]BASE'!G77=0,"",'[1]BASE'!G77)</f>
        <v>C</v>
      </c>
      <c r="H77" s="1016">
        <f>IF('[1]BASE'!FT77=0,"",'[1]BASE'!FT77)</f>
      </c>
      <c r="I77" s="1016">
        <f>IF('[1]BASE'!FU77=0,"",'[1]BASE'!FU77)</f>
      </c>
      <c r="J77" s="1016">
        <f>IF('[1]BASE'!FV77=0,"",'[1]BASE'!FV77)</f>
      </c>
      <c r="K77" s="1016">
        <f>IF('[1]BASE'!FW77=0,"",'[1]BASE'!FW77)</f>
      </c>
      <c r="L77" s="1016">
        <f>IF('[1]BASE'!FX77=0,"",'[1]BASE'!FX77)</f>
      </c>
      <c r="M77" s="1016">
        <f>IF('[1]BASE'!FY77=0,"",'[1]BASE'!FY77)</f>
      </c>
      <c r="N77" s="1016">
        <f>IF('[1]BASE'!FZ77=0,"",'[1]BASE'!FZ77)</f>
      </c>
      <c r="O77" s="1016">
        <f>IF('[1]BASE'!GA77=0,"",'[1]BASE'!GA77)</f>
      </c>
      <c r="P77" s="1016">
        <f>IF('[1]BASE'!GB77=0,"",'[1]BASE'!GB77)</f>
      </c>
      <c r="Q77" s="1016">
        <f>IF('[1]BASE'!GC77=0,"",'[1]BASE'!GC77)</f>
      </c>
      <c r="R77" s="1016">
        <f>IF('[1]BASE'!GD77=0,"",'[1]BASE'!GD77)</f>
      </c>
      <c r="S77" s="1016">
        <f>IF('[1]BASE'!GE77=0,"",'[1]BASE'!GE77)</f>
      </c>
      <c r="T77" s="1017"/>
      <c r="U77" s="1013"/>
    </row>
    <row r="78" spans="2:21" s="1007" customFormat="1" ht="19.5" customHeight="1">
      <c r="B78" s="1008"/>
      <c r="C78" s="1018">
        <f>IF('[1]BASE'!C78=0,"",'[1]BASE'!C78)</f>
        <v>60</v>
      </c>
      <c r="D78" s="1018" t="str">
        <f>IF('[1]BASE'!D78=0,"",'[1]BASE'!D78)</f>
        <v>MACACHIN - HENDERSON</v>
      </c>
      <c r="E78" s="1018">
        <f>IF('[1]BASE'!E78=0,"",'[1]BASE'!E78)</f>
        <v>500</v>
      </c>
      <c r="F78" s="1019">
        <f>IF('[1]BASE'!F78=0,"",'[1]BASE'!F78)</f>
        <v>194</v>
      </c>
      <c r="G78" s="1019" t="str">
        <f>IF('[1]BASE'!G78=0,"",'[1]BASE'!G78)</f>
        <v>A</v>
      </c>
      <c r="H78" s="1016">
        <f>IF('[1]BASE'!FT78=0,"",'[1]BASE'!FT78)</f>
      </c>
      <c r="I78" s="1016">
        <f>IF('[1]BASE'!FU78=0,"",'[1]BASE'!FU78)</f>
      </c>
      <c r="J78" s="1016">
        <f>IF('[1]BASE'!FV78=0,"",'[1]BASE'!FV78)</f>
      </c>
      <c r="K78" s="1016">
        <f>IF('[1]BASE'!FW78=0,"",'[1]BASE'!FW78)</f>
      </c>
      <c r="L78" s="1016">
        <f>IF('[1]BASE'!FX78=0,"",'[1]BASE'!FX78)</f>
      </c>
      <c r="M78" s="1016">
        <f>IF('[1]BASE'!FY78=0,"",'[1]BASE'!FY78)</f>
      </c>
      <c r="N78" s="1016">
        <f>IF('[1]BASE'!FZ78=0,"",'[1]BASE'!FZ78)</f>
      </c>
      <c r="O78" s="1016">
        <f>IF('[1]BASE'!GA78=0,"",'[1]BASE'!GA78)</f>
      </c>
      <c r="P78" s="1016">
        <f>IF('[1]BASE'!GB78=0,"",'[1]BASE'!GB78)</f>
      </c>
      <c r="Q78" s="1016">
        <f>IF('[1]BASE'!GC78=0,"",'[1]BASE'!GC78)</f>
      </c>
      <c r="R78" s="1016">
        <f>IF('[1]BASE'!GD78=0,"",'[1]BASE'!GD78)</f>
      </c>
      <c r="S78" s="1016">
        <f>IF('[1]BASE'!GE78=0,"",'[1]BASE'!GE78)</f>
      </c>
      <c r="T78" s="1017"/>
      <c r="U78" s="1013"/>
    </row>
    <row r="79" spans="2:21" s="1007" customFormat="1" ht="19.5" customHeight="1">
      <c r="B79" s="1008"/>
      <c r="C79" s="1020">
        <f>IF('[1]BASE'!C79=0,"",'[1]BASE'!C79)</f>
        <v>61</v>
      </c>
      <c r="D79" s="1020" t="str">
        <f>IF('[1]BASE'!D79=0,"",'[1]BASE'!D79)</f>
        <v>PUELCHES - MACACHIN</v>
      </c>
      <c r="E79" s="1020">
        <f>IF('[1]BASE'!E79=0,"",'[1]BASE'!E79)</f>
        <v>500</v>
      </c>
      <c r="F79" s="1020">
        <f>IF('[1]BASE'!F79=0,"",'[1]BASE'!F79)</f>
        <v>227</v>
      </c>
      <c r="G79" s="1021" t="str">
        <f>IF('[1]BASE'!G79=0,"",'[1]BASE'!G79)</f>
        <v>A</v>
      </c>
      <c r="H79" s="1016">
        <f>IF('[1]BASE'!FT79=0,"",'[1]BASE'!FT79)</f>
      </c>
      <c r="I79" s="1016">
        <f>IF('[1]BASE'!FU79=0,"",'[1]BASE'!FU79)</f>
      </c>
      <c r="J79" s="1016">
        <f>IF('[1]BASE'!FV79=0,"",'[1]BASE'!FV79)</f>
      </c>
      <c r="K79" s="1016">
        <f>IF('[1]BASE'!FW79=0,"",'[1]BASE'!FW79)</f>
      </c>
      <c r="L79" s="1016">
        <f>IF('[1]BASE'!FX79=0,"",'[1]BASE'!FX79)</f>
      </c>
      <c r="M79" s="1016">
        <f>IF('[1]BASE'!FY79=0,"",'[1]BASE'!FY79)</f>
      </c>
      <c r="N79" s="1016">
        <f>IF('[1]BASE'!FZ79=0,"",'[1]BASE'!FZ79)</f>
      </c>
      <c r="O79" s="1016">
        <f>IF('[1]BASE'!GA79=0,"",'[1]BASE'!GA79)</f>
      </c>
      <c r="P79" s="1016">
        <f>IF('[1]BASE'!GB79=0,"",'[1]BASE'!GB79)</f>
      </c>
      <c r="Q79" s="1016">
        <f>IF('[1]BASE'!GC79=0,"",'[1]BASE'!GC79)</f>
        <v>1</v>
      </c>
      <c r="R79" s="1016">
        <f>IF('[1]BASE'!GD79=0,"",'[1]BASE'!GD79)</f>
      </c>
      <c r="S79" s="1016">
        <f>IF('[1]BASE'!GE79=0,"",'[1]BASE'!GE79)</f>
      </c>
      <c r="T79" s="1017"/>
      <c r="U79" s="1013"/>
    </row>
    <row r="80" spans="2:21" s="1007" customFormat="1" ht="9.75" customHeight="1">
      <c r="B80" s="1008"/>
      <c r="C80" s="1018">
        <f>IF('[1]BASE'!C80=0,"",'[1]BASE'!C80)</f>
      </c>
      <c r="D80" s="1018">
        <f>IF('[1]BASE'!D80=0,"",'[1]BASE'!D80)</f>
      </c>
      <c r="E80" s="1018">
        <f>IF('[1]BASE'!E80=0,"",'[1]BASE'!E80)</f>
      </c>
      <c r="F80" s="1019">
        <f>IF('[1]BASE'!F80=0,"",'[1]BASE'!F80)</f>
      </c>
      <c r="G80" s="1019">
        <f>IF('[1]BASE'!G80=0,"",'[1]BASE'!G80)</f>
      </c>
      <c r="H80" s="1016">
        <f>IF('[1]BASE'!FT80=0,"",'[1]BASE'!FT80)</f>
      </c>
      <c r="I80" s="1016">
        <f>IF('[1]BASE'!FU80=0,"",'[1]BASE'!FU80)</f>
      </c>
      <c r="J80" s="1016">
        <f>IF('[1]BASE'!FV80=0,"",'[1]BASE'!FV80)</f>
      </c>
      <c r="K80" s="1016">
        <f>IF('[1]BASE'!FW80=0,"",'[1]BASE'!FW80)</f>
      </c>
      <c r="L80" s="1016">
        <f>IF('[1]BASE'!FX80=0,"",'[1]BASE'!FX80)</f>
      </c>
      <c r="M80" s="1016">
        <f>IF('[1]BASE'!FY80=0,"",'[1]BASE'!FY80)</f>
      </c>
      <c r="N80" s="1016">
        <f>IF('[1]BASE'!FZ80=0,"",'[1]BASE'!FZ80)</f>
      </c>
      <c r="O80" s="1016">
        <f>IF('[1]BASE'!GA80=0,"",'[1]BASE'!GA80)</f>
      </c>
      <c r="P80" s="1016">
        <f>IF('[1]BASE'!GB80=0,"",'[1]BASE'!GB80)</f>
      </c>
      <c r="Q80" s="1016">
        <f>IF('[1]BASE'!GC80=0,"",'[1]BASE'!GC80)</f>
      </c>
      <c r="R80" s="1016">
        <f>IF('[1]BASE'!GD80=0,"",'[1]BASE'!GD80)</f>
      </c>
      <c r="S80" s="1016">
        <f>IF('[1]BASE'!GE80=0,"",'[1]BASE'!GE80)</f>
      </c>
      <c r="T80" s="1017"/>
      <c r="U80" s="1013"/>
    </row>
    <row r="81" spans="2:21" s="1007" customFormat="1" ht="9.75" customHeight="1">
      <c r="B81" s="1008"/>
      <c r="C81" s="1020">
        <f>IF('[1]BASE'!C81=0,"",'[1]BASE'!C81)</f>
      </c>
      <c r="D81" s="1020">
        <f>IF('[1]BASE'!D81=0,"",'[1]BASE'!D81)</f>
      </c>
      <c r="E81" s="1020">
        <f>IF('[1]BASE'!E81=0,"",'[1]BASE'!E81)</f>
      </c>
      <c r="F81" s="1021">
        <f>IF('[1]BASE'!F81=0,"",'[1]BASE'!F81)</f>
      </c>
      <c r="G81" s="1021">
        <f>IF('[1]BASE'!G81=0,"",'[1]BASE'!G81)</f>
      </c>
      <c r="H81" s="1016">
        <f>IF('[1]BASE'!FT81=0,"",'[1]BASE'!FT81)</f>
      </c>
      <c r="I81" s="1016">
        <f>IF('[1]BASE'!FU81=0,"",'[1]BASE'!FU81)</f>
      </c>
      <c r="J81" s="1016">
        <f>IF('[1]BASE'!FV81=0,"",'[1]BASE'!FV81)</f>
      </c>
      <c r="K81" s="1016">
        <f>IF('[1]BASE'!FW81=0,"",'[1]BASE'!FW81)</f>
      </c>
      <c r="L81" s="1016">
        <f>IF('[1]BASE'!FX81=0,"",'[1]BASE'!FX81)</f>
      </c>
      <c r="M81" s="1016">
        <f>IF('[1]BASE'!FY81=0,"",'[1]BASE'!FY81)</f>
      </c>
      <c r="N81" s="1016">
        <f>IF('[1]BASE'!FZ81=0,"",'[1]BASE'!FZ81)</f>
      </c>
      <c r="O81" s="1016">
        <f>IF('[1]BASE'!GA81=0,"",'[1]BASE'!GA81)</f>
      </c>
      <c r="P81" s="1016">
        <f>IF('[1]BASE'!GB81=0,"",'[1]BASE'!GB81)</f>
      </c>
      <c r="Q81" s="1016">
        <f>IF('[1]BASE'!GC81=0,"",'[1]BASE'!GC81)</f>
      </c>
      <c r="R81" s="1016">
        <f>IF('[1]BASE'!GD81=0,"",'[1]BASE'!GD81)</f>
      </c>
      <c r="S81" s="1016">
        <f>IF('[1]BASE'!GE81=0,"",'[1]BASE'!GE81)</f>
      </c>
      <c r="T81" s="1017"/>
      <c r="U81" s="1013"/>
    </row>
    <row r="82" spans="2:21" s="1007" customFormat="1" ht="19.5" customHeight="1">
      <c r="B82" s="1008"/>
      <c r="C82" s="1018">
        <f>IF('[1]BASE'!C82=0,"",'[1]BASE'!C82)</f>
        <v>62</v>
      </c>
      <c r="D82" s="1018" t="str">
        <f>IF('[1]BASE'!D82=0,"",'[1]BASE'!D82)</f>
        <v>YACYRETÁ - RINCON I</v>
      </c>
      <c r="E82" s="1018">
        <f>IF('[1]BASE'!E82=0,"",'[1]BASE'!E82)</f>
        <v>500</v>
      </c>
      <c r="F82" s="1019">
        <f>IF('[1]BASE'!F82=0,"",'[1]BASE'!F82)</f>
        <v>3.6</v>
      </c>
      <c r="G82" s="1019" t="str">
        <f>IF('[1]BASE'!G82=0,"",'[1]BASE'!G82)</f>
        <v>B</v>
      </c>
      <c r="H82" s="1016">
        <f>IF('[1]BASE'!FT82=0,"",'[1]BASE'!FT82)</f>
      </c>
      <c r="I82" s="1016">
        <f>IF('[1]BASE'!FU82=0,"",'[1]BASE'!FU82)</f>
      </c>
      <c r="J82" s="1016">
        <f>IF('[1]BASE'!FV82=0,"",'[1]BASE'!FV82)</f>
      </c>
      <c r="K82" s="1016">
        <f>IF('[1]BASE'!FW82=0,"",'[1]BASE'!FW82)</f>
      </c>
      <c r="L82" s="1016">
        <f>IF('[1]BASE'!FX82=0,"",'[1]BASE'!FX82)</f>
      </c>
      <c r="M82" s="1016">
        <f>IF('[1]BASE'!FY82=0,"",'[1]BASE'!FY82)</f>
      </c>
      <c r="N82" s="1016">
        <f>IF('[1]BASE'!FZ82=0,"",'[1]BASE'!FZ82)</f>
      </c>
      <c r="O82" s="1016">
        <f>IF('[1]BASE'!GA82=0,"",'[1]BASE'!GA82)</f>
      </c>
      <c r="P82" s="1016">
        <f>IF('[1]BASE'!GB82=0,"",'[1]BASE'!GB82)</f>
      </c>
      <c r="Q82" s="1016">
        <f>IF('[1]BASE'!GC82=0,"",'[1]BASE'!GC82)</f>
      </c>
      <c r="R82" s="1016">
        <f>IF('[1]BASE'!GD82=0,"",'[1]BASE'!GD82)</f>
      </c>
      <c r="S82" s="1016">
        <f>IF('[1]BASE'!GE82=0,"",'[1]BASE'!GE82)</f>
      </c>
      <c r="T82" s="1017"/>
      <c r="U82" s="1013"/>
    </row>
    <row r="83" spans="2:21" s="1007" customFormat="1" ht="19.5" customHeight="1">
      <c r="B83" s="1008"/>
      <c r="C83" s="1020">
        <f>IF('[1]BASE'!C83=0,"",'[1]BASE'!C83)</f>
        <v>63</v>
      </c>
      <c r="D83" s="1020" t="str">
        <f>IF('[1]BASE'!D83=0,"",'[1]BASE'!D83)</f>
        <v>YACYRETÁ - RINCON II</v>
      </c>
      <c r="E83" s="1020">
        <f>IF('[1]BASE'!E83=0,"",'[1]BASE'!E83)</f>
        <v>500</v>
      </c>
      <c r="F83" s="1020">
        <f>IF('[1]BASE'!F83=0,"",'[1]BASE'!F83)</f>
        <v>3.6</v>
      </c>
      <c r="G83" s="1021" t="str">
        <f>IF('[1]BASE'!G83=0,"",'[1]BASE'!G83)</f>
        <v>B</v>
      </c>
      <c r="H83" s="1016">
        <f>IF('[1]BASE'!FT83=0,"",'[1]BASE'!FT83)</f>
      </c>
      <c r="I83" s="1016">
        <f>IF('[1]BASE'!FU83=0,"",'[1]BASE'!FU83)</f>
      </c>
      <c r="J83" s="1016">
        <f>IF('[1]BASE'!FV83=0,"",'[1]BASE'!FV83)</f>
      </c>
      <c r="K83" s="1016">
        <f>IF('[1]BASE'!FW83=0,"",'[1]BASE'!FW83)</f>
      </c>
      <c r="L83" s="1016">
        <f>IF('[1]BASE'!FX83=0,"",'[1]BASE'!FX83)</f>
      </c>
      <c r="M83" s="1016">
        <f>IF('[1]BASE'!FY83=0,"",'[1]BASE'!FY83)</f>
      </c>
      <c r="N83" s="1016">
        <f>IF('[1]BASE'!FZ83=0,"",'[1]BASE'!FZ83)</f>
      </c>
      <c r="O83" s="1016">
        <f>IF('[1]BASE'!GA83=0,"",'[1]BASE'!GA83)</f>
      </c>
      <c r="P83" s="1016">
        <f>IF('[1]BASE'!GB83=0,"",'[1]BASE'!GB83)</f>
      </c>
      <c r="Q83" s="1016">
        <f>IF('[1]BASE'!GC83=0,"",'[1]BASE'!GC83)</f>
      </c>
      <c r="R83" s="1016">
        <f>IF('[1]BASE'!GD83=0,"",'[1]BASE'!GD83)</f>
      </c>
      <c r="S83" s="1016">
        <f>IF('[1]BASE'!GE83=0,"",'[1]BASE'!GE83)</f>
      </c>
      <c r="T83" s="1017"/>
      <c r="U83" s="1013"/>
    </row>
    <row r="84" spans="2:21" s="1007" customFormat="1" ht="19.5" customHeight="1">
      <c r="B84" s="1008"/>
      <c r="C84" s="1018">
        <f>IF('[1]BASE'!C84=0,"",'[1]BASE'!C84)</f>
        <v>64</v>
      </c>
      <c r="D84" s="1018" t="str">
        <f>IF('[1]BASE'!D84=0,"",'[1]BASE'!D84)</f>
        <v>YACYRETÁ - RINCON III</v>
      </c>
      <c r="E84" s="1018">
        <f>IF('[1]BASE'!E84=0,"",'[1]BASE'!E84)</f>
        <v>500</v>
      </c>
      <c r="F84" s="1019">
        <f>IF('[1]BASE'!F84=0,"",'[1]BASE'!F84)</f>
        <v>3.6</v>
      </c>
      <c r="G84" s="1019" t="str">
        <f>IF('[1]BASE'!G84=0,"",'[1]BASE'!G84)</f>
        <v>B</v>
      </c>
      <c r="H84" s="1016">
        <f>IF('[1]BASE'!FT84=0,"",'[1]BASE'!FT84)</f>
      </c>
      <c r="I84" s="1016">
        <f>IF('[1]BASE'!FU84=0,"",'[1]BASE'!FU84)</f>
      </c>
      <c r="J84" s="1016">
        <f>IF('[1]BASE'!FV84=0,"",'[1]BASE'!FV84)</f>
      </c>
      <c r="K84" s="1016">
        <f>IF('[1]BASE'!FW84=0,"",'[1]BASE'!FW84)</f>
      </c>
      <c r="L84" s="1016">
        <f>IF('[1]BASE'!FX84=0,"",'[1]BASE'!FX84)</f>
      </c>
      <c r="M84" s="1016">
        <f>IF('[1]BASE'!FY84=0,"",'[1]BASE'!FY84)</f>
      </c>
      <c r="N84" s="1016">
        <f>IF('[1]BASE'!FZ84=0,"",'[1]BASE'!FZ84)</f>
      </c>
      <c r="O84" s="1016">
        <f>IF('[1]BASE'!GA84=0,"",'[1]BASE'!GA84)</f>
      </c>
      <c r="P84" s="1016">
        <f>IF('[1]BASE'!GB84=0,"",'[1]BASE'!GB84)</f>
      </c>
      <c r="Q84" s="1016">
        <f>IF('[1]BASE'!GC84=0,"",'[1]BASE'!GC84)</f>
      </c>
      <c r="R84" s="1016">
        <f>IF('[1]BASE'!GD84=0,"",'[1]BASE'!GD84)</f>
      </c>
      <c r="S84" s="1016">
        <f>IF('[1]BASE'!GE84=0,"",'[1]BASE'!GE84)</f>
      </c>
      <c r="T84" s="1017"/>
      <c r="U84" s="1013"/>
    </row>
    <row r="85" spans="2:21" s="1007" customFormat="1" ht="19.5" customHeight="1">
      <c r="B85" s="1008"/>
      <c r="C85" s="1020">
        <f>IF('[1]BASE'!C85=0,"",'[1]BASE'!C85)</f>
        <v>65</v>
      </c>
      <c r="D85" s="1020" t="str">
        <f>IF('[1]BASE'!D85=0,"",'[1]BASE'!D85)</f>
        <v>RINCON - PASO DE LA PATRIA</v>
      </c>
      <c r="E85" s="1020">
        <f>IF('[1]BASE'!E85=0,"",'[1]BASE'!E85)</f>
        <v>500</v>
      </c>
      <c r="F85" s="1021">
        <f>IF('[1]BASE'!F85=0,"",'[1]BASE'!F85)</f>
        <v>227</v>
      </c>
      <c r="G85" s="1021" t="str">
        <f>IF('[1]BASE'!G85=0,"",'[1]BASE'!G85)</f>
        <v>A</v>
      </c>
      <c r="H85" s="1016">
        <f>IF('[1]BASE'!FT85=0,"",'[1]BASE'!FT85)</f>
      </c>
      <c r="I85" s="1016">
        <f>IF('[1]BASE'!FU85=0,"",'[1]BASE'!FU85)</f>
      </c>
      <c r="J85" s="1016">
        <f>IF('[1]BASE'!FV85=0,"",'[1]BASE'!FV85)</f>
      </c>
      <c r="K85" s="1016">
        <f>IF('[1]BASE'!FW85=0,"",'[1]BASE'!FW85)</f>
      </c>
      <c r="L85" s="1016">
        <f>IF('[1]BASE'!FX85=0,"",'[1]BASE'!FX85)</f>
      </c>
      <c r="M85" s="1016">
        <f>IF('[1]BASE'!FY85=0,"",'[1]BASE'!FY85)</f>
      </c>
      <c r="N85" s="1016">
        <f>IF('[1]BASE'!FZ85=0,"",'[1]BASE'!FZ85)</f>
      </c>
      <c r="O85" s="1016">
        <f>IF('[1]BASE'!GA85=0,"",'[1]BASE'!GA85)</f>
      </c>
      <c r="P85" s="1016">
        <f>IF('[1]BASE'!GB85=0,"",'[1]BASE'!GB85)</f>
      </c>
      <c r="Q85" s="1016">
        <f>IF('[1]BASE'!GC85=0,"",'[1]BASE'!GC85)</f>
      </c>
      <c r="R85" s="1016">
        <f>IF('[1]BASE'!GD85=0,"",'[1]BASE'!GD85)</f>
      </c>
      <c r="S85" s="1016">
        <f>IF('[1]BASE'!GE85=0,"",'[1]BASE'!GE85)</f>
      </c>
      <c r="T85" s="1017"/>
      <c r="U85" s="1013"/>
    </row>
    <row r="86" spans="2:21" s="1007" customFormat="1" ht="19.5" customHeight="1">
      <c r="B86" s="1008"/>
      <c r="C86" s="1018">
        <f>IF('[1]BASE'!C86=0,"",'[1]BASE'!C86)</f>
        <v>66</v>
      </c>
      <c r="D86" s="1018" t="str">
        <f>IF('[1]BASE'!D86=0,"",'[1]BASE'!D86)</f>
        <v>PASO DE LA PATRIA - RESISTENCIA</v>
      </c>
      <c r="E86" s="1018">
        <f>IF('[1]BASE'!E86=0,"",'[1]BASE'!E86)</f>
        <v>500</v>
      </c>
      <c r="F86" s="1019">
        <f>IF('[1]BASE'!F86=0,"",'[1]BASE'!F86)</f>
        <v>40</v>
      </c>
      <c r="G86" s="1019" t="str">
        <f>IF('[1]BASE'!G86=0,"",'[1]BASE'!G86)</f>
        <v>C</v>
      </c>
      <c r="H86" s="1016">
        <f>IF('[1]BASE'!FT86=0,"",'[1]BASE'!FT86)</f>
      </c>
      <c r="I86" s="1016">
        <f>IF('[1]BASE'!FU86=0,"",'[1]BASE'!FU86)</f>
      </c>
      <c r="J86" s="1016">
        <f>IF('[1]BASE'!FV86=0,"",'[1]BASE'!FV86)</f>
      </c>
      <c r="K86" s="1016">
        <f>IF('[1]BASE'!FW86=0,"",'[1]BASE'!FW86)</f>
      </c>
      <c r="L86" s="1016">
        <f>IF('[1]BASE'!FX86=0,"",'[1]BASE'!FX86)</f>
      </c>
      <c r="M86" s="1016">
        <f>IF('[1]BASE'!FY86=0,"",'[1]BASE'!FY86)</f>
      </c>
      <c r="N86" s="1016">
        <f>IF('[1]BASE'!FZ86=0,"",'[1]BASE'!FZ86)</f>
      </c>
      <c r="O86" s="1016">
        <f>IF('[1]BASE'!GA86=0,"",'[1]BASE'!GA86)</f>
      </c>
      <c r="P86" s="1016">
        <f>IF('[1]BASE'!GB86=0,"",'[1]BASE'!GB86)</f>
      </c>
      <c r="Q86" s="1016">
        <f>IF('[1]BASE'!GC86=0,"",'[1]BASE'!GC86)</f>
      </c>
      <c r="R86" s="1016">
        <f>IF('[1]BASE'!GD86=0,"",'[1]BASE'!GD86)</f>
      </c>
      <c r="S86" s="1016">
        <f>IF('[1]BASE'!GE86=0,"",'[1]BASE'!GE86)</f>
      </c>
      <c r="T86" s="1017"/>
      <c r="U86" s="1013"/>
    </row>
    <row r="87" spans="2:21" s="1007" customFormat="1" ht="19.5" customHeight="1">
      <c r="B87" s="1008"/>
      <c r="C87" s="1020">
        <f>IF('[1]BASE'!C87=0,"",'[1]BASE'!C87)</f>
        <v>67</v>
      </c>
      <c r="D87" s="1020" t="str">
        <f>IF('[1]BASE'!D87=0,"",'[1]BASE'!D87)</f>
        <v>RINCON - RESISTENCIA</v>
      </c>
      <c r="E87" s="1020">
        <f>IF('[1]BASE'!E87=0,"",'[1]BASE'!E87)</f>
        <v>500</v>
      </c>
      <c r="F87" s="1020">
        <f>IF('[1]BASE'!F87=0,"",'[1]BASE'!F87)</f>
        <v>267</v>
      </c>
      <c r="G87" s="1021" t="str">
        <f>IF('[1]BASE'!G87=0,"",'[1]BASE'!G87)</f>
        <v>B</v>
      </c>
      <c r="H87" s="1016" t="str">
        <f>IF('[1]BASE'!FT87=0,"",'[1]BASE'!FT87)</f>
        <v>XXXX</v>
      </c>
      <c r="I87" s="1016" t="str">
        <f>IF('[1]BASE'!FU87=0,"",'[1]BASE'!FU87)</f>
        <v>XXXX</v>
      </c>
      <c r="J87" s="1016" t="str">
        <f>IF('[1]BASE'!FV87=0,"",'[1]BASE'!FV87)</f>
        <v>XXXX</v>
      </c>
      <c r="K87" s="1016" t="str">
        <f>IF('[1]BASE'!FW87=0,"",'[1]BASE'!FW87)</f>
        <v>XXXX</v>
      </c>
      <c r="L87" s="1016" t="str">
        <f>IF('[1]BASE'!FX87=0,"",'[1]BASE'!FX87)</f>
        <v>XXXX</v>
      </c>
      <c r="M87" s="1016" t="str">
        <f>IF('[1]BASE'!FY87=0,"",'[1]BASE'!FY87)</f>
        <v>XXXX</v>
      </c>
      <c r="N87" s="1016" t="str">
        <f>IF('[1]BASE'!FZ87=0,"",'[1]BASE'!FZ87)</f>
        <v>XXXX</v>
      </c>
      <c r="O87" s="1016" t="str">
        <f>IF('[1]BASE'!GA87=0,"",'[1]BASE'!GA87)</f>
        <v>XXXX</v>
      </c>
      <c r="P87" s="1016" t="str">
        <f>IF('[1]BASE'!GB87=0,"",'[1]BASE'!GB87)</f>
        <v>XXXX</v>
      </c>
      <c r="Q87" s="1016" t="str">
        <f>IF('[1]BASE'!GC87=0,"",'[1]BASE'!GC87)</f>
        <v>XXXX</v>
      </c>
      <c r="R87" s="1016" t="str">
        <f>IF('[1]BASE'!GD87=0,"",'[1]BASE'!GD87)</f>
        <v>XXXX</v>
      </c>
      <c r="S87" s="1016" t="str">
        <f>IF('[1]BASE'!GE87=0,"",'[1]BASE'!GE87)</f>
        <v>XXXX</v>
      </c>
      <c r="T87" s="1017"/>
      <c r="U87" s="1013"/>
    </row>
    <row r="88" spans="2:21" s="1007" customFormat="1" ht="9.75" customHeight="1">
      <c r="B88" s="1008"/>
      <c r="C88" s="1018">
        <f>IF('[1]BASE'!C88=0,"",'[1]BASE'!C88)</f>
      </c>
      <c r="D88" s="1018">
        <f>IF('[1]BASE'!D88=0,"",'[1]BASE'!D88)</f>
      </c>
      <c r="E88" s="1018">
        <f>IF('[1]BASE'!E88=0,"",'[1]BASE'!E88)</f>
      </c>
      <c r="F88" s="1019">
        <f>IF('[1]BASE'!F88=0,"",'[1]BASE'!F88)</f>
      </c>
      <c r="G88" s="1019">
        <f>IF('[1]BASE'!G88=0,"",'[1]BASE'!G88)</f>
      </c>
      <c r="H88" s="1016">
        <f>IF('[1]BASE'!FT88=0,"",'[1]BASE'!FT88)</f>
      </c>
      <c r="I88" s="1016">
        <f>IF('[1]BASE'!FU88=0,"",'[1]BASE'!FU88)</f>
      </c>
      <c r="J88" s="1016">
        <f>IF('[1]BASE'!FV88=0,"",'[1]BASE'!FV88)</f>
      </c>
      <c r="K88" s="1016">
        <f>IF('[1]BASE'!FW88=0,"",'[1]BASE'!FW88)</f>
      </c>
      <c r="L88" s="1016">
        <f>IF('[1]BASE'!FX88=0,"",'[1]BASE'!FX88)</f>
      </c>
      <c r="M88" s="1016">
        <f>IF('[1]BASE'!FY88=0,"",'[1]BASE'!FY88)</f>
      </c>
      <c r="N88" s="1016">
        <f>IF('[1]BASE'!FZ88=0,"",'[1]BASE'!FZ88)</f>
      </c>
      <c r="O88" s="1016">
        <f>IF('[1]BASE'!GA88=0,"",'[1]BASE'!GA88)</f>
      </c>
      <c r="P88" s="1016">
        <f>IF('[1]BASE'!GB88=0,"",'[1]BASE'!GB88)</f>
      </c>
      <c r="Q88" s="1016">
        <f>IF('[1]BASE'!GC88=0,"",'[1]BASE'!GC88)</f>
      </c>
      <c r="R88" s="1016">
        <f>IF('[1]BASE'!GD88=0,"",'[1]BASE'!GD88)</f>
      </c>
      <c r="S88" s="1016">
        <f>IF('[1]BASE'!GE88=0,"",'[1]BASE'!GE88)</f>
      </c>
      <c r="T88" s="1017"/>
      <c r="U88" s="1013"/>
    </row>
    <row r="89" spans="2:21" s="1007" customFormat="1" ht="19.5" customHeight="1">
      <c r="B89" s="1008"/>
      <c r="C89" s="1020">
        <f>IF('[1]BASE'!C89=0,"",'[1]BASE'!C89)</f>
        <v>68</v>
      </c>
      <c r="D89" s="1020" t="str">
        <f>IF('[1]BASE'!D89=0,"",'[1]BASE'!D89)</f>
        <v>RINCON - SALTO GRANDE</v>
      </c>
      <c r="E89" s="1020">
        <f>IF('[1]BASE'!E89=0,"",'[1]BASE'!E89)</f>
        <v>500</v>
      </c>
      <c r="F89" s="1021">
        <f>IF('[1]BASE'!F89=0,"",'[1]BASE'!F89)</f>
        <v>506</v>
      </c>
      <c r="G89" s="1021" t="str">
        <f>IF('[1]BASE'!G89=0,"",'[1]BASE'!G89)</f>
        <v>A</v>
      </c>
      <c r="H89" s="1016">
        <f>IF('[1]BASE'!FT89=0,"",'[1]BASE'!FT89)</f>
      </c>
      <c r="I89" s="1016">
        <f>IF('[1]BASE'!FU89=0,"",'[1]BASE'!FU89)</f>
      </c>
      <c r="J89" s="1016">
        <f>IF('[1]BASE'!FV89=0,"",'[1]BASE'!FV89)</f>
      </c>
      <c r="K89" s="1016">
        <f>IF('[1]BASE'!FW89=0,"",'[1]BASE'!FW89)</f>
      </c>
      <c r="L89" s="1016">
        <f>IF('[1]BASE'!FX89=0,"",'[1]BASE'!FX89)</f>
      </c>
      <c r="M89" s="1016">
        <f>IF('[1]BASE'!FY89=0,"",'[1]BASE'!FY89)</f>
      </c>
      <c r="N89" s="1016">
        <f>IF('[1]BASE'!FZ89=0,"",'[1]BASE'!FZ89)</f>
      </c>
      <c r="O89" s="1016">
        <f>IF('[1]BASE'!GA89=0,"",'[1]BASE'!GA89)</f>
      </c>
      <c r="P89" s="1016">
        <f>IF('[1]BASE'!GB89=0,"",'[1]BASE'!GB89)</f>
      </c>
      <c r="Q89" s="1016">
        <f>IF('[1]BASE'!GC89=0,"",'[1]BASE'!GC89)</f>
      </c>
      <c r="R89" s="1016">
        <f>IF('[1]BASE'!GD89=0,"",'[1]BASE'!GD89)</f>
      </c>
      <c r="S89" s="1016">
        <f>IF('[1]BASE'!GE89=0,"",'[1]BASE'!GE89)</f>
      </c>
      <c r="T89" s="1017"/>
      <c r="U89" s="1013"/>
    </row>
    <row r="90" spans="2:21" s="1007" customFormat="1" ht="19.5" customHeight="1">
      <c r="B90" s="1008"/>
      <c r="C90" s="1018">
        <f>IF('[1]BASE'!C90=0,"",'[1]BASE'!C90)</f>
        <v>69</v>
      </c>
      <c r="D90" s="1018" t="str">
        <f>IF('[1]BASE'!D90=0,"",'[1]BASE'!D90)</f>
        <v>RINCON - SAN ISIDRO</v>
      </c>
      <c r="E90" s="1018">
        <f>IF('[1]BASE'!E90=0,"",'[1]BASE'!E90)</f>
        <v>500</v>
      </c>
      <c r="F90" s="1019">
        <f>IF('[1]BASE'!F90=0,"",'[1]BASE'!F90)</f>
        <v>85</v>
      </c>
      <c r="G90" s="1019" t="str">
        <f>IF('[1]BASE'!G90=0,"",'[1]BASE'!G90)</f>
        <v>C</v>
      </c>
      <c r="H90" s="1016">
        <f>IF('[1]BASE'!FT90=0,"",'[1]BASE'!FT90)</f>
      </c>
      <c r="I90" s="1016">
        <f>IF('[1]BASE'!FU90=0,"",'[1]BASE'!FU90)</f>
      </c>
      <c r="J90" s="1016">
        <f>IF('[1]BASE'!FV90=0,"",'[1]BASE'!FV90)</f>
      </c>
      <c r="K90" s="1016">
        <f>IF('[1]BASE'!FW90=0,"",'[1]BASE'!FW90)</f>
      </c>
      <c r="L90" s="1016">
        <f>IF('[1]BASE'!FX90=0,"",'[1]BASE'!FX90)</f>
      </c>
      <c r="M90" s="1016">
        <f>IF('[1]BASE'!FY90=0,"",'[1]BASE'!FY90)</f>
      </c>
      <c r="N90" s="1016">
        <f>IF('[1]BASE'!FZ90=0,"",'[1]BASE'!FZ90)</f>
      </c>
      <c r="O90" s="1016">
        <f>IF('[1]BASE'!GA90=0,"",'[1]BASE'!GA90)</f>
      </c>
      <c r="P90" s="1016">
        <f>IF('[1]BASE'!GB90=0,"",'[1]BASE'!GB90)</f>
      </c>
      <c r="Q90" s="1016">
        <f>IF('[1]BASE'!GC90=0,"",'[1]BASE'!GC90)</f>
      </c>
      <c r="R90" s="1016">
        <f>IF('[1]BASE'!GD90=0,"",'[1]BASE'!GD90)</f>
      </c>
      <c r="S90" s="1016">
        <f>IF('[1]BASE'!GE90=0,"",'[1]BASE'!GE90)</f>
      </c>
      <c r="T90" s="1017"/>
      <c r="U90" s="1013"/>
    </row>
    <row r="91" spans="2:21" s="1007" customFormat="1" ht="9.75" customHeight="1">
      <c r="B91" s="1008"/>
      <c r="C91" s="1020">
        <f>IF('[1]BASE'!C91=0,"",'[1]BASE'!C91)</f>
      </c>
      <c r="D91" s="1020">
        <f>IF('[1]BASE'!D91=0,"",'[1]BASE'!D91)</f>
      </c>
      <c r="E91" s="1020">
        <f>IF('[1]BASE'!E91=0,"",'[1]BASE'!E91)</f>
      </c>
      <c r="F91" s="1020">
        <f>IF('[1]BASE'!F91=0,"",'[1]BASE'!F91)</f>
      </c>
      <c r="G91" s="1021">
        <f>IF('[1]BASE'!G91=0,"",'[1]BASE'!G91)</f>
      </c>
      <c r="H91" s="1016">
        <f>IF('[1]BASE'!FT91=0,"",'[1]BASE'!FT91)</f>
      </c>
      <c r="I91" s="1016">
        <f>IF('[1]BASE'!FU91=0,"",'[1]BASE'!FU91)</f>
      </c>
      <c r="J91" s="1016">
        <f>IF('[1]BASE'!FV91=0,"",'[1]BASE'!FV91)</f>
      </c>
      <c r="K91" s="1016">
        <f>IF('[1]BASE'!FW91=0,"",'[1]BASE'!FW91)</f>
      </c>
      <c r="L91" s="1016">
        <f>IF('[1]BASE'!FX91=0,"",'[1]BASE'!FX91)</f>
      </c>
      <c r="M91" s="1016">
        <f>IF('[1]BASE'!FY91=0,"",'[1]BASE'!FY91)</f>
      </c>
      <c r="N91" s="1016">
        <f>IF('[1]BASE'!FZ91=0,"",'[1]BASE'!FZ91)</f>
      </c>
      <c r="O91" s="1016">
        <f>IF('[1]BASE'!GA91=0,"",'[1]BASE'!GA91)</f>
      </c>
      <c r="P91" s="1016">
        <f>IF('[1]BASE'!GB91=0,"",'[1]BASE'!GB91)</f>
      </c>
      <c r="Q91" s="1016">
        <f>IF('[1]BASE'!GC91=0,"",'[1]BASE'!GC91)</f>
      </c>
      <c r="R91" s="1016">
        <f>IF('[1]BASE'!GD91=0,"",'[1]BASE'!GD91)</f>
      </c>
      <c r="S91" s="1016">
        <f>IF('[1]BASE'!GE91=0,"",'[1]BASE'!GE91)</f>
      </c>
      <c r="T91" s="1017"/>
      <c r="U91" s="1013"/>
    </row>
    <row r="92" spans="2:21" s="1007" customFormat="1" ht="9.75" customHeight="1" thickBot="1">
      <c r="B92" s="1008"/>
      <c r="C92" s="1022"/>
      <c r="D92" s="1022"/>
      <c r="E92" s="1022"/>
      <c r="F92" s="1022"/>
      <c r="G92" s="1023"/>
      <c r="H92" s="1024"/>
      <c r="I92" s="1024"/>
      <c r="J92" s="1024"/>
      <c r="K92" s="1024"/>
      <c r="L92" s="1024"/>
      <c r="M92" s="1024"/>
      <c r="N92" s="1024"/>
      <c r="O92" s="1024"/>
      <c r="P92" s="1024"/>
      <c r="Q92" s="1024"/>
      <c r="R92" s="1024"/>
      <c r="S92" s="1024"/>
      <c r="T92" s="1017"/>
      <c r="U92" s="1013"/>
    </row>
    <row r="93" spans="2:21" s="1007" customFormat="1" ht="19.5" customHeight="1" thickBot="1" thickTop="1">
      <c r="B93" s="1008"/>
      <c r="C93" s="1025"/>
      <c r="D93" s="1026"/>
      <c r="E93" s="1027" t="s">
        <v>371</v>
      </c>
      <c r="F93" s="1028">
        <f>SUM(F16:F92)-F46-F57-F78-F79-F87</f>
        <v>9666.7</v>
      </c>
      <c r="G93" s="1029"/>
      <c r="H93" s="1030"/>
      <c r="I93" s="1030"/>
      <c r="J93" s="1030"/>
      <c r="K93" s="1030"/>
      <c r="L93" s="1030"/>
      <c r="M93" s="1030"/>
      <c r="N93" s="1030"/>
      <c r="O93" s="1030"/>
      <c r="P93" s="1030"/>
      <c r="Q93" s="1030"/>
      <c r="R93" s="1030"/>
      <c r="S93" s="1030"/>
      <c r="T93" s="1017"/>
      <c r="U93" s="1013"/>
    </row>
    <row r="94" spans="2:21" s="1007" customFormat="1" ht="19.5" customHeight="1" thickBot="1" thickTop="1">
      <c r="B94" s="1008"/>
      <c r="C94" s="1031"/>
      <c r="D94" s="1032"/>
      <c r="E94" s="1033"/>
      <c r="F94" s="1034" t="s">
        <v>372</v>
      </c>
      <c r="H94" s="1035">
        <f aca="true" t="shared" si="0" ref="H94:S94">SUM(H17:H92)</f>
        <v>3</v>
      </c>
      <c r="I94" s="1035">
        <f t="shared" si="0"/>
        <v>1</v>
      </c>
      <c r="J94" s="1035">
        <f t="shared" si="0"/>
        <v>2</v>
      </c>
      <c r="K94" s="1035">
        <f t="shared" si="0"/>
        <v>1</v>
      </c>
      <c r="L94" s="1035">
        <f t="shared" si="0"/>
        <v>8</v>
      </c>
      <c r="M94" s="1035">
        <f t="shared" si="0"/>
        <v>2</v>
      </c>
      <c r="N94" s="1035">
        <f t="shared" si="0"/>
        <v>0</v>
      </c>
      <c r="O94" s="1035">
        <f t="shared" si="0"/>
        <v>5</v>
      </c>
      <c r="P94" s="1035">
        <f t="shared" si="0"/>
        <v>6</v>
      </c>
      <c r="Q94" s="1035">
        <f t="shared" si="0"/>
        <v>6</v>
      </c>
      <c r="R94" s="1035">
        <f t="shared" si="0"/>
        <v>6</v>
      </c>
      <c r="S94" s="1035">
        <f t="shared" si="0"/>
        <v>9</v>
      </c>
      <c r="T94" s="1017"/>
      <c r="U94" s="1013"/>
    </row>
    <row r="95" spans="2:21" s="1007" customFormat="1" ht="19.5" customHeight="1" thickBot="1" thickTop="1">
      <c r="B95" s="1008"/>
      <c r="E95" s="1033"/>
      <c r="F95" s="1034" t="s">
        <v>373</v>
      </c>
      <c r="H95" s="1036">
        <f>'[1]BASE'!FT100</f>
        <v>0.37</v>
      </c>
      <c r="I95" s="1036">
        <f>'[1]BASE'!FU100</f>
        <v>0.35</v>
      </c>
      <c r="J95" s="1036">
        <f>'[1]BASE'!FV100</f>
        <v>0.34</v>
      </c>
      <c r="K95" s="1036">
        <f>'[1]BASE'!FW100</f>
        <v>0.36</v>
      </c>
      <c r="L95" s="1036">
        <f>'[1]BASE'!FX100</f>
        <v>0.33</v>
      </c>
      <c r="M95" s="1036">
        <f>'[1]BASE'!FY100</f>
        <v>0.38</v>
      </c>
      <c r="N95" s="1036">
        <f>'[1]BASE'!FZ100</f>
        <v>0.36</v>
      </c>
      <c r="O95" s="1036">
        <f>'[1]BASE'!GA100</f>
        <v>0.35</v>
      </c>
      <c r="P95" s="1036">
        <f>'[1]BASE'!GB100</f>
        <v>0.35</v>
      </c>
      <c r="Q95" s="1036">
        <f>'[1]BASE'!GC100</f>
        <v>0.37</v>
      </c>
      <c r="R95" s="1036">
        <f>'[1]BASE'!GD100</f>
        <v>0.43</v>
      </c>
      <c r="S95" s="1036">
        <f>'[1]BASE'!GE100</f>
        <v>0.46</v>
      </c>
      <c r="T95" s="1036">
        <f>'[1]BASE'!GF100</f>
        <v>0.51</v>
      </c>
      <c r="U95" s="1013"/>
    </row>
    <row r="96" spans="2:21" s="951" customFormat="1" ht="9.75" customHeight="1" thickBot="1" thickTop="1">
      <c r="B96" s="1037"/>
      <c r="C96"/>
      <c r="D96" s="1038"/>
      <c r="E96" s="1039"/>
      <c r="F96" s="1040"/>
      <c r="G96"/>
      <c r="H96" s="1041"/>
      <c r="I96" s="1041"/>
      <c r="J96" s="1041"/>
      <c r="K96" s="1041"/>
      <c r="L96" s="1041"/>
      <c r="M96" s="1041"/>
      <c r="N96" s="1041"/>
      <c r="O96" s="1041"/>
      <c r="P96" s="1041"/>
      <c r="Q96" s="1041"/>
      <c r="R96" s="1041"/>
      <c r="S96" s="1041"/>
      <c r="T96" s="1041"/>
      <c r="U96" s="1042"/>
    </row>
    <row r="97" spans="2:21" ht="15.75" customHeight="1" thickBot="1">
      <c r="B97" s="50"/>
      <c r="C97" s="1043"/>
      <c r="D97" s="15" t="s">
        <v>374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09" t="s">
        <v>375</v>
      </c>
      <c r="I98" s="1044"/>
      <c r="J98" s="1045">
        <f>T95</f>
        <v>0.51</v>
      </c>
      <c r="K98" s="1046" t="s">
        <v>376</v>
      </c>
      <c r="L98" s="210"/>
      <c r="M98" s="1047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48"/>
      <c r="D99" s="59"/>
      <c r="E99" s="59"/>
      <c r="F99" s="1048"/>
      <c r="G99" s="1048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49"/>
      <c r="F100" s="1049"/>
      <c r="G100" s="1049"/>
    </row>
    <row r="101" spans="3:194" ht="12.75">
      <c r="C101" s="1049"/>
      <c r="D101" s="66"/>
      <c r="E101" s="66"/>
      <c r="F101" s="66"/>
      <c r="G101" s="66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49"/>
      <c r="D102" s="66"/>
      <c r="E102" s="66"/>
      <c r="F102" s="66"/>
      <c r="G102" s="66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49"/>
      <c r="D103" s="66"/>
      <c r="E103" s="66"/>
      <c r="F103" s="66"/>
      <c r="G103" s="66"/>
      <c r="H103" s="1051"/>
      <c r="I103" s="1051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49"/>
      <c r="D104" s="66"/>
      <c r="E104" s="66"/>
      <c r="F104" s="66"/>
      <c r="G104" s="66"/>
      <c r="H104" s="1050"/>
      <c r="I104" s="1050"/>
      <c r="J104" s="1050"/>
      <c r="K104" s="1050"/>
      <c r="L104" s="1050"/>
      <c r="M104" s="1050"/>
      <c r="N104" s="1050"/>
      <c r="O104" s="1050"/>
      <c r="P104" s="1050"/>
      <c r="Q104" s="1050"/>
      <c r="R104" s="1050"/>
      <c r="S104" s="1050"/>
      <c r="T104" s="105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49"/>
      <c r="D105" s="66"/>
      <c r="E105" s="66"/>
      <c r="F105" s="66"/>
      <c r="G105" s="66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49"/>
      <c r="D106" s="66"/>
      <c r="E106" s="66"/>
      <c r="F106" s="66"/>
      <c r="G106" s="66"/>
      <c r="H106" s="1050"/>
      <c r="I106" s="1050"/>
      <c r="J106" s="1050"/>
      <c r="K106" s="1050"/>
      <c r="L106" s="1050"/>
      <c r="M106" s="1050"/>
      <c r="N106" s="1050"/>
      <c r="O106" s="1050"/>
      <c r="P106" s="1050"/>
      <c r="Q106" s="1050"/>
      <c r="R106" s="1050"/>
      <c r="S106" s="1050"/>
      <c r="T106" s="105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49"/>
      <c r="D107" s="66"/>
      <c r="E107" s="66"/>
      <c r="F107" s="66"/>
      <c r="G107" s="66"/>
      <c r="H107" s="1050"/>
      <c r="I107" s="1050"/>
      <c r="J107" s="1050"/>
      <c r="K107" s="1050"/>
      <c r="L107" s="1050"/>
      <c r="M107" s="1050"/>
      <c r="N107" s="1050"/>
      <c r="O107" s="1050"/>
      <c r="P107" s="1050"/>
      <c r="Q107" s="1050"/>
      <c r="R107" s="1050"/>
      <c r="S107" s="1050"/>
      <c r="T107" s="105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49"/>
      <c r="D108" s="66"/>
      <c r="E108" s="66"/>
      <c r="F108" s="66"/>
      <c r="G108" s="66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49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49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49"/>
      <c r="F111" s="1049"/>
      <c r="G111" s="1049"/>
    </row>
    <row r="112" spans="3:7" ht="12.75">
      <c r="C112" s="1049"/>
      <c r="F112" s="1049"/>
      <c r="G112" s="1049"/>
    </row>
    <row r="113" spans="3:7" ht="12.75">
      <c r="C113" s="1049"/>
      <c r="F113" s="1049"/>
      <c r="G113" s="1049"/>
    </row>
    <row r="114" spans="6:7" ht="12.75">
      <c r="F114" s="1049"/>
      <c r="G114" s="1049"/>
    </row>
  </sheetData>
  <printOptions horizontalCentered="1"/>
  <pageMargins left="0.3937007874015748" right="0.1968503937007874" top="0.48" bottom="0.51" header="0.32" footer="0.31"/>
  <pageSetup fitToHeight="1" fitToWidth="1" horizontalDpi="300" verticalDpi="300" orientation="portrait" paperSize="9" scale="40" r:id="rId2"/>
  <headerFooter alignWithMargins="0">
    <oddFooter>&amp;L&amp;"Times New Roman,Normal"&amp;8&amp;F-&amp;A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E30" sqref="E30"/>
    </sheetView>
  </sheetViews>
  <sheetFormatPr defaultColWidth="11.421875" defaultRowHeight="12.75"/>
  <cols>
    <col min="1" max="1" width="23.00390625" style="882" bestFit="1" customWidth="1"/>
    <col min="2" max="2" width="9.28125" style="882" customWidth="1"/>
    <col min="3" max="3" width="11.8515625" style="882" bestFit="1" customWidth="1"/>
    <col min="4" max="4" width="9.57421875" style="882" bestFit="1" customWidth="1"/>
    <col min="5" max="5" width="17.140625" style="882" bestFit="1" customWidth="1"/>
    <col min="6" max="6" width="71.8515625" style="882" bestFit="1" customWidth="1"/>
    <col min="7" max="9" width="5.8515625" style="882" customWidth="1"/>
    <col min="10" max="22" width="5.8515625" style="882" bestFit="1" customWidth="1"/>
    <col min="23" max="24" width="11.00390625" style="882" customWidth="1"/>
    <col min="25" max="16384" width="11.421875" style="882" customWidth="1"/>
  </cols>
  <sheetData>
    <row r="1" spans="1:4" ht="12.75">
      <c r="A1" s="887" t="s">
        <v>177</v>
      </c>
      <c r="B1" s="887" t="s">
        <v>177</v>
      </c>
      <c r="C1" s="887" t="s">
        <v>178</v>
      </c>
      <c r="D1" s="887" t="s">
        <v>179</v>
      </c>
    </row>
    <row r="2" spans="1:4" ht="12.75">
      <c r="A2" s="886" t="s">
        <v>46</v>
      </c>
      <c r="B2" s="902" t="s">
        <v>183</v>
      </c>
      <c r="C2" s="886">
        <v>31</v>
      </c>
      <c r="D2" s="886">
        <v>2006</v>
      </c>
    </row>
    <row r="3" spans="1:4" ht="12.75">
      <c r="A3" s="886" t="s">
        <v>47</v>
      </c>
      <c r="B3" s="902" t="s">
        <v>184</v>
      </c>
      <c r="C3" s="886">
        <f>IF(MOD(E14,4)=0,29,28)</f>
        <v>29</v>
      </c>
      <c r="D3" s="886">
        <f>+D2+1</f>
        <v>2007</v>
      </c>
    </row>
    <row r="4" spans="1:4" ht="12.75">
      <c r="A4" s="886" t="s">
        <v>48</v>
      </c>
      <c r="B4" s="902" t="s">
        <v>185</v>
      </c>
      <c r="C4" s="886">
        <v>31</v>
      </c>
      <c r="D4" s="886">
        <v>2008</v>
      </c>
    </row>
    <row r="5" spans="1:4" ht="12.75">
      <c r="A5" s="886" t="s">
        <v>49</v>
      </c>
      <c r="B5" s="902" t="s">
        <v>186</v>
      </c>
      <c r="C5" s="886">
        <v>30</v>
      </c>
      <c r="D5" s="886"/>
    </row>
    <row r="6" spans="1:4" ht="12.75">
      <c r="A6" s="886" t="s">
        <v>50</v>
      </c>
      <c r="B6" s="902" t="s">
        <v>187</v>
      </c>
      <c r="C6" s="886">
        <v>31</v>
      </c>
      <c r="D6" s="886"/>
    </row>
    <row r="7" spans="1:4" ht="12.75">
      <c r="A7" s="886" t="s">
        <v>51</v>
      </c>
      <c r="B7" s="902" t="s">
        <v>188</v>
      </c>
      <c r="C7" s="886">
        <v>30</v>
      </c>
      <c r="D7" s="886"/>
    </row>
    <row r="8" spans="1:4" ht="12.75">
      <c r="A8" s="886" t="s">
        <v>52</v>
      </c>
      <c r="B8" s="902" t="s">
        <v>189</v>
      </c>
      <c r="C8" s="886">
        <v>31</v>
      </c>
      <c r="D8" s="886"/>
    </row>
    <row r="9" spans="1:4" ht="12.75">
      <c r="A9" s="886" t="s">
        <v>53</v>
      </c>
      <c r="B9" s="902" t="s">
        <v>190</v>
      </c>
      <c r="C9" s="886">
        <v>31</v>
      </c>
      <c r="D9" s="886"/>
    </row>
    <row r="10" spans="1:4" ht="12.75">
      <c r="A10" s="886" t="s">
        <v>54</v>
      </c>
      <c r="B10" s="902" t="s">
        <v>191</v>
      </c>
      <c r="C10" s="886">
        <v>30</v>
      </c>
      <c r="D10" s="886"/>
    </row>
    <row r="11" spans="1:4" ht="12.75">
      <c r="A11" s="886" t="s">
        <v>55</v>
      </c>
      <c r="B11" s="902" t="s">
        <v>192</v>
      </c>
      <c r="C11" s="886">
        <v>31</v>
      </c>
      <c r="D11" s="886"/>
    </row>
    <row r="12" spans="1:4" ht="12.75">
      <c r="A12" s="886" t="s">
        <v>56</v>
      </c>
      <c r="B12" s="902" t="s">
        <v>193</v>
      </c>
      <c r="C12" s="886">
        <v>30</v>
      </c>
      <c r="D12" s="886"/>
    </row>
    <row r="13" spans="1:9" ht="12.75">
      <c r="A13" s="886" t="s">
        <v>57</v>
      </c>
      <c r="B13" s="902" t="s">
        <v>194</v>
      </c>
      <c r="C13" s="886">
        <v>31</v>
      </c>
      <c r="D13" s="886"/>
      <c r="E13" s="983"/>
      <c r="I13" s="918" t="s">
        <v>251</v>
      </c>
    </row>
    <row r="14" spans="1:9" ht="12.75">
      <c r="A14" s="883">
        <v>3</v>
      </c>
      <c r="B14" s="884">
        <v>12</v>
      </c>
      <c r="C14" s="883" t="str">
        <f ca="1">CELL("CONTENIDO",OFFSET(A1,B14,0))</f>
        <v>diciembre</v>
      </c>
      <c r="D14" s="883">
        <f ca="1">CELL("CONTENIDO",OFFSET(C1,B14,0))</f>
        <v>31</v>
      </c>
      <c r="E14" s="883">
        <f ca="1">CELL("CONTENIDO",OFFSET(D1,A14,0))</f>
        <v>2008</v>
      </c>
      <c r="F14" s="883" t="str">
        <f>"Desde el 01 al "&amp;D14&amp;" de "&amp;C14&amp;" de "&amp;E14</f>
        <v>Desde el 01 al 31 de diciembre de 2008</v>
      </c>
      <c r="G14" s="883" t="str">
        <f ca="1">CELL("CONTENIDO",OFFSET(B1,B14,0))</f>
        <v>12</v>
      </c>
      <c r="H14" s="883" t="str">
        <f>RIGHT(E14,2)</f>
        <v>08</v>
      </c>
      <c r="I14" s="919" t="s">
        <v>246</v>
      </c>
    </row>
    <row r="15" spans="1:8" ht="12.75">
      <c r="A15" s="883"/>
      <c r="B15" s="885" t="str">
        <f>"\\fileserver\files\Transporte\transporte\AA PROCESO AUT\TRANSENER\"&amp;E14</f>
        <v>\\fileserver\files\Transporte\transporte\AA PROCESO AUT\TRANSENER\2008</v>
      </c>
      <c r="C15" s="883"/>
      <c r="D15" s="883"/>
      <c r="E15" s="883"/>
      <c r="F15" s="883"/>
      <c r="G15" s="883" t="str">
        <f>"J"&amp;G14&amp;H14&amp;"NER"</f>
        <v>J1208NER</v>
      </c>
      <c r="H15" s="883"/>
    </row>
    <row r="16" spans="1:8" ht="12.75">
      <c r="A16" s="883"/>
      <c r="B16" s="885" t="str">
        <f>"\\fileserver\files\Transporte\transporte\AA PROCESO AUT\NERNOANEA\"&amp;H14&amp;G14</f>
        <v>\\fileserver\files\Transporte\transporte\AA PROCESO AUT\NERNOANEA\0812</v>
      </c>
      <c r="C16" s="883"/>
      <c r="D16" s="883"/>
      <c r="E16" s="883"/>
      <c r="F16" s="883"/>
      <c r="G16" s="883"/>
      <c r="H16" s="883"/>
    </row>
    <row r="17" spans="1:29" ht="12.75">
      <c r="A17" s="887" t="s">
        <v>165</v>
      </c>
      <c r="B17" s="887" t="s">
        <v>216</v>
      </c>
      <c r="C17" s="887" t="s">
        <v>198</v>
      </c>
      <c r="D17" s="887" t="s">
        <v>197</v>
      </c>
      <c r="E17" s="887" t="s">
        <v>182</v>
      </c>
      <c r="F17" s="887" t="s">
        <v>195</v>
      </c>
      <c r="G17" s="887" t="s">
        <v>213</v>
      </c>
      <c r="H17" s="887" t="s">
        <v>199</v>
      </c>
      <c r="I17" s="887" t="s">
        <v>200</v>
      </c>
      <c r="J17" s="887" t="s">
        <v>201</v>
      </c>
      <c r="K17" s="887" t="s">
        <v>202</v>
      </c>
      <c r="L17" s="887" t="s">
        <v>203</v>
      </c>
      <c r="M17" s="887" t="s">
        <v>204</v>
      </c>
      <c r="N17" s="887" t="s">
        <v>205</v>
      </c>
      <c r="O17" s="887" t="s">
        <v>206</v>
      </c>
      <c r="P17" s="887" t="s">
        <v>270</v>
      </c>
      <c r="Q17" s="887" t="s">
        <v>207</v>
      </c>
      <c r="R17" s="887" t="s">
        <v>208</v>
      </c>
      <c r="S17" s="887" t="s">
        <v>209</v>
      </c>
      <c r="T17" s="887" t="s">
        <v>210</v>
      </c>
      <c r="U17" s="887" t="s">
        <v>211</v>
      </c>
      <c r="V17" s="887" t="s">
        <v>212</v>
      </c>
      <c r="W17" s="887" t="s">
        <v>252</v>
      </c>
      <c r="X17" s="887" t="s">
        <v>253</v>
      </c>
      <c r="Y17" s="887" t="s">
        <v>255</v>
      </c>
      <c r="Z17" s="887" t="s">
        <v>254</v>
      </c>
      <c r="AA17" s="887" t="s">
        <v>257</v>
      </c>
      <c r="AB17" s="887" t="s">
        <v>256</v>
      </c>
      <c r="AC17" s="887" t="s">
        <v>271</v>
      </c>
    </row>
    <row r="18" spans="1:29" ht="12.75">
      <c r="A18" s="925" t="s">
        <v>166</v>
      </c>
      <c r="B18" s="906">
        <v>22</v>
      </c>
      <c r="C18" s="906">
        <v>20</v>
      </c>
      <c r="D18" s="906">
        <v>11</v>
      </c>
      <c r="E18" s="925" t="str">
        <f>"LI-"&amp;$G$14</f>
        <v>LI-12</v>
      </c>
      <c r="F18" s="925" t="s">
        <v>196</v>
      </c>
      <c r="G18" s="906">
        <v>3</v>
      </c>
      <c r="H18" s="907">
        <v>0</v>
      </c>
      <c r="I18" s="907">
        <v>0</v>
      </c>
      <c r="J18" s="906">
        <v>4</v>
      </c>
      <c r="K18" s="906">
        <v>5</v>
      </c>
      <c r="L18" s="906">
        <v>6</v>
      </c>
      <c r="M18" s="906">
        <v>7</v>
      </c>
      <c r="N18" s="906">
        <v>10</v>
      </c>
      <c r="O18" s="906">
        <v>11</v>
      </c>
      <c r="P18" s="906">
        <v>14</v>
      </c>
      <c r="Q18" s="906">
        <v>17</v>
      </c>
      <c r="R18" s="906">
        <v>28</v>
      </c>
      <c r="S18" s="906">
        <v>0</v>
      </c>
      <c r="T18" s="906">
        <v>0</v>
      </c>
      <c r="U18" s="906">
        <v>0</v>
      </c>
      <c r="V18" s="906">
        <v>0</v>
      </c>
      <c r="W18" s="925">
        <v>17</v>
      </c>
      <c r="X18" s="925">
        <v>9</v>
      </c>
      <c r="Y18" s="925">
        <v>43</v>
      </c>
      <c r="Z18" s="929">
        <v>29</v>
      </c>
      <c r="AA18" s="925">
        <v>20</v>
      </c>
      <c r="AB18" s="929">
        <v>29</v>
      </c>
      <c r="AC18" s="925">
        <v>14</v>
      </c>
    </row>
    <row r="19" spans="1:29" ht="12.75">
      <c r="A19" s="925" t="s">
        <v>229</v>
      </c>
      <c r="B19" s="906">
        <v>22</v>
      </c>
      <c r="C19" s="906">
        <v>20</v>
      </c>
      <c r="D19" s="906">
        <v>11</v>
      </c>
      <c r="E19" s="925" t="str">
        <f>"LI-IV-"&amp;$G$14</f>
        <v>LI-IV-12</v>
      </c>
      <c r="F19" s="925" t="s">
        <v>230</v>
      </c>
      <c r="G19" s="906">
        <v>3</v>
      </c>
      <c r="H19" s="907">
        <v>0</v>
      </c>
      <c r="I19" s="907">
        <v>0</v>
      </c>
      <c r="J19" s="906">
        <v>4</v>
      </c>
      <c r="K19" s="906">
        <v>5</v>
      </c>
      <c r="L19" s="906">
        <v>6</v>
      </c>
      <c r="M19" s="906">
        <v>7</v>
      </c>
      <c r="N19" s="906">
        <v>10</v>
      </c>
      <c r="O19" s="906">
        <v>11</v>
      </c>
      <c r="P19" s="906">
        <v>14</v>
      </c>
      <c r="Q19" s="906">
        <v>17</v>
      </c>
      <c r="R19" s="906">
        <v>28</v>
      </c>
      <c r="S19" s="906">
        <v>0</v>
      </c>
      <c r="T19" s="906">
        <v>0</v>
      </c>
      <c r="U19" s="906">
        <v>0</v>
      </c>
      <c r="V19" s="906">
        <v>0</v>
      </c>
      <c r="W19" s="925">
        <v>20</v>
      </c>
      <c r="X19" s="925">
        <v>9</v>
      </c>
      <c r="Y19" s="925">
        <v>43</v>
      </c>
      <c r="Z19" s="929">
        <v>29</v>
      </c>
      <c r="AA19" s="925">
        <v>20</v>
      </c>
      <c r="AB19" s="929">
        <v>29</v>
      </c>
      <c r="AC19" s="925">
        <v>14</v>
      </c>
    </row>
    <row r="20" spans="1:29" ht="12.75">
      <c r="A20" s="926" t="s">
        <v>167</v>
      </c>
      <c r="B20" s="908">
        <v>22</v>
      </c>
      <c r="C20" s="908">
        <v>20</v>
      </c>
      <c r="D20" s="908">
        <v>12</v>
      </c>
      <c r="E20" s="926" t="str">
        <f>"TR-"&amp;$G$14</f>
        <v>TR-12</v>
      </c>
      <c r="F20" s="926" t="s">
        <v>217</v>
      </c>
      <c r="G20" s="906">
        <v>3</v>
      </c>
      <c r="H20" s="907">
        <v>0</v>
      </c>
      <c r="I20" s="907">
        <v>0</v>
      </c>
      <c r="J20" s="908">
        <v>4</v>
      </c>
      <c r="K20" s="908">
        <v>5</v>
      </c>
      <c r="L20" s="908">
        <v>6</v>
      </c>
      <c r="M20" s="908">
        <v>7</v>
      </c>
      <c r="N20" s="908">
        <v>9</v>
      </c>
      <c r="O20" s="908">
        <v>10</v>
      </c>
      <c r="P20" s="908">
        <v>13</v>
      </c>
      <c r="Q20" s="908">
        <v>15</v>
      </c>
      <c r="R20" s="908">
        <v>16</v>
      </c>
      <c r="S20" s="908">
        <v>26</v>
      </c>
      <c r="T20" s="908">
        <v>0</v>
      </c>
      <c r="U20" s="908">
        <v>0</v>
      </c>
      <c r="V20" s="908">
        <v>0</v>
      </c>
      <c r="W20" s="926">
        <v>26</v>
      </c>
      <c r="X20" s="926">
        <v>9</v>
      </c>
      <c r="Y20" s="926">
        <v>43</v>
      </c>
      <c r="Z20" s="926">
        <v>27</v>
      </c>
      <c r="AA20" s="926">
        <v>20</v>
      </c>
      <c r="AB20" s="926">
        <v>27</v>
      </c>
      <c r="AC20" s="926">
        <v>13</v>
      </c>
    </row>
    <row r="21" spans="1:29" ht="12.75">
      <c r="A21" s="925" t="s">
        <v>168</v>
      </c>
      <c r="B21" s="906">
        <v>24</v>
      </c>
      <c r="C21" s="906">
        <v>20</v>
      </c>
      <c r="D21" s="906">
        <v>9</v>
      </c>
      <c r="E21" s="925" t="str">
        <f>"SA-"&amp;$G$14</f>
        <v>SA-12</v>
      </c>
      <c r="F21" s="925" t="s">
        <v>221</v>
      </c>
      <c r="G21" s="906">
        <v>3</v>
      </c>
      <c r="H21" s="907">
        <v>0</v>
      </c>
      <c r="I21" s="907">
        <v>0</v>
      </c>
      <c r="J21" s="906">
        <v>4</v>
      </c>
      <c r="K21" s="906">
        <v>5</v>
      </c>
      <c r="L21" s="906">
        <v>6</v>
      </c>
      <c r="M21" s="906">
        <v>8</v>
      </c>
      <c r="N21" s="906">
        <v>9</v>
      </c>
      <c r="O21" s="906">
        <v>12</v>
      </c>
      <c r="P21" s="906">
        <v>13</v>
      </c>
      <c r="Q21" s="906">
        <v>18</v>
      </c>
      <c r="R21" s="906">
        <v>0</v>
      </c>
      <c r="S21" s="906">
        <v>0</v>
      </c>
      <c r="T21" s="906">
        <v>0</v>
      </c>
      <c r="U21" s="906">
        <v>0</v>
      </c>
      <c r="V21" s="906">
        <v>0</v>
      </c>
      <c r="W21" s="925">
        <v>31</v>
      </c>
      <c r="X21" s="925">
        <v>9</v>
      </c>
      <c r="Y21" s="925">
        <v>45</v>
      </c>
      <c r="Z21" s="925">
        <v>20</v>
      </c>
      <c r="AA21" s="925">
        <v>22</v>
      </c>
      <c r="AB21" s="925">
        <v>20</v>
      </c>
      <c r="AC21" s="925">
        <v>12</v>
      </c>
    </row>
    <row r="22" spans="1:29" ht="12.75">
      <c r="A22" s="925" t="s">
        <v>176</v>
      </c>
      <c r="B22" s="906">
        <v>22</v>
      </c>
      <c r="C22" s="906">
        <v>20</v>
      </c>
      <c r="D22" s="906">
        <v>10</v>
      </c>
      <c r="E22" s="925" t="str">
        <f>"RE-"&amp;$G$14</f>
        <v>RE-12</v>
      </c>
      <c r="F22" s="925" t="s">
        <v>224</v>
      </c>
      <c r="G22" s="906">
        <v>3</v>
      </c>
      <c r="H22" s="907">
        <v>0</v>
      </c>
      <c r="I22" s="907">
        <v>0</v>
      </c>
      <c r="J22" s="906">
        <v>4</v>
      </c>
      <c r="K22" s="906">
        <v>5</v>
      </c>
      <c r="L22" s="906">
        <v>6</v>
      </c>
      <c r="M22" s="906">
        <v>8</v>
      </c>
      <c r="N22" s="906">
        <v>9</v>
      </c>
      <c r="O22" s="906">
        <v>12</v>
      </c>
      <c r="P22" s="906">
        <v>14</v>
      </c>
      <c r="Q22" s="906">
        <v>20</v>
      </c>
      <c r="R22" s="906">
        <v>0</v>
      </c>
      <c r="S22" s="906">
        <v>0</v>
      </c>
      <c r="T22" s="906">
        <v>0</v>
      </c>
      <c r="U22" s="906">
        <v>0</v>
      </c>
      <c r="V22" s="906">
        <v>0</v>
      </c>
      <c r="W22" s="925">
        <v>39</v>
      </c>
      <c r="X22" s="925">
        <v>9</v>
      </c>
      <c r="Y22" s="925">
        <v>43</v>
      </c>
      <c r="Z22" s="925">
        <v>21</v>
      </c>
      <c r="AA22" s="925">
        <v>20</v>
      </c>
      <c r="AB22" s="925">
        <v>21</v>
      </c>
      <c r="AC22" s="925">
        <v>12</v>
      </c>
    </row>
    <row r="23" spans="1:29" ht="12.75">
      <c r="A23" s="925" t="s">
        <v>248</v>
      </c>
      <c r="B23" s="906">
        <v>22</v>
      </c>
      <c r="C23" s="906">
        <v>20</v>
      </c>
      <c r="D23" s="906">
        <v>10</v>
      </c>
      <c r="E23" s="925" t="str">
        <f>"RE-IV-"&amp;$G$14</f>
        <v>RE-IV-12</v>
      </c>
      <c r="F23" s="925" t="s">
        <v>249</v>
      </c>
      <c r="G23" s="906">
        <v>3</v>
      </c>
      <c r="H23" s="907">
        <v>0</v>
      </c>
      <c r="I23" s="907">
        <v>0</v>
      </c>
      <c r="J23" s="906">
        <v>4</v>
      </c>
      <c r="K23" s="906">
        <v>5</v>
      </c>
      <c r="L23" s="906">
        <v>6</v>
      </c>
      <c r="M23" s="906">
        <v>8</v>
      </c>
      <c r="N23" s="906">
        <v>9</v>
      </c>
      <c r="O23" s="906">
        <v>12</v>
      </c>
      <c r="P23" s="906">
        <v>14</v>
      </c>
      <c r="Q23" s="906">
        <v>20</v>
      </c>
      <c r="R23" s="906">
        <v>0</v>
      </c>
      <c r="S23" s="906">
        <v>0</v>
      </c>
      <c r="T23" s="906">
        <v>0</v>
      </c>
      <c r="U23" s="906">
        <v>0</v>
      </c>
      <c r="V23" s="906">
        <v>0</v>
      </c>
      <c r="W23" s="925">
        <v>43</v>
      </c>
      <c r="X23" s="925">
        <v>9</v>
      </c>
      <c r="Y23" s="925">
        <v>43</v>
      </c>
      <c r="Z23" s="925">
        <v>21</v>
      </c>
      <c r="AA23" s="925">
        <v>20</v>
      </c>
      <c r="AB23" s="925">
        <v>21</v>
      </c>
      <c r="AC23" s="925">
        <v>12</v>
      </c>
    </row>
    <row r="24" spans="1:29" ht="12.75">
      <c r="A24" s="925" t="s">
        <v>169</v>
      </c>
      <c r="B24" s="906">
        <v>19</v>
      </c>
      <c r="C24" s="906">
        <v>20</v>
      </c>
      <c r="D24" s="906">
        <v>11</v>
      </c>
      <c r="E24" s="925" t="str">
        <f>"LI-YACY-"&amp;$G$14</f>
        <v>LI-YACY-12</v>
      </c>
      <c r="F24" s="925" t="s">
        <v>214</v>
      </c>
      <c r="G24" s="906">
        <v>3</v>
      </c>
      <c r="H24" s="907">
        <v>0</v>
      </c>
      <c r="I24" s="907">
        <v>0</v>
      </c>
      <c r="J24" s="906">
        <v>4</v>
      </c>
      <c r="K24" s="906">
        <v>5</v>
      </c>
      <c r="L24" s="906">
        <v>6</v>
      </c>
      <c r="M24" s="906">
        <v>0</v>
      </c>
      <c r="N24" s="906">
        <v>7</v>
      </c>
      <c r="O24" s="906">
        <v>8</v>
      </c>
      <c r="P24" s="906">
        <v>11</v>
      </c>
      <c r="Q24" s="906">
        <v>0</v>
      </c>
      <c r="R24" s="906">
        <v>0</v>
      </c>
      <c r="S24" s="906">
        <v>0</v>
      </c>
      <c r="T24" s="906">
        <v>0</v>
      </c>
      <c r="U24" s="906">
        <v>0</v>
      </c>
      <c r="V24" s="906">
        <v>0</v>
      </c>
      <c r="W24" s="925">
        <v>18</v>
      </c>
      <c r="X24" s="925">
        <v>9</v>
      </c>
      <c r="Y24" s="925">
        <v>40</v>
      </c>
      <c r="Z24" s="929">
        <v>22</v>
      </c>
      <c r="AA24" s="925">
        <v>17</v>
      </c>
      <c r="AB24" s="929">
        <v>22</v>
      </c>
      <c r="AC24" s="925">
        <v>11</v>
      </c>
    </row>
    <row r="25" spans="1:29" ht="12.75">
      <c r="A25" s="925" t="s">
        <v>180</v>
      </c>
      <c r="B25" s="906">
        <v>21</v>
      </c>
      <c r="C25" s="906">
        <v>20</v>
      </c>
      <c r="D25" s="906">
        <v>8</v>
      </c>
      <c r="E25" s="925" t="str">
        <f>"RE-YACY-"&amp;$G$14</f>
        <v>RE-YACY-12</v>
      </c>
      <c r="F25" s="925" t="s">
        <v>225</v>
      </c>
      <c r="G25" s="906">
        <v>3</v>
      </c>
      <c r="H25" s="907">
        <v>0</v>
      </c>
      <c r="I25" s="907">
        <v>0</v>
      </c>
      <c r="J25" s="906">
        <v>4</v>
      </c>
      <c r="K25" s="906">
        <v>5</v>
      </c>
      <c r="L25" s="906">
        <v>6</v>
      </c>
      <c r="M25" s="906">
        <v>7</v>
      </c>
      <c r="N25" s="906">
        <v>8</v>
      </c>
      <c r="O25" s="906">
        <v>11</v>
      </c>
      <c r="P25" s="906">
        <v>0</v>
      </c>
      <c r="Q25" s="906">
        <v>0</v>
      </c>
      <c r="R25" s="906">
        <v>0</v>
      </c>
      <c r="S25" s="906">
        <v>0</v>
      </c>
      <c r="T25" s="906">
        <v>0</v>
      </c>
      <c r="U25" s="906">
        <v>0</v>
      </c>
      <c r="V25" s="906">
        <v>0</v>
      </c>
      <c r="W25" s="925">
        <v>41</v>
      </c>
      <c r="X25" s="925">
        <v>9</v>
      </c>
      <c r="Y25" s="925">
        <v>42</v>
      </c>
      <c r="Z25" s="925">
        <v>22</v>
      </c>
      <c r="AA25" s="925">
        <v>19</v>
      </c>
      <c r="AB25" s="925">
        <v>22</v>
      </c>
      <c r="AC25" s="925">
        <v>11</v>
      </c>
    </row>
    <row r="26" spans="1:29" ht="12.75">
      <c r="A26" s="925" t="s">
        <v>170</v>
      </c>
      <c r="B26" s="906">
        <v>22</v>
      </c>
      <c r="C26" s="906">
        <v>20</v>
      </c>
      <c r="D26" s="906">
        <v>11</v>
      </c>
      <c r="E26" s="925" t="str">
        <f>"LI-LITSA-"&amp;$G$14</f>
        <v>LI-LITSA-12</v>
      </c>
      <c r="F26" s="925" t="s">
        <v>215</v>
      </c>
      <c r="G26" s="906">
        <v>3</v>
      </c>
      <c r="H26" s="907">
        <v>0</v>
      </c>
      <c r="I26" s="907">
        <v>0</v>
      </c>
      <c r="J26" s="906">
        <v>4</v>
      </c>
      <c r="K26" s="906">
        <v>5</v>
      </c>
      <c r="L26" s="906">
        <v>6</v>
      </c>
      <c r="M26" s="906">
        <v>7</v>
      </c>
      <c r="N26" s="906">
        <v>10</v>
      </c>
      <c r="O26" s="906">
        <v>11</v>
      </c>
      <c r="P26" s="906">
        <v>14</v>
      </c>
      <c r="Q26" s="906">
        <v>17</v>
      </c>
      <c r="R26" s="906">
        <v>28</v>
      </c>
      <c r="S26" s="906">
        <v>0</v>
      </c>
      <c r="T26" s="906">
        <v>0</v>
      </c>
      <c r="U26" s="906">
        <v>0</v>
      </c>
      <c r="V26" s="906">
        <v>0</v>
      </c>
      <c r="W26" s="925">
        <v>19</v>
      </c>
      <c r="X26" s="925">
        <v>9</v>
      </c>
      <c r="Y26" s="925">
        <v>43</v>
      </c>
      <c r="Z26" s="929">
        <v>30</v>
      </c>
      <c r="AA26" s="925">
        <v>20</v>
      </c>
      <c r="AB26" s="929">
        <v>30</v>
      </c>
      <c r="AC26" s="925">
        <v>14</v>
      </c>
    </row>
    <row r="27" spans="1:29" ht="12.75">
      <c r="A27" s="925" t="s">
        <v>171</v>
      </c>
      <c r="B27" s="906">
        <v>22</v>
      </c>
      <c r="C27" s="906">
        <v>20</v>
      </c>
      <c r="D27" s="908">
        <v>12</v>
      </c>
      <c r="E27" s="925" t="str">
        <f>"TR-LITSA-"&amp;$G$14</f>
        <v>TR-LITSA-12</v>
      </c>
      <c r="F27" s="925" t="s">
        <v>218</v>
      </c>
      <c r="G27" s="906">
        <v>3</v>
      </c>
      <c r="H27" s="907">
        <v>0</v>
      </c>
      <c r="I27" s="907">
        <v>0</v>
      </c>
      <c r="J27" s="908">
        <v>4</v>
      </c>
      <c r="K27" s="908">
        <v>5</v>
      </c>
      <c r="L27" s="908">
        <v>6</v>
      </c>
      <c r="M27" s="908">
        <v>7</v>
      </c>
      <c r="N27" s="908">
        <v>9</v>
      </c>
      <c r="O27" s="908">
        <v>10</v>
      </c>
      <c r="P27" s="908">
        <v>13</v>
      </c>
      <c r="Q27" s="908">
        <v>15</v>
      </c>
      <c r="R27" s="908">
        <v>16</v>
      </c>
      <c r="S27" s="908">
        <v>26</v>
      </c>
      <c r="T27" s="908">
        <v>0</v>
      </c>
      <c r="U27" s="908">
        <v>0</v>
      </c>
      <c r="V27" s="908">
        <v>0</v>
      </c>
      <c r="W27" s="926">
        <v>27</v>
      </c>
      <c r="X27" s="926">
        <v>9</v>
      </c>
      <c r="Y27" s="926">
        <v>43</v>
      </c>
      <c r="Z27" s="926">
        <v>27</v>
      </c>
      <c r="AA27" s="926">
        <v>20</v>
      </c>
      <c r="AB27" s="926">
        <v>27</v>
      </c>
      <c r="AC27" s="926">
        <v>13</v>
      </c>
    </row>
    <row r="28" spans="1:29" ht="12.75">
      <c r="A28" s="925" t="s">
        <v>181</v>
      </c>
      <c r="B28" s="906">
        <v>24</v>
      </c>
      <c r="C28" s="906">
        <v>20</v>
      </c>
      <c r="D28" s="906">
        <v>10</v>
      </c>
      <c r="E28" s="925" t="str">
        <f>"RE-LITSA-"&amp;$G$14</f>
        <v>RE-LITSA-12</v>
      </c>
      <c r="F28" s="925" t="s">
        <v>226</v>
      </c>
      <c r="G28" s="906">
        <v>3</v>
      </c>
      <c r="H28" s="907">
        <v>0</v>
      </c>
      <c r="I28" s="907">
        <v>0</v>
      </c>
      <c r="J28" s="906">
        <v>4</v>
      </c>
      <c r="K28" s="906">
        <v>5</v>
      </c>
      <c r="L28" s="906">
        <v>6</v>
      </c>
      <c r="M28" s="906">
        <v>8</v>
      </c>
      <c r="N28" s="906">
        <v>9</v>
      </c>
      <c r="O28" s="906">
        <v>12</v>
      </c>
      <c r="P28" s="906">
        <v>14</v>
      </c>
      <c r="Q28" s="906">
        <v>20</v>
      </c>
      <c r="R28" s="906">
        <v>0</v>
      </c>
      <c r="S28" s="906">
        <v>0</v>
      </c>
      <c r="T28" s="906">
        <v>0</v>
      </c>
      <c r="U28" s="906">
        <v>0</v>
      </c>
      <c r="V28" s="906">
        <v>0</v>
      </c>
      <c r="W28" s="925">
        <v>42</v>
      </c>
      <c r="X28" s="925">
        <v>9</v>
      </c>
      <c r="Y28" s="925">
        <v>45</v>
      </c>
      <c r="Z28" s="925">
        <v>22</v>
      </c>
      <c r="AA28" s="925">
        <v>22</v>
      </c>
      <c r="AB28" s="925">
        <v>22</v>
      </c>
      <c r="AC28" s="925">
        <v>13</v>
      </c>
    </row>
    <row r="29" spans="1:29" ht="12.75">
      <c r="A29" s="925" t="s">
        <v>172</v>
      </c>
      <c r="B29" s="906">
        <v>20</v>
      </c>
      <c r="C29" s="906">
        <v>20</v>
      </c>
      <c r="D29" s="908">
        <v>12</v>
      </c>
      <c r="E29" s="925" t="str">
        <f>"TR-TIBA-"&amp;$G$14</f>
        <v>TR-TIBA-12</v>
      </c>
      <c r="F29" s="925" t="s">
        <v>220</v>
      </c>
      <c r="G29" s="906">
        <v>3</v>
      </c>
      <c r="H29" s="907">
        <v>0</v>
      </c>
      <c r="I29" s="907">
        <v>0</v>
      </c>
      <c r="J29" s="908">
        <v>4</v>
      </c>
      <c r="K29" s="908">
        <v>5</v>
      </c>
      <c r="L29" s="908">
        <v>6</v>
      </c>
      <c r="M29" s="908">
        <v>7</v>
      </c>
      <c r="N29" s="908">
        <v>9</v>
      </c>
      <c r="O29" s="908">
        <v>10</v>
      </c>
      <c r="P29" s="908">
        <v>13</v>
      </c>
      <c r="Q29" s="908">
        <v>15</v>
      </c>
      <c r="R29" s="908">
        <v>16</v>
      </c>
      <c r="S29" s="908">
        <v>26</v>
      </c>
      <c r="T29" s="908">
        <v>0</v>
      </c>
      <c r="U29" s="908">
        <v>0</v>
      </c>
      <c r="V29" s="908">
        <v>0</v>
      </c>
      <c r="W29" s="926">
        <v>28</v>
      </c>
      <c r="X29" s="926">
        <v>9</v>
      </c>
      <c r="Y29" s="926">
        <v>41</v>
      </c>
      <c r="Z29" s="926">
        <v>27</v>
      </c>
      <c r="AA29" s="926">
        <v>18</v>
      </c>
      <c r="AB29" s="926">
        <v>27</v>
      </c>
      <c r="AC29" s="926">
        <v>13</v>
      </c>
    </row>
    <row r="30" spans="1:29" ht="12.75">
      <c r="A30" s="925" t="s">
        <v>174</v>
      </c>
      <c r="B30" s="906">
        <v>22</v>
      </c>
      <c r="C30" s="906">
        <v>20</v>
      </c>
      <c r="D30" s="906">
        <v>9</v>
      </c>
      <c r="E30" s="925" t="str">
        <f>"SA-TIBA-"&amp;$G$14</f>
        <v>SA-TIBA-12</v>
      </c>
      <c r="F30" s="925" t="s">
        <v>222</v>
      </c>
      <c r="G30" s="906">
        <v>3</v>
      </c>
      <c r="H30" s="907">
        <v>0</v>
      </c>
      <c r="I30" s="907">
        <v>0</v>
      </c>
      <c r="J30" s="906">
        <v>4</v>
      </c>
      <c r="K30" s="906">
        <v>5</v>
      </c>
      <c r="L30" s="906">
        <v>6</v>
      </c>
      <c r="M30" s="906">
        <v>8</v>
      </c>
      <c r="N30" s="906">
        <v>9</v>
      </c>
      <c r="O30" s="906">
        <v>12</v>
      </c>
      <c r="P30" s="906">
        <v>13</v>
      </c>
      <c r="Q30" s="906">
        <v>18</v>
      </c>
      <c r="R30" s="906">
        <v>0</v>
      </c>
      <c r="S30" s="906">
        <v>0</v>
      </c>
      <c r="T30" s="906">
        <v>0</v>
      </c>
      <c r="U30" s="906">
        <v>0</v>
      </c>
      <c r="V30" s="906">
        <v>0</v>
      </c>
      <c r="W30" s="925">
        <v>32</v>
      </c>
      <c r="X30" s="925">
        <v>9</v>
      </c>
      <c r="Y30" s="925">
        <v>43</v>
      </c>
      <c r="Z30" s="925">
        <v>20</v>
      </c>
      <c r="AA30" s="925">
        <v>20</v>
      </c>
      <c r="AB30" s="925">
        <v>20</v>
      </c>
      <c r="AC30" s="925">
        <v>12</v>
      </c>
    </row>
    <row r="31" spans="1:29" ht="12.75">
      <c r="A31" s="925" t="s">
        <v>173</v>
      </c>
      <c r="B31" s="906">
        <v>20</v>
      </c>
      <c r="C31" s="906">
        <v>20</v>
      </c>
      <c r="D31" s="908">
        <v>12</v>
      </c>
      <c r="E31" s="925" t="str">
        <f>"TR-ENECOR-"&amp;$G$14</f>
        <v>TR-ENECOR-12</v>
      </c>
      <c r="F31" s="925" t="s">
        <v>219</v>
      </c>
      <c r="G31" s="906">
        <v>3</v>
      </c>
      <c r="H31" s="907">
        <v>0</v>
      </c>
      <c r="I31" s="907">
        <v>0</v>
      </c>
      <c r="J31" s="908">
        <v>4</v>
      </c>
      <c r="K31" s="908">
        <v>5</v>
      </c>
      <c r="L31" s="908">
        <v>6</v>
      </c>
      <c r="M31" s="908">
        <v>7</v>
      </c>
      <c r="N31" s="908">
        <v>9</v>
      </c>
      <c r="O31" s="908">
        <v>10</v>
      </c>
      <c r="P31" s="908">
        <v>13</v>
      </c>
      <c r="Q31" s="908">
        <v>15</v>
      </c>
      <c r="R31" s="908">
        <v>16</v>
      </c>
      <c r="S31" s="908">
        <v>26</v>
      </c>
      <c r="T31" s="908">
        <v>0</v>
      </c>
      <c r="U31" s="908">
        <v>0</v>
      </c>
      <c r="V31" s="908">
        <v>0</v>
      </c>
      <c r="W31" s="926">
        <v>29</v>
      </c>
      <c r="X31" s="926">
        <v>9</v>
      </c>
      <c r="Y31" s="926">
        <v>41</v>
      </c>
      <c r="Z31" s="926">
        <v>27</v>
      </c>
      <c r="AA31" s="926">
        <v>20</v>
      </c>
      <c r="AB31" s="926">
        <v>27</v>
      </c>
      <c r="AC31" s="926">
        <v>13</v>
      </c>
    </row>
    <row r="32" spans="1:29" ht="12.75">
      <c r="A32" s="925" t="s">
        <v>175</v>
      </c>
      <c r="B32" s="906">
        <v>22</v>
      </c>
      <c r="C32" s="906">
        <v>20</v>
      </c>
      <c r="D32" s="906">
        <v>9</v>
      </c>
      <c r="E32" s="925" t="str">
        <f>"SA-ENECOR-"&amp;$G$14</f>
        <v>SA-ENECOR-12</v>
      </c>
      <c r="F32" s="925" t="s">
        <v>223</v>
      </c>
      <c r="G32" s="906">
        <v>3</v>
      </c>
      <c r="H32" s="907">
        <v>0</v>
      </c>
      <c r="I32" s="907">
        <v>0</v>
      </c>
      <c r="J32" s="906">
        <v>4</v>
      </c>
      <c r="K32" s="906">
        <v>5</v>
      </c>
      <c r="L32" s="906">
        <v>6</v>
      </c>
      <c r="M32" s="906">
        <v>8</v>
      </c>
      <c r="N32" s="906">
        <v>9</v>
      </c>
      <c r="O32" s="906">
        <v>12</v>
      </c>
      <c r="P32" s="906">
        <v>13</v>
      </c>
      <c r="Q32" s="906">
        <v>18</v>
      </c>
      <c r="R32" s="906">
        <v>0</v>
      </c>
      <c r="S32" s="906">
        <v>0</v>
      </c>
      <c r="T32" s="906">
        <v>0</v>
      </c>
      <c r="U32" s="906">
        <v>0</v>
      </c>
      <c r="V32" s="906">
        <v>0</v>
      </c>
      <c r="W32" s="925">
        <v>33</v>
      </c>
      <c r="X32" s="925">
        <v>9</v>
      </c>
      <c r="Y32" s="925">
        <v>43</v>
      </c>
      <c r="Z32" s="925">
        <v>20</v>
      </c>
      <c r="AA32" s="925">
        <v>20</v>
      </c>
      <c r="AB32" s="925">
        <v>20</v>
      </c>
      <c r="AC32" s="925">
        <v>12</v>
      </c>
    </row>
    <row r="33" spans="1:29" ht="12.75">
      <c r="A33" s="928" t="s">
        <v>231</v>
      </c>
      <c r="B33" s="923">
        <v>32</v>
      </c>
      <c r="C33" s="923">
        <v>25</v>
      </c>
      <c r="D33" s="923">
        <v>11</v>
      </c>
      <c r="E33" s="928" t="s">
        <v>231</v>
      </c>
      <c r="F33" s="927" t="s">
        <v>214</v>
      </c>
      <c r="G33" s="923">
        <v>0</v>
      </c>
      <c r="H33" s="923">
        <v>0</v>
      </c>
      <c r="I33" s="923">
        <v>0</v>
      </c>
      <c r="J33" s="923">
        <v>4</v>
      </c>
      <c r="K33" s="923">
        <v>5</v>
      </c>
      <c r="L33" s="923">
        <v>6</v>
      </c>
      <c r="M33" s="923">
        <v>7</v>
      </c>
      <c r="N33" s="923">
        <v>10</v>
      </c>
      <c r="O33" s="923">
        <v>11</v>
      </c>
      <c r="P33" s="923">
        <v>14</v>
      </c>
      <c r="Q33" s="923">
        <v>17</v>
      </c>
      <c r="R33" s="923">
        <v>28</v>
      </c>
      <c r="S33" s="923">
        <v>0</v>
      </c>
      <c r="T33" s="923">
        <v>0</v>
      </c>
      <c r="U33" s="923">
        <v>0</v>
      </c>
      <c r="V33" s="923">
        <v>0</v>
      </c>
      <c r="W33" s="927">
        <v>0</v>
      </c>
      <c r="X33" s="927">
        <v>0</v>
      </c>
      <c r="Y33" s="927">
        <v>0</v>
      </c>
      <c r="Z33" s="927">
        <v>0</v>
      </c>
      <c r="AA33" s="927">
        <v>0</v>
      </c>
      <c r="AB33" s="927">
        <v>0</v>
      </c>
      <c r="AC33" s="927">
        <v>0</v>
      </c>
    </row>
    <row r="34" spans="1:29" ht="12.75">
      <c r="A34" s="928" t="s">
        <v>243</v>
      </c>
      <c r="B34" s="923">
        <v>61</v>
      </c>
      <c r="C34" s="923">
        <v>25</v>
      </c>
      <c r="D34" s="924">
        <v>12</v>
      </c>
      <c r="E34" s="928" t="s">
        <v>243</v>
      </c>
      <c r="F34" s="927" t="s">
        <v>218</v>
      </c>
      <c r="G34" s="923">
        <v>0</v>
      </c>
      <c r="H34" s="923">
        <v>0</v>
      </c>
      <c r="I34" s="923">
        <v>0</v>
      </c>
      <c r="J34" s="923">
        <v>4</v>
      </c>
      <c r="K34" s="923">
        <v>5</v>
      </c>
      <c r="L34" s="923">
        <v>6</v>
      </c>
      <c r="M34" s="923">
        <v>8</v>
      </c>
      <c r="N34" s="923">
        <v>9</v>
      </c>
      <c r="O34" s="923">
        <v>10</v>
      </c>
      <c r="P34" s="923">
        <v>13</v>
      </c>
      <c r="Q34" s="923">
        <v>15</v>
      </c>
      <c r="R34" s="923">
        <v>16</v>
      </c>
      <c r="S34" s="923">
        <v>0</v>
      </c>
      <c r="T34" s="923">
        <v>0</v>
      </c>
      <c r="U34" s="923">
        <v>0</v>
      </c>
      <c r="V34" s="923">
        <v>0</v>
      </c>
      <c r="W34" s="927">
        <v>0</v>
      </c>
      <c r="X34" s="927">
        <v>0</v>
      </c>
      <c r="Y34" s="927">
        <v>0</v>
      </c>
      <c r="Z34" s="927">
        <v>0</v>
      </c>
      <c r="AA34" s="927">
        <v>0</v>
      </c>
      <c r="AB34" s="927">
        <v>0</v>
      </c>
      <c r="AC34" s="927">
        <v>0</v>
      </c>
    </row>
    <row r="35" spans="1:29" ht="12.75">
      <c r="A35" s="928" t="s">
        <v>243</v>
      </c>
      <c r="B35" s="923">
        <v>32</v>
      </c>
      <c r="C35" s="923">
        <v>25</v>
      </c>
      <c r="D35" s="923">
        <v>11</v>
      </c>
      <c r="E35" s="928" t="s">
        <v>243</v>
      </c>
      <c r="F35" s="927" t="s">
        <v>215</v>
      </c>
      <c r="G35" s="923">
        <v>0</v>
      </c>
      <c r="H35" s="923">
        <v>0</v>
      </c>
      <c r="I35" s="923">
        <v>0</v>
      </c>
      <c r="J35" s="923">
        <v>4</v>
      </c>
      <c r="K35" s="923">
        <v>5</v>
      </c>
      <c r="L35" s="923">
        <v>6</v>
      </c>
      <c r="M35" s="923">
        <v>7</v>
      </c>
      <c r="N35" s="923">
        <v>10</v>
      </c>
      <c r="O35" s="923">
        <v>11</v>
      </c>
      <c r="P35" s="923">
        <v>14</v>
      </c>
      <c r="Q35" s="923">
        <v>17</v>
      </c>
      <c r="R35" s="923">
        <v>28</v>
      </c>
      <c r="S35" s="923">
        <v>0</v>
      </c>
      <c r="T35" s="923">
        <v>0</v>
      </c>
      <c r="U35" s="923">
        <v>0</v>
      </c>
      <c r="V35" s="923">
        <v>0</v>
      </c>
      <c r="W35" s="927">
        <v>0</v>
      </c>
      <c r="X35" s="927">
        <v>0</v>
      </c>
      <c r="Y35" s="927">
        <v>0</v>
      </c>
      <c r="Z35" s="927">
        <v>0</v>
      </c>
      <c r="AA35" s="927">
        <v>0</v>
      </c>
      <c r="AB35" s="927">
        <v>0</v>
      </c>
      <c r="AC35" s="927">
        <v>0</v>
      </c>
    </row>
    <row r="36" spans="1:29" ht="12.75">
      <c r="A36" s="928" t="s">
        <v>244</v>
      </c>
      <c r="B36" s="923">
        <v>60</v>
      </c>
      <c r="C36" s="923">
        <v>36</v>
      </c>
      <c r="D36" s="923">
        <v>9</v>
      </c>
      <c r="E36" s="928" t="s">
        <v>244</v>
      </c>
      <c r="F36" s="927" t="s">
        <v>222</v>
      </c>
      <c r="G36" s="923">
        <v>0</v>
      </c>
      <c r="H36" s="923">
        <v>0</v>
      </c>
      <c r="I36" s="923">
        <v>0</v>
      </c>
      <c r="J36" s="923">
        <v>4</v>
      </c>
      <c r="K36" s="923">
        <v>5</v>
      </c>
      <c r="L36" s="923">
        <v>7</v>
      </c>
      <c r="M36" s="923">
        <v>9</v>
      </c>
      <c r="N36" s="923">
        <v>10</v>
      </c>
      <c r="O36" s="923">
        <v>13</v>
      </c>
      <c r="P36" s="923">
        <v>14</v>
      </c>
      <c r="Q36" s="923">
        <v>21</v>
      </c>
      <c r="R36" s="923">
        <v>0</v>
      </c>
      <c r="S36" s="923">
        <v>0</v>
      </c>
      <c r="T36" s="923">
        <v>0</v>
      </c>
      <c r="U36" s="923">
        <v>0</v>
      </c>
      <c r="V36" s="923">
        <v>0</v>
      </c>
      <c r="W36" s="927">
        <v>0</v>
      </c>
      <c r="X36" s="927">
        <v>0</v>
      </c>
      <c r="Y36" s="927">
        <v>0</v>
      </c>
      <c r="Z36" s="927">
        <v>0</v>
      </c>
      <c r="AA36" s="927">
        <v>0</v>
      </c>
      <c r="AB36" s="927">
        <v>0</v>
      </c>
      <c r="AC36" s="927">
        <v>0</v>
      </c>
    </row>
    <row r="37" spans="1:29" ht="12.75">
      <c r="A37" s="928" t="s">
        <v>244</v>
      </c>
      <c r="B37" s="923">
        <v>31</v>
      </c>
      <c r="C37" s="923">
        <v>25</v>
      </c>
      <c r="D37" s="924">
        <v>12</v>
      </c>
      <c r="E37" s="928" t="s">
        <v>244</v>
      </c>
      <c r="F37" s="927" t="s">
        <v>220</v>
      </c>
      <c r="G37" s="923">
        <v>0</v>
      </c>
      <c r="H37" s="923">
        <v>0</v>
      </c>
      <c r="I37" s="923">
        <v>0</v>
      </c>
      <c r="J37" s="923">
        <v>4</v>
      </c>
      <c r="K37" s="923">
        <v>5</v>
      </c>
      <c r="L37" s="923">
        <v>6</v>
      </c>
      <c r="M37" s="923">
        <v>7</v>
      </c>
      <c r="N37" s="923">
        <v>9</v>
      </c>
      <c r="O37" s="923">
        <v>10</v>
      </c>
      <c r="P37" s="923">
        <v>13</v>
      </c>
      <c r="Q37" s="923">
        <v>15</v>
      </c>
      <c r="R37" s="923">
        <v>16</v>
      </c>
      <c r="S37" s="923">
        <v>0</v>
      </c>
      <c r="T37" s="923">
        <v>0</v>
      </c>
      <c r="U37" s="923">
        <v>0</v>
      </c>
      <c r="V37" s="923">
        <v>0</v>
      </c>
      <c r="W37" s="927">
        <v>0</v>
      </c>
      <c r="X37" s="927">
        <v>0</v>
      </c>
      <c r="Y37" s="927">
        <v>0</v>
      </c>
      <c r="Z37" s="927">
        <v>0</v>
      </c>
      <c r="AA37" s="927">
        <v>0</v>
      </c>
      <c r="AB37" s="927">
        <v>0</v>
      </c>
      <c r="AC37" s="927">
        <v>0</v>
      </c>
    </row>
    <row r="38" spans="1:29" ht="12.75">
      <c r="A38" s="928" t="s">
        <v>245</v>
      </c>
      <c r="B38" s="923">
        <v>60</v>
      </c>
      <c r="C38" s="923">
        <v>25</v>
      </c>
      <c r="D38" s="923">
        <v>9</v>
      </c>
      <c r="E38" s="928" t="s">
        <v>245</v>
      </c>
      <c r="F38" s="927" t="s">
        <v>223</v>
      </c>
      <c r="G38" s="923">
        <v>0</v>
      </c>
      <c r="H38" s="923">
        <v>0</v>
      </c>
      <c r="I38" s="923">
        <v>0</v>
      </c>
      <c r="J38" s="923">
        <v>4</v>
      </c>
      <c r="K38" s="923">
        <v>5</v>
      </c>
      <c r="L38" s="923">
        <v>7</v>
      </c>
      <c r="M38" s="923">
        <v>9</v>
      </c>
      <c r="N38" s="923">
        <v>10</v>
      </c>
      <c r="O38" s="923">
        <v>13</v>
      </c>
      <c r="P38" s="923">
        <v>14</v>
      </c>
      <c r="Q38" s="923">
        <v>21</v>
      </c>
      <c r="R38" s="923">
        <v>0</v>
      </c>
      <c r="S38" s="923">
        <v>0</v>
      </c>
      <c r="T38" s="923">
        <v>0</v>
      </c>
      <c r="U38" s="923">
        <v>0</v>
      </c>
      <c r="V38" s="923">
        <v>0</v>
      </c>
      <c r="W38" s="927">
        <v>0</v>
      </c>
      <c r="X38" s="927">
        <v>0</v>
      </c>
      <c r="Y38" s="927">
        <v>0</v>
      </c>
      <c r="Z38" s="927">
        <v>0</v>
      </c>
      <c r="AA38" s="927">
        <v>0</v>
      </c>
      <c r="AB38" s="927">
        <v>0</v>
      </c>
      <c r="AC38" s="927">
        <v>0</v>
      </c>
    </row>
    <row r="39" spans="1:29" ht="12.75">
      <c r="A39" s="928" t="s">
        <v>245</v>
      </c>
      <c r="B39" s="923">
        <v>31</v>
      </c>
      <c r="C39" s="923">
        <v>25</v>
      </c>
      <c r="D39" s="924">
        <v>12</v>
      </c>
      <c r="E39" s="928" t="s">
        <v>245</v>
      </c>
      <c r="F39" s="927" t="s">
        <v>219</v>
      </c>
      <c r="G39" s="923">
        <v>0</v>
      </c>
      <c r="H39" s="923">
        <v>0</v>
      </c>
      <c r="I39" s="923">
        <v>0</v>
      </c>
      <c r="J39" s="923">
        <v>4</v>
      </c>
      <c r="K39" s="923">
        <v>5</v>
      </c>
      <c r="L39" s="923">
        <v>6</v>
      </c>
      <c r="M39" s="923">
        <v>7</v>
      </c>
      <c r="N39" s="923">
        <v>9</v>
      </c>
      <c r="O39" s="923">
        <v>10</v>
      </c>
      <c r="P39" s="923">
        <v>13</v>
      </c>
      <c r="Q39" s="923">
        <v>15</v>
      </c>
      <c r="R39" s="923">
        <v>16</v>
      </c>
      <c r="S39" s="923">
        <v>0</v>
      </c>
      <c r="T39" s="923">
        <v>0</v>
      </c>
      <c r="U39" s="923">
        <v>0</v>
      </c>
      <c r="V39" s="923">
        <v>0</v>
      </c>
      <c r="W39" s="927">
        <v>0</v>
      </c>
      <c r="X39" s="927">
        <v>0</v>
      </c>
      <c r="Y39" s="927">
        <v>0</v>
      </c>
      <c r="Z39" s="927">
        <v>0</v>
      </c>
      <c r="AA39" s="927">
        <v>0</v>
      </c>
      <c r="AB39" s="927">
        <v>0</v>
      </c>
      <c r="AC39" s="927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5"/>
  <sheetViews>
    <sheetView zoomScale="75" zoomScaleNormal="75" workbookViewId="0" topLeftCell="C17">
      <selection activeCell="K23" sqref="K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4.140625" style="0" hidden="1" customWidth="1"/>
    <col min="9" max="9" width="7.42187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0" width="9.421875" style="0" hidden="1" customWidth="1"/>
    <col min="21" max="21" width="11.00390625" style="0" hidden="1" customWidth="1"/>
    <col min="22" max="22" width="9.7109375" style="0" hidden="1" customWidth="1"/>
    <col min="23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+'TOT-1208'!B2</f>
        <v>ANEXO I al Memorándum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70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163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'TOT-1208'!B14</f>
        <v>Desde el 01 al 31 de diciembre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97</v>
      </c>
      <c r="E16" s="910">
        <v>117.179</v>
      </c>
      <c r="F16" s="208"/>
      <c r="G16" s="4"/>
      <c r="H16" s="4"/>
      <c r="I16" s="4"/>
      <c r="J16" s="4"/>
      <c r="K16" s="4" t="s">
        <v>366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98</v>
      </c>
      <c r="E17" s="910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3" t="s">
        <v>14</v>
      </c>
      <c r="F19" s="86" t="s">
        <v>15</v>
      </c>
      <c r="G19" s="220" t="s">
        <v>77</v>
      </c>
      <c r="H19" s="834" t="s">
        <v>37</v>
      </c>
      <c r="I19" s="835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36" t="s">
        <v>21</v>
      </c>
      <c r="T19" s="222" t="s">
        <v>60</v>
      </c>
      <c r="U19" s="223"/>
      <c r="V19" s="224"/>
      <c r="W19" s="837" t="s">
        <v>164</v>
      </c>
      <c r="X19" s="838"/>
      <c r="Y19" s="839"/>
      <c r="Z19" s="225" t="s">
        <v>22</v>
      </c>
      <c r="AA19" s="226" t="s">
        <v>79</v>
      </c>
      <c r="AB19" s="133" t="s">
        <v>80</v>
      </c>
      <c r="AC19" s="133" t="s">
        <v>24</v>
      </c>
      <c r="AD19" s="227"/>
    </row>
    <row r="20" spans="2:30" s="5" customFormat="1" ht="16.5" customHeight="1" thickTop="1">
      <c r="B20" s="50"/>
      <c r="C20" s="185"/>
      <c r="D20" s="889"/>
      <c r="E20" s="889"/>
      <c r="F20" s="911"/>
      <c r="G20" s="888"/>
      <c r="H20" s="890"/>
      <c r="I20" s="891"/>
      <c r="J20" s="903"/>
      <c r="K20" s="903"/>
      <c r="L20" s="888"/>
      <c r="M20" s="888"/>
      <c r="N20" s="888"/>
      <c r="O20" s="888"/>
      <c r="P20" s="888"/>
      <c r="Q20" s="888"/>
      <c r="R20" s="892"/>
      <c r="S20" s="893"/>
      <c r="T20" s="894"/>
      <c r="U20" s="895"/>
      <c r="V20" s="896"/>
      <c r="W20" s="897"/>
      <c r="X20" s="898"/>
      <c r="Y20" s="899"/>
      <c r="Z20" s="900"/>
      <c r="AA20" s="901"/>
      <c r="AB20" s="888"/>
      <c r="AC20" s="840"/>
      <c r="AD20" s="17"/>
    </row>
    <row r="21" spans="2:30" s="5" customFormat="1" ht="16.5" customHeight="1">
      <c r="B21" s="50"/>
      <c r="C21" s="289"/>
      <c r="D21" s="187"/>
      <c r="E21" s="7"/>
      <c r="F21" s="912"/>
      <c r="G21" s="187"/>
      <c r="H21" s="841"/>
      <c r="I21" s="842"/>
      <c r="J21" s="228"/>
      <c r="K21" s="116"/>
      <c r="L21" s="187"/>
      <c r="M21" s="187"/>
      <c r="N21" s="188"/>
      <c r="O21" s="187"/>
      <c r="P21" s="187"/>
      <c r="Q21" s="187"/>
      <c r="R21" s="843"/>
      <c r="S21" s="844"/>
      <c r="T21" s="845"/>
      <c r="U21" s="846"/>
      <c r="V21" s="847"/>
      <c r="W21" s="848"/>
      <c r="X21" s="849"/>
      <c r="Y21" s="850"/>
      <c r="Z21" s="229"/>
      <c r="AA21" s="230"/>
      <c r="AB21" s="187"/>
      <c r="AC21" s="231"/>
      <c r="AD21" s="17"/>
    </row>
    <row r="22" spans="2:30" s="5" customFormat="1" ht="16.5" customHeight="1">
      <c r="B22" s="50"/>
      <c r="C22" s="157">
        <v>1</v>
      </c>
      <c r="D22" s="157" t="s">
        <v>274</v>
      </c>
      <c r="E22" s="190">
        <v>500</v>
      </c>
      <c r="F22" s="913">
        <v>76</v>
      </c>
      <c r="G22" s="190" t="s">
        <v>258</v>
      </c>
      <c r="H22" s="851">
        <f aca="true" t="shared" si="0" ref="H22:H41">IF(G22="A",200,IF(G22="B",60,20))</f>
        <v>20</v>
      </c>
      <c r="I22" s="852">
        <f aca="true" t="shared" si="1" ref="I22:I41">IF(E22=500,IF(F22&lt;100,100*$E$16/100,F22*$E$16/100),IF(F22&lt;100,100*$E$17/100,F22*$E$17/100))</f>
        <v>117.179</v>
      </c>
      <c r="J22" s="853">
        <v>39783</v>
      </c>
      <c r="K22" s="854">
        <v>39788.725</v>
      </c>
      <c r="L22" s="193">
        <f aca="true" t="shared" si="2" ref="L22:L41">IF(D22="","",(K22-J22)*24)</f>
        <v>137.39999999996508</v>
      </c>
      <c r="M22" s="194">
        <f aca="true" t="shared" si="3" ref="M22:M41">IF(D22="","",ROUND((K22-J22)*24*60,0))</f>
        <v>8244</v>
      </c>
      <c r="N22" s="234" t="s">
        <v>250</v>
      </c>
      <c r="O22" s="195" t="str">
        <f aca="true" t="shared" si="4" ref="O22:O41">IF(D22="","","--")</f>
        <v>--</v>
      </c>
      <c r="P22" s="155" t="str">
        <f aca="true" t="shared" si="5" ref="P22:P41">IF(D22="","","NO")</f>
        <v>NO</v>
      </c>
      <c r="Q22" s="155" t="str">
        <f aca="true" t="shared" si="6" ref="Q22:Q41">IF(D22="","",IF(OR(N22="P",N22="RP"),"--","NO"))</f>
        <v>--</v>
      </c>
      <c r="R22" s="855">
        <f aca="true" t="shared" si="7" ref="R22:R41">IF(N22="P",I22*H22*ROUND(M22/60,2)*0.01,"--")</f>
        <v>3220.07892</v>
      </c>
      <c r="S22" s="856" t="str">
        <f aca="true" t="shared" si="8" ref="S22:S41">IF(N22="RP",I22*H22*ROUND(M22/60,2)*0.01*O22/100,"--")</f>
        <v>--</v>
      </c>
      <c r="T22" s="237" t="str">
        <f aca="true" t="shared" si="9" ref="T22:T41">IF(AND(N22="F",Q22="NO"),I22*H22*IF(P22="SI",1.2,1),"--")</f>
        <v>--</v>
      </c>
      <c r="U22" s="238" t="str">
        <f aca="true" t="shared" si="10" ref="U22:U41">IF(AND(N22="F",M22&gt;=10),I22*H22*IF(P22="SI",1.2,1)*IF(M22&lt;=300,ROUND(M22/60,2),5),"--")</f>
        <v>--</v>
      </c>
      <c r="V22" s="239" t="str">
        <f aca="true" t="shared" si="11" ref="V22:V41">IF(AND(N22="F",M22&gt;300),(ROUND(M22/60,2)-5)*I22*H22*0.1*IF(P22="SI",1.2,1),"--")</f>
        <v>--</v>
      </c>
      <c r="W22" s="857" t="str">
        <f aca="true" t="shared" si="12" ref="W22:W41">IF(AND(N22="R",Q22="NO"),I22*H22*O22/100*IF(P22="SI",1.2,1),"--")</f>
        <v>--</v>
      </c>
      <c r="X22" s="858" t="str">
        <f aca="true" t="shared" si="13" ref="X22:X41">IF(AND(N22="R",M22&gt;=10),I22*H22*O22/100*IF(P22="SI",1.2,1)*IF(M22&lt;=300,ROUND(M22/60,2),5),"--")</f>
        <v>--</v>
      </c>
      <c r="Y22" s="859" t="str">
        <f aca="true" t="shared" si="14" ref="Y22:Y41">IF(AND(N22="R",M22&gt;300),(ROUND(M22/60,2)-5)*I22*H22*0.1*O22/100*IF(P22="SI",1.2,1),"--")</f>
        <v>--</v>
      </c>
      <c r="Z22" s="240" t="str">
        <f aca="true" t="shared" si="15" ref="Z22:Z41">IF(N22="RF",ROUND(M22/60,2)*I22*H22*0.1*IF(P22="SI",1.2,1),"--")</f>
        <v>--</v>
      </c>
      <c r="AA22" s="241" t="str">
        <f aca="true" t="shared" si="16" ref="AA22:AA41">IF(N22="RR",ROUND(M22/60,2)*I22*H22*0.1*O22/100*IF(P22="SI",1.2,1),"--")</f>
        <v>--</v>
      </c>
      <c r="AB22" s="860" t="s">
        <v>247</v>
      </c>
      <c r="AC22" s="16">
        <f aca="true" t="shared" si="17" ref="AC22:AC41">IF(D22="","",SUM(R22:AA22)*IF(AB22="SI",1,2))</f>
        <v>3220.07892</v>
      </c>
      <c r="AD22" s="861"/>
    </row>
    <row r="23" spans="2:30" s="5" customFormat="1" ht="16.5" customHeight="1">
      <c r="B23" s="50"/>
      <c r="C23" s="289">
        <v>2</v>
      </c>
      <c r="D23" s="157" t="s">
        <v>275</v>
      </c>
      <c r="E23" s="190">
        <v>220</v>
      </c>
      <c r="F23" s="913">
        <v>114</v>
      </c>
      <c r="G23" s="190" t="s">
        <v>258</v>
      </c>
      <c r="H23" s="851">
        <f t="shared" si="0"/>
        <v>20</v>
      </c>
      <c r="I23" s="852">
        <f t="shared" si="1"/>
        <v>111.31986</v>
      </c>
      <c r="J23" s="853">
        <v>39783.45277777778</v>
      </c>
      <c r="K23" s="854">
        <v>39783.69027777778</v>
      </c>
      <c r="L23" s="193">
        <f t="shared" si="2"/>
        <v>5.700000000069849</v>
      </c>
      <c r="M23" s="194">
        <f t="shared" si="3"/>
        <v>342</v>
      </c>
      <c r="N23" s="234" t="s">
        <v>250</v>
      </c>
      <c r="O23" s="195" t="str">
        <f t="shared" si="4"/>
        <v>--</v>
      </c>
      <c r="P23" s="155" t="str">
        <f t="shared" si="5"/>
        <v>NO</v>
      </c>
      <c r="Q23" s="155" t="str">
        <f t="shared" si="6"/>
        <v>--</v>
      </c>
      <c r="R23" s="855">
        <f t="shared" si="7"/>
        <v>126.90464040000003</v>
      </c>
      <c r="S23" s="856" t="str">
        <f t="shared" si="8"/>
        <v>--</v>
      </c>
      <c r="T23" s="237" t="str">
        <f t="shared" si="9"/>
        <v>--</v>
      </c>
      <c r="U23" s="238" t="str">
        <f t="shared" si="10"/>
        <v>--</v>
      </c>
      <c r="V23" s="239" t="str">
        <f t="shared" si="11"/>
        <v>--</v>
      </c>
      <c r="W23" s="857" t="str">
        <f t="shared" si="12"/>
        <v>--</v>
      </c>
      <c r="X23" s="858" t="str">
        <f t="shared" si="13"/>
        <v>--</v>
      </c>
      <c r="Y23" s="859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60" t="s">
        <v>247</v>
      </c>
      <c r="AC23" s="16">
        <f t="shared" si="17"/>
        <v>126.90464040000003</v>
      </c>
      <c r="AD23" s="861"/>
    </row>
    <row r="24" spans="2:30" s="5" customFormat="1" ht="16.5" customHeight="1">
      <c r="B24" s="50"/>
      <c r="C24" s="157">
        <v>3</v>
      </c>
      <c r="D24" s="862" t="s">
        <v>276</v>
      </c>
      <c r="E24" s="863">
        <v>132</v>
      </c>
      <c r="F24" s="914">
        <v>6</v>
      </c>
      <c r="G24" s="863" t="s">
        <v>258</v>
      </c>
      <c r="H24" s="851">
        <f t="shared" si="0"/>
        <v>20</v>
      </c>
      <c r="I24" s="852">
        <f t="shared" si="1"/>
        <v>97.649</v>
      </c>
      <c r="J24" s="864">
        <v>39783.59305555555</v>
      </c>
      <c r="K24" s="865">
        <v>39783.760416666664</v>
      </c>
      <c r="L24" s="193">
        <f t="shared" si="2"/>
        <v>4.016666666662786</v>
      </c>
      <c r="M24" s="194">
        <f t="shared" si="3"/>
        <v>241</v>
      </c>
      <c r="N24" s="234" t="s">
        <v>250</v>
      </c>
      <c r="O24" s="195" t="str">
        <f t="shared" si="4"/>
        <v>--</v>
      </c>
      <c r="P24" s="155" t="str">
        <f t="shared" si="5"/>
        <v>NO</v>
      </c>
      <c r="Q24" s="155" t="str">
        <f t="shared" si="6"/>
        <v>--</v>
      </c>
      <c r="R24" s="855">
        <f t="shared" si="7"/>
        <v>78.509796</v>
      </c>
      <c r="S24" s="856" t="str">
        <f t="shared" si="8"/>
        <v>--</v>
      </c>
      <c r="T24" s="237" t="str">
        <f t="shared" si="9"/>
        <v>--</v>
      </c>
      <c r="U24" s="238" t="str">
        <f t="shared" si="10"/>
        <v>--</v>
      </c>
      <c r="V24" s="239" t="str">
        <f t="shared" si="11"/>
        <v>--</v>
      </c>
      <c r="W24" s="857" t="str">
        <f t="shared" si="12"/>
        <v>--</v>
      </c>
      <c r="X24" s="858" t="str">
        <f t="shared" si="13"/>
        <v>--</v>
      </c>
      <c r="Y24" s="859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60" t="s">
        <v>247</v>
      </c>
      <c r="AC24" s="16">
        <f t="shared" si="17"/>
        <v>78.509796</v>
      </c>
      <c r="AD24" s="861"/>
    </row>
    <row r="25" spans="2:30" s="5" customFormat="1" ht="16.5" customHeight="1">
      <c r="B25" s="50"/>
      <c r="C25" s="289">
        <v>4</v>
      </c>
      <c r="D25" s="862" t="s">
        <v>277</v>
      </c>
      <c r="E25" s="863">
        <v>220</v>
      </c>
      <c r="F25" s="914">
        <v>114</v>
      </c>
      <c r="G25" s="863" t="s">
        <v>258</v>
      </c>
      <c r="H25" s="851">
        <f t="shared" si="0"/>
        <v>20</v>
      </c>
      <c r="I25" s="852">
        <f t="shared" si="1"/>
        <v>111.31986</v>
      </c>
      <c r="J25" s="864">
        <v>39784.34444444445</v>
      </c>
      <c r="K25" s="865">
        <v>39784.629166666666</v>
      </c>
      <c r="L25" s="193">
        <f t="shared" si="2"/>
        <v>6.833333333255723</v>
      </c>
      <c r="M25" s="194">
        <f t="shared" si="3"/>
        <v>410</v>
      </c>
      <c r="N25" s="234" t="s">
        <v>250</v>
      </c>
      <c r="O25" s="195" t="str">
        <f t="shared" si="4"/>
        <v>--</v>
      </c>
      <c r="P25" s="155" t="str">
        <f t="shared" si="5"/>
        <v>NO</v>
      </c>
      <c r="Q25" s="155" t="str">
        <f t="shared" si="6"/>
        <v>--</v>
      </c>
      <c r="R25" s="855">
        <f t="shared" si="7"/>
        <v>152.06292876000003</v>
      </c>
      <c r="S25" s="856" t="str">
        <f t="shared" si="8"/>
        <v>--</v>
      </c>
      <c r="T25" s="237" t="str">
        <f t="shared" si="9"/>
        <v>--</v>
      </c>
      <c r="U25" s="238" t="str">
        <f t="shared" si="10"/>
        <v>--</v>
      </c>
      <c r="V25" s="239" t="str">
        <f t="shared" si="11"/>
        <v>--</v>
      </c>
      <c r="W25" s="857" t="str">
        <f t="shared" si="12"/>
        <v>--</v>
      </c>
      <c r="X25" s="858" t="str">
        <f t="shared" si="13"/>
        <v>--</v>
      </c>
      <c r="Y25" s="859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60" t="s">
        <v>247</v>
      </c>
      <c r="AC25" s="16">
        <f t="shared" si="17"/>
        <v>152.06292876000003</v>
      </c>
      <c r="AD25" s="861"/>
    </row>
    <row r="26" spans="2:30" s="5" customFormat="1" ht="16.5" customHeight="1">
      <c r="B26" s="50"/>
      <c r="C26" s="157">
        <v>5</v>
      </c>
      <c r="D26" s="157" t="s">
        <v>276</v>
      </c>
      <c r="E26" s="190">
        <v>132</v>
      </c>
      <c r="F26" s="913">
        <v>6</v>
      </c>
      <c r="G26" s="190" t="s">
        <v>258</v>
      </c>
      <c r="H26" s="851">
        <f t="shared" si="0"/>
        <v>20</v>
      </c>
      <c r="I26" s="852">
        <f t="shared" si="1"/>
        <v>97.649</v>
      </c>
      <c r="J26" s="853">
        <v>39784.364583333336</v>
      </c>
      <c r="K26" s="854">
        <v>39784.725694444445</v>
      </c>
      <c r="L26" s="193">
        <f t="shared" si="2"/>
        <v>8.666666666627862</v>
      </c>
      <c r="M26" s="194">
        <f t="shared" si="3"/>
        <v>520</v>
      </c>
      <c r="N26" s="234" t="s">
        <v>250</v>
      </c>
      <c r="O26" s="195" t="str">
        <f t="shared" si="4"/>
        <v>--</v>
      </c>
      <c r="P26" s="155" t="str">
        <f t="shared" si="5"/>
        <v>NO</v>
      </c>
      <c r="Q26" s="155" t="str">
        <f t="shared" si="6"/>
        <v>--</v>
      </c>
      <c r="R26" s="855">
        <f t="shared" si="7"/>
        <v>169.323366</v>
      </c>
      <c r="S26" s="856" t="str">
        <f t="shared" si="8"/>
        <v>--</v>
      </c>
      <c r="T26" s="237" t="str">
        <f t="shared" si="9"/>
        <v>--</v>
      </c>
      <c r="U26" s="238" t="str">
        <f t="shared" si="10"/>
        <v>--</v>
      </c>
      <c r="V26" s="239" t="str">
        <f t="shared" si="11"/>
        <v>--</v>
      </c>
      <c r="W26" s="857" t="str">
        <f t="shared" si="12"/>
        <v>--</v>
      </c>
      <c r="X26" s="858" t="str">
        <f t="shared" si="13"/>
        <v>--</v>
      </c>
      <c r="Y26" s="859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60" t="s">
        <v>247</v>
      </c>
      <c r="AC26" s="16">
        <f t="shared" si="17"/>
        <v>169.323366</v>
      </c>
      <c r="AD26" s="861"/>
    </row>
    <row r="27" spans="2:30" s="5" customFormat="1" ht="16.5" customHeight="1">
      <c r="B27" s="50"/>
      <c r="C27" s="289">
        <v>6</v>
      </c>
      <c r="D27" s="157" t="s">
        <v>278</v>
      </c>
      <c r="E27" s="190">
        <v>220</v>
      </c>
      <c r="F27" s="913">
        <v>61</v>
      </c>
      <c r="G27" s="190" t="s">
        <v>258</v>
      </c>
      <c r="H27" s="851">
        <f t="shared" si="0"/>
        <v>20</v>
      </c>
      <c r="I27" s="852">
        <f t="shared" si="1"/>
        <v>97.649</v>
      </c>
      <c r="J27" s="853">
        <v>39785.39097222222</v>
      </c>
      <c r="K27" s="854">
        <v>39785.60277777778</v>
      </c>
      <c r="L27" s="193">
        <f t="shared" si="2"/>
        <v>5.083333333313931</v>
      </c>
      <c r="M27" s="194">
        <f t="shared" si="3"/>
        <v>305</v>
      </c>
      <c r="N27" s="234" t="s">
        <v>250</v>
      </c>
      <c r="O27" s="195" t="str">
        <f t="shared" si="4"/>
        <v>--</v>
      </c>
      <c r="P27" s="155" t="str">
        <f t="shared" si="5"/>
        <v>NO</v>
      </c>
      <c r="Q27" s="155" t="str">
        <f t="shared" si="6"/>
        <v>--</v>
      </c>
      <c r="R27" s="855">
        <f t="shared" si="7"/>
        <v>99.211384</v>
      </c>
      <c r="S27" s="856" t="str">
        <f t="shared" si="8"/>
        <v>--</v>
      </c>
      <c r="T27" s="237" t="str">
        <f t="shared" si="9"/>
        <v>--</v>
      </c>
      <c r="U27" s="238" t="str">
        <f t="shared" si="10"/>
        <v>--</v>
      </c>
      <c r="V27" s="239" t="str">
        <f t="shared" si="11"/>
        <v>--</v>
      </c>
      <c r="W27" s="857" t="str">
        <f t="shared" si="12"/>
        <v>--</v>
      </c>
      <c r="X27" s="858" t="str">
        <f t="shared" si="13"/>
        <v>--</v>
      </c>
      <c r="Y27" s="859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60" t="s">
        <v>247</v>
      </c>
      <c r="AC27" s="16">
        <f t="shared" si="17"/>
        <v>99.211384</v>
      </c>
      <c r="AD27" s="861"/>
    </row>
    <row r="28" spans="2:30" s="5" customFormat="1" ht="16.5" customHeight="1">
      <c r="B28" s="50"/>
      <c r="C28" s="157">
        <v>7</v>
      </c>
      <c r="D28" s="148" t="s">
        <v>279</v>
      </c>
      <c r="E28" s="150">
        <v>220</v>
      </c>
      <c r="F28" s="915">
        <v>61</v>
      </c>
      <c r="G28" s="150" t="s">
        <v>258</v>
      </c>
      <c r="H28" s="851">
        <f t="shared" si="0"/>
        <v>20</v>
      </c>
      <c r="I28" s="852">
        <f t="shared" si="1"/>
        <v>97.649</v>
      </c>
      <c r="J28" s="191">
        <v>39786.35486111111</v>
      </c>
      <c r="K28" s="233">
        <v>39786.649305555555</v>
      </c>
      <c r="L28" s="193">
        <f t="shared" si="2"/>
        <v>7.066666666651145</v>
      </c>
      <c r="M28" s="194">
        <f t="shared" si="3"/>
        <v>424</v>
      </c>
      <c r="N28" s="234" t="s">
        <v>250</v>
      </c>
      <c r="O28" s="195" t="str">
        <f t="shared" si="4"/>
        <v>--</v>
      </c>
      <c r="P28" s="155" t="str">
        <f t="shared" si="5"/>
        <v>NO</v>
      </c>
      <c r="Q28" s="155" t="str">
        <f t="shared" si="6"/>
        <v>--</v>
      </c>
      <c r="R28" s="855">
        <f t="shared" si="7"/>
        <v>138.07568600000002</v>
      </c>
      <c r="S28" s="856" t="str">
        <f t="shared" si="8"/>
        <v>--</v>
      </c>
      <c r="T28" s="237" t="str">
        <f t="shared" si="9"/>
        <v>--</v>
      </c>
      <c r="U28" s="238" t="str">
        <f t="shared" si="10"/>
        <v>--</v>
      </c>
      <c r="V28" s="239" t="str">
        <f t="shared" si="11"/>
        <v>--</v>
      </c>
      <c r="W28" s="857" t="str">
        <f t="shared" si="12"/>
        <v>--</v>
      </c>
      <c r="X28" s="858" t="str">
        <f t="shared" si="13"/>
        <v>--</v>
      </c>
      <c r="Y28" s="859" t="str">
        <f t="shared" si="14"/>
        <v>--</v>
      </c>
      <c r="Z28" s="240" t="str">
        <f t="shared" si="15"/>
        <v>--</v>
      </c>
      <c r="AA28" s="241" t="str">
        <f t="shared" si="16"/>
        <v>--</v>
      </c>
      <c r="AB28" s="860" t="s">
        <v>247</v>
      </c>
      <c r="AC28" s="16">
        <f t="shared" si="17"/>
        <v>138.07568600000002</v>
      </c>
      <c r="AD28" s="861"/>
    </row>
    <row r="29" spans="2:30" s="5" customFormat="1" ht="16.5" customHeight="1">
      <c r="B29" s="50"/>
      <c r="C29" s="289">
        <v>8</v>
      </c>
      <c r="D29" s="148" t="s">
        <v>280</v>
      </c>
      <c r="E29" s="150">
        <v>500</v>
      </c>
      <c r="F29" s="915">
        <v>313</v>
      </c>
      <c r="G29" s="150" t="s">
        <v>281</v>
      </c>
      <c r="H29" s="851">
        <f t="shared" si="0"/>
        <v>200</v>
      </c>
      <c r="I29" s="852">
        <f t="shared" si="1"/>
        <v>366.77027000000004</v>
      </c>
      <c r="J29" s="191">
        <v>39788.271527777775</v>
      </c>
      <c r="K29" s="233">
        <v>39788.78888888889</v>
      </c>
      <c r="L29" s="193">
        <f t="shared" si="2"/>
        <v>12.416666666802485</v>
      </c>
      <c r="M29" s="194">
        <f t="shared" si="3"/>
        <v>745</v>
      </c>
      <c r="N29" s="234" t="s">
        <v>250</v>
      </c>
      <c r="O29" s="195" t="str">
        <f t="shared" si="4"/>
        <v>--</v>
      </c>
      <c r="P29" s="155" t="str">
        <f t="shared" si="5"/>
        <v>NO</v>
      </c>
      <c r="Q29" s="155" t="str">
        <f t="shared" si="6"/>
        <v>--</v>
      </c>
      <c r="R29" s="855">
        <f t="shared" si="7"/>
        <v>9110.573506800001</v>
      </c>
      <c r="S29" s="856" t="str">
        <f t="shared" si="8"/>
        <v>--</v>
      </c>
      <c r="T29" s="237" t="str">
        <f t="shared" si="9"/>
        <v>--</v>
      </c>
      <c r="U29" s="238" t="str">
        <f t="shared" si="10"/>
        <v>--</v>
      </c>
      <c r="V29" s="239" t="str">
        <f t="shared" si="11"/>
        <v>--</v>
      </c>
      <c r="W29" s="857" t="str">
        <f t="shared" si="12"/>
        <v>--</v>
      </c>
      <c r="X29" s="858" t="str">
        <f t="shared" si="13"/>
        <v>--</v>
      </c>
      <c r="Y29" s="859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60" t="s">
        <v>247</v>
      </c>
      <c r="AC29" s="16">
        <f t="shared" si="17"/>
        <v>9110.573506800001</v>
      </c>
      <c r="AD29" s="861"/>
    </row>
    <row r="30" spans="2:30" s="5" customFormat="1" ht="16.5" customHeight="1">
      <c r="B30" s="50"/>
      <c r="C30" s="157">
        <v>9</v>
      </c>
      <c r="D30" s="148" t="s">
        <v>279</v>
      </c>
      <c r="E30" s="150">
        <v>220</v>
      </c>
      <c r="F30" s="915">
        <v>61</v>
      </c>
      <c r="G30" s="150" t="s">
        <v>258</v>
      </c>
      <c r="H30" s="851">
        <f t="shared" si="0"/>
        <v>20</v>
      </c>
      <c r="I30" s="852">
        <f t="shared" si="1"/>
        <v>97.649</v>
      </c>
      <c r="J30" s="191">
        <v>39788.31527777778</v>
      </c>
      <c r="K30" s="233">
        <v>39788.57013888889</v>
      </c>
      <c r="L30" s="193">
        <f t="shared" si="2"/>
        <v>6.116666666697711</v>
      </c>
      <c r="M30" s="194">
        <f t="shared" si="3"/>
        <v>367</v>
      </c>
      <c r="N30" s="234" t="s">
        <v>250</v>
      </c>
      <c r="O30" s="195" t="str">
        <f t="shared" si="4"/>
        <v>--</v>
      </c>
      <c r="P30" s="155" t="str">
        <f t="shared" si="5"/>
        <v>NO</v>
      </c>
      <c r="Q30" s="155" t="str">
        <f t="shared" si="6"/>
        <v>--</v>
      </c>
      <c r="R30" s="855">
        <f t="shared" si="7"/>
        <v>119.52237600000001</v>
      </c>
      <c r="S30" s="856" t="str">
        <f t="shared" si="8"/>
        <v>--</v>
      </c>
      <c r="T30" s="237" t="str">
        <f t="shared" si="9"/>
        <v>--</v>
      </c>
      <c r="U30" s="238" t="str">
        <f t="shared" si="10"/>
        <v>--</v>
      </c>
      <c r="V30" s="239" t="str">
        <f t="shared" si="11"/>
        <v>--</v>
      </c>
      <c r="W30" s="857" t="str">
        <f t="shared" si="12"/>
        <v>--</v>
      </c>
      <c r="X30" s="858" t="str">
        <f t="shared" si="13"/>
        <v>--</v>
      </c>
      <c r="Y30" s="859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60" t="s">
        <v>247</v>
      </c>
      <c r="AC30" s="16">
        <v>0</v>
      </c>
      <c r="AD30" s="861"/>
    </row>
    <row r="31" spans="2:30" s="5" customFormat="1" ht="16.5" customHeight="1">
      <c r="B31" s="50"/>
      <c r="C31" s="289">
        <v>10</v>
      </c>
      <c r="D31" s="148" t="s">
        <v>282</v>
      </c>
      <c r="E31" s="150">
        <v>220</v>
      </c>
      <c r="F31" s="915">
        <v>26</v>
      </c>
      <c r="G31" s="150" t="s">
        <v>258</v>
      </c>
      <c r="H31" s="851">
        <f t="shared" si="0"/>
        <v>20</v>
      </c>
      <c r="I31" s="852">
        <f t="shared" si="1"/>
        <v>97.649</v>
      </c>
      <c r="J31" s="191">
        <v>39788.347916666666</v>
      </c>
      <c r="K31" s="233">
        <v>39788.458333333336</v>
      </c>
      <c r="L31" s="193">
        <f t="shared" si="2"/>
        <v>2.6500000000814907</v>
      </c>
      <c r="M31" s="194">
        <f t="shared" si="3"/>
        <v>159</v>
      </c>
      <c r="N31" s="234" t="s">
        <v>250</v>
      </c>
      <c r="O31" s="195" t="str">
        <f t="shared" si="4"/>
        <v>--</v>
      </c>
      <c r="P31" s="155" t="str">
        <f t="shared" si="5"/>
        <v>NO</v>
      </c>
      <c r="Q31" s="155" t="str">
        <f t="shared" si="6"/>
        <v>--</v>
      </c>
      <c r="R31" s="855">
        <f t="shared" si="7"/>
        <v>51.75397</v>
      </c>
      <c r="S31" s="856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57" t="str">
        <f t="shared" si="12"/>
        <v>--</v>
      </c>
      <c r="X31" s="858" t="str">
        <f t="shared" si="13"/>
        <v>--</v>
      </c>
      <c r="Y31" s="859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60" t="s">
        <v>247</v>
      </c>
      <c r="AC31" s="16">
        <f t="shared" si="17"/>
        <v>51.75397</v>
      </c>
      <c r="AD31" s="861"/>
    </row>
    <row r="32" spans="2:30" s="5" customFormat="1" ht="16.5" customHeight="1">
      <c r="B32" s="50"/>
      <c r="C32" s="157">
        <v>11</v>
      </c>
      <c r="D32" s="148" t="s">
        <v>283</v>
      </c>
      <c r="E32" s="150">
        <v>220</v>
      </c>
      <c r="F32" s="915">
        <v>26</v>
      </c>
      <c r="G32" s="150" t="s">
        <v>258</v>
      </c>
      <c r="H32" s="851">
        <f t="shared" si="0"/>
        <v>20</v>
      </c>
      <c r="I32" s="852">
        <f t="shared" si="1"/>
        <v>97.649</v>
      </c>
      <c r="J32" s="191">
        <v>39788.45972222222</v>
      </c>
      <c r="K32" s="233">
        <v>39788.59166666667</v>
      </c>
      <c r="L32" s="193">
        <f t="shared" si="2"/>
        <v>3.166666666686069</v>
      </c>
      <c r="M32" s="194">
        <f t="shared" si="3"/>
        <v>190</v>
      </c>
      <c r="N32" s="234" t="s">
        <v>250</v>
      </c>
      <c r="O32" s="195" t="str">
        <f t="shared" si="4"/>
        <v>--</v>
      </c>
      <c r="P32" s="155" t="str">
        <f t="shared" si="5"/>
        <v>NO</v>
      </c>
      <c r="Q32" s="155" t="str">
        <f t="shared" si="6"/>
        <v>--</v>
      </c>
      <c r="R32" s="855">
        <f t="shared" si="7"/>
        <v>61.909466</v>
      </c>
      <c r="S32" s="856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57" t="str">
        <f t="shared" si="12"/>
        <v>--</v>
      </c>
      <c r="X32" s="858" t="str">
        <f t="shared" si="13"/>
        <v>--</v>
      </c>
      <c r="Y32" s="859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60" t="s">
        <v>247</v>
      </c>
      <c r="AC32" s="16">
        <f t="shared" si="17"/>
        <v>61.909466</v>
      </c>
      <c r="AD32" s="861"/>
    </row>
    <row r="33" spans="2:30" s="5" customFormat="1" ht="16.5" customHeight="1">
      <c r="B33" s="50"/>
      <c r="C33" s="289">
        <v>12</v>
      </c>
      <c r="D33" s="148" t="s">
        <v>277</v>
      </c>
      <c r="E33" s="150">
        <v>220</v>
      </c>
      <c r="F33" s="915">
        <v>114</v>
      </c>
      <c r="G33" s="150" t="s">
        <v>258</v>
      </c>
      <c r="H33" s="851">
        <f t="shared" si="0"/>
        <v>20</v>
      </c>
      <c r="I33" s="852">
        <f t="shared" si="1"/>
        <v>111.31986</v>
      </c>
      <c r="J33" s="191">
        <v>39791.493055555555</v>
      </c>
      <c r="K33" s="192">
        <v>39791.66180555556</v>
      </c>
      <c r="L33" s="193">
        <f t="shared" si="2"/>
        <v>4.050000000104774</v>
      </c>
      <c r="M33" s="194">
        <f t="shared" si="3"/>
        <v>243</v>
      </c>
      <c r="N33" s="234" t="s">
        <v>250</v>
      </c>
      <c r="O33" s="195" t="str">
        <f t="shared" si="4"/>
        <v>--</v>
      </c>
      <c r="P33" s="155" t="str">
        <f t="shared" si="5"/>
        <v>NO</v>
      </c>
      <c r="Q33" s="155" t="str">
        <f t="shared" si="6"/>
        <v>--</v>
      </c>
      <c r="R33" s="855">
        <f t="shared" si="7"/>
        <v>90.16908660000001</v>
      </c>
      <c r="S33" s="856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57" t="str">
        <f t="shared" si="12"/>
        <v>--</v>
      </c>
      <c r="X33" s="858" t="str">
        <f t="shared" si="13"/>
        <v>--</v>
      </c>
      <c r="Y33" s="859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60" t="s">
        <v>247</v>
      </c>
      <c r="AC33" s="16">
        <f t="shared" si="17"/>
        <v>90.16908660000001</v>
      </c>
      <c r="AD33" s="861"/>
    </row>
    <row r="34" spans="2:30" s="5" customFormat="1" ht="16.5" customHeight="1">
      <c r="B34" s="50"/>
      <c r="C34" s="157">
        <v>13</v>
      </c>
      <c r="D34" s="148" t="s">
        <v>275</v>
      </c>
      <c r="E34" s="150">
        <v>220</v>
      </c>
      <c r="F34" s="915">
        <v>114</v>
      </c>
      <c r="G34" s="150" t="s">
        <v>258</v>
      </c>
      <c r="H34" s="851">
        <f t="shared" si="0"/>
        <v>20</v>
      </c>
      <c r="I34" s="852">
        <f t="shared" si="1"/>
        <v>111.31986</v>
      </c>
      <c r="J34" s="191">
        <v>39792.34652777778</v>
      </c>
      <c r="K34" s="192">
        <v>39792.606944444444</v>
      </c>
      <c r="L34" s="193">
        <f t="shared" si="2"/>
        <v>6.249999999941792</v>
      </c>
      <c r="M34" s="194">
        <f t="shared" si="3"/>
        <v>375</v>
      </c>
      <c r="N34" s="234" t="s">
        <v>250</v>
      </c>
      <c r="O34" s="195" t="str">
        <f t="shared" si="4"/>
        <v>--</v>
      </c>
      <c r="P34" s="155" t="str">
        <f t="shared" si="5"/>
        <v>NO</v>
      </c>
      <c r="Q34" s="155" t="str">
        <f t="shared" si="6"/>
        <v>--</v>
      </c>
      <c r="R34" s="855">
        <f t="shared" si="7"/>
        <v>139.14982500000002</v>
      </c>
      <c r="S34" s="856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57" t="str">
        <f t="shared" si="12"/>
        <v>--</v>
      </c>
      <c r="X34" s="858" t="str">
        <f t="shared" si="13"/>
        <v>--</v>
      </c>
      <c r="Y34" s="859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60" t="s">
        <v>247</v>
      </c>
      <c r="AC34" s="16">
        <f t="shared" si="17"/>
        <v>139.14982500000002</v>
      </c>
      <c r="AD34" s="861"/>
    </row>
    <row r="35" spans="2:30" s="5" customFormat="1" ht="16.5" customHeight="1">
      <c r="B35" s="50"/>
      <c r="C35" s="289">
        <v>14</v>
      </c>
      <c r="D35" s="148" t="s">
        <v>284</v>
      </c>
      <c r="E35" s="150">
        <v>500</v>
      </c>
      <c r="F35" s="915">
        <v>255</v>
      </c>
      <c r="G35" s="150" t="s">
        <v>285</v>
      </c>
      <c r="H35" s="851">
        <f t="shared" si="0"/>
        <v>60</v>
      </c>
      <c r="I35" s="852">
        <f t="shared" si="1"/>
        <v>298.80645</v>
      </c>
      <c r="J35" s="191">
        <v>39794.254166666666</v>
      </c>
      <c r="K35" s="192">
        <v>39794.697222222225</v>
      </c>
      <c r="L35" s="193">
        <f t="shared" si="2"/>
        <v>10.633333333418705</v>
      </c>
      <c r="M35" s="194">
        <f t="shared" si="3"/>
        <v>638</v>
      </c>
      <c r="N35" s="234" t="s">
        <v>286</v>
      </c>
      <c r="O35" s="195" t="str">
        <f t="shared" si="4"/>
        <v>--</v>
      </c>
      <c r="P35" s="155" t="str">
        <f t="shared" si="5"/>
        <v>NO</v>
      </c>
      <c r="Q35" s="155" t="str">
        <f t="shared" si="6"/>
        <v>NO</v>
      </c>
      <c r="R35" s="855" t="str">
        <f t="shared" si="7"/>
        <v>--</v>
      </c>
      <c r="S35" s="856" t="str">
        <f t="shared" si="8"/>
        <v>--</v>
      </c>
      <c r="T35" s="237">
        <f t="shared" si="9"/>
        <v>17928.387</v>
      </c>
      <c r="U35" s="238">
        <f t="shared" si="10"/>
        <v>89641.935</v>
      </c>
      <c r="V35" s="239">
        <f t="shared" si="11"/>
        <v>10093.681881000002</v>
      </c>
      <c r="W35" s="857" t="str">
        <f t="shared" si="12"/>
        <v>--</v>
      </c>
      <c r="X35" s="858" t="str">
        <f t="shared" si="13"/>
        <v>--</v>
      </c>
      <c r="Y35" s="859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60" t="s">
        <v>247</v>
      </c>
      <c r="AC35" s="16">
        <f t="shared" si="17"/>
        <v>117664.003881</v>
      </c>
      <c r="AD35" s="861"/>
    </row>
    <row r="36" spans="2:30" s="5" customFormat="1" ht="16.5" customHeight="1">
      <c r="B36" s="50"/>
      <c r="C36" s="157">
        <v>15</v>
      </c>
      <c r="D36" s="148" t="s">
        <v>287</v>
      </c>
      <c r="E36" s="150">
        <v>500</v>
      </c>
      <c r="F36" s="915">
        <v>3</v>
      </c>
      <c r="G36" s="150" t="s">
        <v>258</v>
      </c>
      <c r="H36" s="851">
        <f t="shared" si="0"/>
        <v>20</v>
      </c>
      <c r="I36" s="852">
        <f t="shared" si="1"/>
        <v>117.179</v>
      </c>
      <c r="J36" s="191">
        <v>39795.37777777778</v>
      </c>
      <c r="K36" s="192">
        <v>39795.478472222225</v>
      </c>
      <c r="L36" s="193">
        <f t="shared" si="2"/>
        <v>2.416666666686069</v>
      </c>
      <c r="M36" s="194">
        <f t="shared" si="3"/>
        <v>145</v>
      </c>
      <c r="N36" s="234" t="s">
        <v>250</v>
      </c>
      <c r="O36" s="195" t="str">
        <f t="shared" si="4"/>
        <v>--</v>
      </c>
      <c r="P36" s="155" t="str">
        <f t="shared" si="5"/>
        <v>NO</v>
      </c>
      <c r="Q36" s="155" t="str">
        <f t="shared" si="6"/>
        <v>--</v>
      </c>
      <c r="R36" s="855">
        <f t="shared" si="7"/>
        <v>56.714636</v>
      </c>
      <c r="S36" s="856" t="str">
        <f t="shared" si="8"/>
        <v>--</v>
      </c>
      <c r="T36" s="237" t="str">
        <f t="shared" si="9"/>
        <v>--</v>
      </c>
      <c r="U36" s="238" t="str">
        <f t="shared" si="10"/>
        <v>--</v>
      </c>
      <c r="V36" s="239" t="str">
        <f t="shared" si="11"/>
        <v>--</v>
      </c>
      <c r="W36" s="857" t="str">
        <f t="shared" si="12"/>
        <v>--</v>
      </c>
      <c r="X36" s="858" t="str">
        <f t="shared" si="13"/>
        <v>--</v>
      </c>
      <c r="Y36" s="859" t="str">
        <f t="shared" si="14"/>
        <v>--</v>
      </c>
      <c r="Z36" s="240" t="str">
        <f t="shared" si="15"/>
        <v>--</v>
      </c>
      <c r="AA36" s="241" t="str">
        <f t="shared" si="16"/>
        <v>--</v>
      </c>
      <c r="AB36" s="860" t="s">
        <v>247</v>
      </c>
      <c r="AC36" s="16">
        <v>0</v>
      </c>
      <c r="AD36" s="861"/>
    </row>
    <row r="37" spans="2:30" s="5" customFormat="1" ht="16.5" customHeight="1">
      <c r="B37" s="50"/>
      <c r="C37" s="289">
        <v>16</v>
      </c>
      <c r="D37" s="148" t="s">
        <v>287</v>
      </c>
      <c r="E37" s="150">
        <v>500</v>
      </c>
      <c r="F37" s="915">
        <v>3</v>
      </c>
      <c r="G37" s="150" t="s">
        <v>258</v>
      </c>
      <c r="H37" s="851">
        <f t="shared" si="0"/>
        <v>20</v>
      </c>
      <c r="I37" s="852">
        <f t="shared" si="1"/>
        <v>117.179</v>
      </c>
      <c r="J37" s="191">
        <v>39795.72361111111</v>
      </c>
      <c r="K37" s="192">
        <v>39795.839583333334</v>
      </c>
      <c r="L37" s="193">
        <f t="shared" si="2"/>
        <v>2.7833333333255723</v>
      </c>
      <c r="M37" s="194">
        <f t="shared" si="3"/>
        <v>167</v>
      </c>
      <c r="N37" s="234" t="s">
        <v>250</v>
      </c>
      <c r="O37" s="195" t="str">
        <f t="shared" si="4"/>
        <v>--</v>
      </c>
      <c r="P37" s="155" t="str">
        <f t="shared" si="5"/>
        <v>NO</v>
      </c>
      <c r="Q37" s="155" t="str">
        <f t="shared" si="6"/>
        <v>--</v>
      </c>
      <c r="R37" s="855">
        <f t="shared" si="7"/>
        <v>65.151524</v>
      </c>
      <c r="S37" s="856" t="str">
        <f t="shared" si="8"/>
        <v>--</v>
      </c>
      <c r="T37" s="237" t="str">
        <f t="shared" si="9"/>
        <v>--</v>
      </c>
      <c r="U37" s="238" t="str">
        <f t="shared" si="10"/>
        <v>--</v>
      </c>
      <c r="V37" s="239" t="str">
        <f t="shared" si="11"/>
        <v>--</v>
      </c>
      <c r="W37" s="857" t="str">
        <f t="shared" si="12"/>
        <v>--</v>
      </c>
      <c r="X37" s="858" t="str">
        <f t="shared" si="13"/>
        <v>--</v>
      </c>
      <c r="Y37" s="859" t="str">
        <f t="shared" si="14"/>
        <v>--</v>
      </c>
      <c r="Z37" s="240" t="str">
        <f t="shared" si="15"/>
        <v>--</v>
      </c>
      <c r="AA37" s="241" t="str">
        <f t="shared" si="16"/>
        <v>--</v>
      </c>
      <c r="AB37" s="860" t="s">
        <v>247</v>
      </c>
      <c r="AC37" s="16">
        <v>0</v>
      </c>
      <c r="AD37" s="861"/>
    </row>
    <row r="38" spans="2:30" s="5" customFormat="1" ht="16.5" customHeight="1">
      <c r="B38" s="50"/>
      <c r="C38" s="157">
        <v>17</v>
      </c>
      <c r="D38" s="148" t="s">
        <v>288</v>
      </c>
      <c r="E38" s="150">
        <v>500</v>
      </c>
      <c r="F38" s="915">
        <v>76</v>
      </c>
      <c r="G38" s="150" t="s">
        <v>258</v>
      </c>
      <c r="H38" s="851">
        <f t="shared" si="0"/>
        <v>20</v>
      </c>
      <c r="I38" s="852">
        <f t="shared" si="1"/>
        <v>117.179</v>
      </c>
      <c r="J38" s="191">
        <v>39802.64722222222</v>
      </c>
      <c r="K38" s="192">
        <v>39802.65833333333</v>
      </c>
      <c r="L38" s="193">
        <f t="shared" si="2"/>
        <v>0.26666666666278616</v>
      </c>
      <c r="M38" s="194">
        <f t="shared" si="3"/>
        <v>16</v>
      </c>
      <c r="N38" s="234" t="s">
        <v>286</v>
      </c>
      <c r="O38" s="195" t="str">
        <f t="shared" si="4"/>
        <v>--</v>
      </c>
      <c r="P38" s="155" t="str">
        <f t="shared" si="5"/>
        <v>NO</v>
      </c>
      <c r="Q38" s="155" t="str">
        <f t="shared" si="6"/>
        <v>NO</v>
      </c>
      <c r="R38" s="855" t="str">
        <f t="shared" si="7"/>
        <v>--</v>
      </c>
      <c r="S38" s="856" t="str">
        <f t="shared" si="8"/>
        <v>--</v>
      </c>
      <c r="T38" s="237">
        <f t="shared" si="9"/>
        <v>2343.58</v>
      </c>
      <c r="U38" s="238">
        <f t="shared" si="10"/>
        <v>632.7666</v>
      </c>
      <c r="V38" s="239" t="str">
        <f t="shared" si="11"/>
        <v>--</v>
      </c>
      <c r="W38" s="857" t="str">
        <f t="shared" si="12"/>
        <v>--</v>
      </c>
      <c r="X38" s="858" t="str">
        <f t="shared" si="13"/>
        <v>--</v>
      </c>
      <c r="Y38" s="859" t="str">
        <f t="shared" si="14"/>
        <v>--</v>
      </c>
      <c r="Z38" s="240" t="str">
        <f t="shared" si="15"/>
        <v>--</v>
      </c>
      <c r="AA38" s="241" t="str">
        <f t="shared" si="16"/>
        <v>--</v>
      </c>
      <c r="AB38" s="860" t="s">
        <v>247</v>
      </c>
      <c r="AC38" s="16">
        <f t="shared" si="17"/>
        <v>2976.3466</v>
      </c>
      <c r="AD38" s="861"/>
    </row>
    <row r="39" spans="2:30" s="5" customFormat="1" ht="16.5" customHeight="1">
      <c r="B39" s="50"/>
      <c r="C39" s="289">
        <v>18</v>
      </c>
      <c r="D39" s="148" t="s">
        <v>283</v>
      </c>
      <c r="E39" s="150">
        <v>220</v>
      </c>
      <c r="F39" s="915">
        <v>26</v>
      </c>
      <c r="G39" s="150" t="s">
        <v>258</v>
      </c>
      <c r="H39" s="851">
        <f t="shared" si="0"/>
        <v>20</v>
      </c>
      <c r="I39" s="852">
        <f t="shared" si="1"/>
        <v>97.649</v>
      </c>
      <c r="J39" s="191">
        <v>39812.388194444444</v>
      </c>
      <c r="K39" s="192">
        <v>39812.427083333336</v>
      </c>
      <c r="L39" s="193">
        <f t="shared" si="2"/>
        <v>0.933333333407063</v>
      </c>
      <c r="M39" s="194">
        <f t="shared" si="3"/>
        <v>56</v>
      </c>
      <c r="N39" s="234" t="s">
        <v>250</v>
      </c>
      <c r="O39" s="195" t="str">
        <f t="shared" si="4"/>
        <v>--</v>
      </c>
      <c r="P39" s="155" t="str">
        <f t="shared" si="5"/>
        <v>NO</v>
      </c>
      <c r="Q39" s="155" t="str">
        <f t="shared" si="6"/>
        <v>--</v>
      </c>
      <c r="R39" s="855">
        <f t="shared" si="7"/>
        <v>18.162714</v>
      </c>
      <c r="S39" s="856" t="str">
        <f t="shared" si="8"/>
        <v>--</v>
      </c>
      <c r="T39" s="237" t="str">
        <f t="shared" si="9"/>
        <v>--</v>
      </c>
      <c r="U39" s="238" t="str">
        <f t="shared" si="10"/>
        <v>--</v>
      </c>
      <c r="V39" s="239" t="str">
        <f t="shared" si="11"/>
        <v>--</v>
      </c>
      <c r="W39" s="857" t="str">
        <f t="shared" si="12"/>
        <v>--</v>
      </c>
      <c r="X39" s="858" t="str">
        <f t="shared" si="13"/>
        <v>--</v>
      </c>
      <c r="Y39" s="859" t="str">
        <f t="shared" si="14"/>
        <v>--</v>
      </c>
      <c r="Z39" s="240" t="str">
        <f t="shared" si="15"/>
        <v>--</v>
      </c>
      <c r="AA39" s="241" t="str">
        <f t="shared" si="16"/>
        <v>--</v>
      </c>
      <c r="AB39" s="860" t="s">
        <v>247</v>
      </c>
      <c r="AC39" s="16">
        <f t="shared" si="17"/>
        <v>18.162714</v>
      </c>
      <c r="AD39" s="861"/>
    </row>
    <row r="40" spans="2:30" s="5" customFormat="1" ht="16.5" customHeight="1">
      <c r="B40" s="50"/>
      <c r="C40" s="157"/>
      <c r="D40" s="148"/>
      <c r="E40" s="150"/>
      <c r="F40" s="915"/>
      <c r="G40" s="150"/>
      <c r="H40" s="851">
        <f t="shared" si="0"/>
        <v>20</v>
      </c>
      <c r="I40" s="852">
        <f t="shared" si="1"/>
        <v>97.649</v>
      </c>
      <c r="J40" s="191"/>
      <c r="K40" s="192"/>
      <c r="L40" s="193">
        <f t="shared" si="2"/>
      </c>
      <c r="M40" s="194">
        <f t="shared" si="3"/>
      </c>
      <c r="N40" s="234"/>
      <c r="O40" s="195">
        <f t="shared" si="4"/>
      </c>
      <c r="P40" s="155">
        <f t="shared" si="5"/>
      </c>
      <c r="Q40" s="155">
        <f t="shared" si="6"/>
      </c>
      <c r="R40" s="855" t="str">
        <f t="shared" si="7"/>
        <v>--</v>
      </c>
      <c r="S40" s="856" t="str">
        <f t="shared" si="8"/>
        <v>--</v>
      </c>
      <c r="T40" s="237" t="str">
        <f t="shared" si="9"/>
        <v>--</v>
      </c>
      <c r="U40" s="238" t="str">
        <f t="shared" si="10"/>
        <v>--</v>
      </c>
      <c r="V40" s="239" t="str">
        <f t="shared" si="11"/>
        <v>--</v>
      </c>
      <c r="W40" s="857" t="str">
        <f t="shared" si="12"/>
        <v>--</v>
      </c>
      <c r="X40" s="858" t="str">
        <f t="shared" si="13"/>
        <v>--</v>
      </c>
      <c r="Y40" s="859" t="str">
        <f t="shared" si="14"/>
        <v>--</v>
      </c>
      <c r="Z40" s="240" t="str">
        <f t="shared" si="15"/>
        <v>--</v>
      </c>
      <c r="AA40" s="241" t="str">
        <f t="shared" si="16"/>
        <v>--</v>
      </c>
      <c r="AB40" s="860">
        <f>IF(D40="","","SI")</f>
      </c>
      <c r="AC40" s="16">
        <f t="shared" si="17"/>
      </c>
      <c r="AD40" s="861"/>
    </row>
    <row r="41" spans="2:30" s="5" customFormat="1" ht="16.5" customHeight="1">
      <c r="B41" s="50"/>
      <c r="C41" s="289"/>
      <c r="D41" s="148"/>
      <c r="E41" s="150"/>
      <c r="F41" s="915"/>
      <c r="G41" s="150"/>
      <c r="H41" s="851">
        <f t="shared" si="0"/>
        <v>20</v>
      </c>
      <c r="I41" s="852">
        <f t="shared" si="1"/>
        <v>97.649</v>
      </c>
      <c r="J41" s="191"/>
      <c r="K41" s="192"/>
      <c r="L41" s="193">
        <f t="shared" si="2"/>
      </c>
      <c r="M41" s="194">
        <f t="shared" si="3"/>
      </c>
      <c r="N41" s="234"/>
      <c r="O41" s="195">
        <f t="shared" si="4"/>
      </c>
      <c r="P41" s="155">
        <f t="shared" si="5"/>
      </c>
      <c r="Q41" s="155">
        <f t="shared" si="6"/>
      </c>
      <c r="R41" s="855" t="str">
        <f t="shared" si="7"/>
        <v>--</v>
      </c>
      <c r="S41" s="856" t="str">
        <f t="shared" si="8"/>
        <v>--</v>
      </c>
      <c r="T41" s="237" t="str">
        <f t="shared" si="9"/>
        <v>--</v>
      </c>
      <c r="U41" s="238" t="str">
        <f t="shared" si="10"/>
        <v>--</v>
      </c>
      <c r="V41" s="239" t="str">
        <f t="shared" si="11"/>
        <v>--</v>
      </c>
      <c r="W41" s="857" t="str">
        <f t="shared" si="12"/>
        <v>--</v>
      </c>
      <c r="X41" s="858" t="str">
        <f t="shared" si="13"/>
        <v>--</v>
      </c>
      <c r="Y41" s="859" t="str">
        <f t="shared" si="14"/>
        <v>--</v>
      </c>
      <c r="Z41" s="240" t="str">
        <f t="shared" si="15"/>
        <v>--</v>
      </c>
      <c r="AA41" s="241" t="str">
        <f t="shared" si="16"/>
        <v>--</v>
      </c>
      <c r="AB41" s="860">
        <f>IF(D41="","","SI")</f>
      </c>
      <c r="AC41" s="16">
        <f t="shared" si="17"/>
      </c>
      <c r="AD41" s="861"/>
    </row>
    <row r="42" spans="2:30" s="5" customFormat="1" ht="16.5" customHeight="1" thickBot="1">
      <c r="B42" s="50"/>
      <c r="C42" s="157"/>
      <c r="D42" s="152"/>
      <c r="E42" s="243"/>
      <c r="F42" s="909"/>
      <c r="G42" s="244"/>
      <c r="H42" s="866"/>
      <c r="I42" s="867"/>
      <c r="J42" s="904"/>
      <c r="K42" s="904"/>
      <c r="L42" s="9"/>
      <c r="M42" s="9"/>
      <c r="N42" s="154"/>
      <c r="O42" s="197"/>
      <c r="P42" s="154"/>
      <c r="Q42" s="154"/>
      <c r="R42" s="868"/>
      <c r="S42" s="869"/>
      <c r="T42" s="245"/>
      <c r="U42" s="246"/>
      <c r="V42" s="247"/>
      <c r="W42" s="870"/>
      <c r="X42" s="871"/>
      <c r="Y42" s="872"/>
      <c r="Z42" s="248"/>
      <c r="AA42" s="249"/>
      <c r="AB42" s="873"/>
      <c r="AC42" s="250"/>
      <c r="AD42" s="861"/>
    </row>
    <row r="43" spans="2:30" s="5" customFormat="1" ht="16.5" customHeight="1" thickBot="1" thickTop="1">
      <c r="B43" s="50"/>
      <c r="C43" s="128" t="s">
        <v>25</v>
      </c>
      <c r="D43" s="129" t="s">
        <v>352</v>
      </c>
      <c r="E43" s="251"/>
      <c r="F43" s="217"/>
      <c r="G43" s="252"/>
      <c r="H43" s="217"/>
      <c r="I43" s="198"/>
      <c r="J43" s="198"/>
      <c r="K43" s="198"/>
      <c r="L43" s="198"/>
      <c r="M43" s="198"/>
      <c r="N43" s="198"/>
      <c r="O43" s="253"/>
      <c r="P43" s="198"/>
      <c r="Q43" s="198"/>
      <c r="R43" s="874">
        <f aca="true" t="shared" si="18" ref="R43:AA43">SUM(R20:R42)</f>
        <v>13697.273825560003</v>
      </c>
      <c r="S43" s="875">
        <f t="shared" si="18"/>
        <v>0</v>
      </c>
      <c r="T43" s="876">
        <f t="shared" si="18"/>
        <v>20271.966999999997</v>
      </c>
      <c r="U43" s="876">
        <f t="shared" si="18"/>
        <v>90274.7016</v>
      </c>
      <c r="V43" s="876">
        <f t="shared" si="18"/>
        <v>10093.681881000002</v>
      </c>
      <c r="W43" s="877">
        <f t="shared" si="18"/>
        <v>0</v>
      </c>
      <c r="X43" s="877">
        <f t="shared" si="18"/>
        <v>0</v>
      </c>
      <c r="Y43" s="877">
        <f t="shared" si="18"/>
        <v>0</v>
      </c>
      <c r="Z43" s="254">
        <f t="shared" si="18"/>
        <v>0</v>
      </c>
      <c r="AA43" s="255">
        <f t="shared" si="18"/>
        <v>0</v>
      </c>
      <c r="AB43" s="256"/>
      <c r="AC43" s="257">
        <f>ROUND(SUM(AC20:AC42),2)</f>
        <v>134096.24</v>
      </c>
      <c r="AD43" s="861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5"/>
  <sheetViews>
    <sheetView zoomScale="75" zoomScaleNormal="75" workbookViewId="0" topLeftCell="C1">
      <selection activeCell="K23" sqref="K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+'TOT-1208'!B2</f>
        <v>ANEXO I al Memorándum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70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228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'TOT-1208'!B14</f>
        <v>Desde el 01 al 31 de diciembre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97</v>
      </c>
      <c r="E16" s="910">
        <v>117.179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98</v>
      </c>
      <c r="E17" s="910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3" t="s">
        <v>14</v>
      </c>
      <c r="F19" s="86" t="s">
        <v>15</v>
      </c>
      <c r="G19" s="220" t="s">
        <v>77</v>
      </c>
      <c r="H19" s="834" t="s">
        <v>37</v>
      </c>
      <c r="I19" s="835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36" t="s">
        <v>21</v>
      </c>
      <c r="T19" s="222" t="s">
        <v>60</v>
      </c>
      <c r="U19" s="223"/>
      <c r="V19" s="224"/>
      <c r="W19" s="837" t="s">
        <v>164</v>
      </c>
      <c r="X19" s="838"/>
      <c r="Y19" s="839"/>
      <c r="Z19" s="225" t="s">
        <v>22</v>
      </c>
      <c r="AA19" s="226" t="s">
        <v>79</v>
      </c>
      <c r="AB19" s="133" t="s">
        <v>80</v>
      </c>
      <c r="AC19" s="133" t="s">
        <v>24</v>
      </c>
      <c r="AD19" s="227"/>
    </row>
    <row r="20" spans="2:30" s="5" customFormat="1" ht="16.5" customHeight="1" thickTop="1">
      <c r="B20" s="50"/>
      <c r="C20" s="185"/>
      <c r="D20" s="889"/>
      <c r="E20" s="889"/>
      <c r="F20" s="911"/>
      <c r="G20" s="888"/>
      <c r="H20" s="890"/>
      <c r="I20" s="891"/>
      <c r="J20" s="903"/>
      <c r="K20" s="903"/>
      <c r="L20" s="888"/>
      <c r="M20" s="888"/>
      <c r="N20" s="888"/>
      <c r="O20" s="888"/>
      <c r="P20" s="888"/>
      <c r="Q20" s="888"/>
      <c r="R20" s="892"/>
      <c r="S20" s="893"/>
      <c r="T20" s="894"/>
      <c r="U20" s="895"/>
      <c r="V20" s="896"/>
      <c r="W20" s="897"/>
      <c r="X20" s="898"/>
      <c r="Y20" s="899"/>
      <c r="Z20" s="900"/>
      <c r="AA20" s="901"/>
      <c r="AB20" s="888"/>
      <c r="AC20" s="840"/>
      <c r="AD20" s="17"/>
    </row>
    <row r="21" spans="2:30" s="5" customFormat="1" ht="16.5" customHeight="1">
      <c r="B21" s="50"/>
      <c r="C21" s="289"/>
      <c r="D21" s="187"/>
      <c r="E21" s="7"/>
      <c r="F21" s="912"/>
      <c r="G21" s="187"/>
      <c r="H21" s="841"/>
      <c r="I21" s="842"/>
      <c r="J21" s="228"/>
      <c r="K21" s="116"/>
      <c r="L21" s="187"/>
      <c r="M21" s="187"/>
      <c r="N21" s="188"/>
      <c r="O21" s="187"/>
      <c r="P21" s="187"/>
      <c r="Q21" s="187"/>
      <c r="R21" s="843"/>
      <c r="S21" s="844"/>
      <c r="T21" s="845"/>
      <c r="U21" s="846"/>
      <c r="V21" s="847"/>
      <c r="W21" s="848"/>
      <c r="X21" s="849"/>
      <c r="Y21" s="850"/>
      <c r="Z21" s="229"/>
      <c r="AA21" s="230"/>
      <c r="AB21" s="187"/>
      <c r="AC21" s="231"/>
      <c r="AD21" s="17"/>
    </row>
    <row r="22" spans="2:30" s="5" customFormat="1" ht="16.5" customHeight="1">
      <c r="B22" s="50"/>
      <c r="C22" s="157">
        <v>19</v>
      </c>
      <c r="D22" s="157" t="s">
        <v>289</v>
      </c>
      <c r="E22" s="190">
        <v>500</v>
      </c>
      <c r="F22" s="913">
        <v>301.8999938964844</v>
      </c>
      <c r="G22" s="190" t="s">
        <v>281</v>
      </c>
      <c r="H22" s="851">
        <f aca="true" t="shared" si="0" ref="H22:H41">IF(G22="A",200,IF(G22="B",60,20))</f>
        <v>200</v>
      </c>
      <c r="I22" s="852">
        <f aca="true" t="shared" si="1" ref="I22:I41">IF(E22=500,IF(F22&lt;100,100*$E$16/100,F22*$E$16/100),IF(F22&lt;100,100*$E$17/100,F22*$E$17/100))</f>
        <v>353.7633938479614</v>
      </c>
      <c r="J22" s="853">
        <v>39800.26458333333</v>
      </c>
      <c r="K22" s="854">
        <v>39800.26944444444</v>
      </c>
      <c r="L22" s="193">
        <f aca="true" t="shared" si="2" ref="L22:L41">IF(D22="","",(K22-J22)*24)</f>
        <v>0.11666666669771075</v>
      </c>
      <c r="M22" s="194">
        <f aca="true" t="shared" si="3" ref="M22:M41">IF(D22="","",ROUND((K22-J22)*24*60,0))</f>
        <v>7</v>
      </c>
      <c r="N22" s="234" t="s">
        <v>286</v>
      </c>
      <c r="O22" s="195" t="str">
        <f aca="true" t="shared" si="4" ref="O22:O41">IF(D22="","","--")</f>
        <v>--</v>
      </c>
      <c r="P22" s="155" t="str">
        <f aca="true" t="shared" si="5" ref="P22:P41">IF(D22="","","NO")</f>
        <v>NO</v>
      </c>
      <c r="Q22" s="155" t="str">
        <f aca="true" t="shared" si="6" ref="Q22:Q41">IF(D22="","",IF(OR(N22="P",N22="RP"),"--","NO"))</f>
        <v>NO</v>
      </c>
      <c r="R22" s="855" t="str">
        <f aca="true" t="shared" si="7" ref="R22:R41">IF(N22="P",I22*H22*ROUND(M22/60,2)*0.01,"--")</f>
        <v>--</v>
      </c>
      <c r="S22" s="856" t="str">
        <f aca="true" t="shared" si="8" ref="S22:S41">IF(N22="RP",I22*H22*ROUND(M22/60,2)*0.01*O22/100,"--")</f>
        <v>--</v>
      </c>
      <c r="T22" s="237">
        <f aca="true" t="shared" si="9" ref="T22:T41">IF(AND(N22="F",Q22="NO"),I22*H22*IF(P22="SI",1.2,1),"--")</f>
        <v>70752.67876959228</v>
      </c>
      <c r="U22" s="238" t="str">
        <f aca="true" t="shared" si="10" ref="U22:U41">IF(AND(N22="F",M22&gt;=10),I22*H22*IF(P22="SI",1.2,1)*IF(M22&lt;=300,ROUND(M22/60,2),5),"--")</f>
        <v>--</v>
      </c>
      <c r="V22" s="239" t="str">
        <f aca="true" t="shared" si="11" ref="V22:V41">IF(AND(N22="F",M22&gt;300),(ROUND(M22/60,2)-5)*I22*H22*0.1*IF(P22="SI",1.2,1),"--")</f>
        <v>--</v>
      </c>
      <c r="W22" s="857" t="str">
        <f aca="true" t="shared" si="12" ref="W22:W41">IF(AND(N22="R",Q22="NO"),I22*H22*O22/100*IF(P22="SI",1.2,1),"--")</f>
        <v>--</v>
      </c>
      <c r="X22" s="858" t="str">
        <f aca="true" t="shared" si="13" ref="X22:X41">IF(AND(N22="R",M22&gt;=10),I22*H22*O22/100*IF(P22="SI",1.2,1)*IF(M22&lt;=300,ROUND(M22/60,2),5),"--")</f>
        <v>--</v>
      </c>
      <c r="Y22" s="859" t="str">
        <f aca="true" t="shared" si="14" ref="Y22:Y41">IF(AND(N22="R",M22&gt;300),(ROUND(M22/60,2)-5)*I22*H22*0.1*O22/100*IF(P22="SI",1.2,1),"--")</f>
        <v>--</v>
      </c>
      <c r="Z22" s="240" t="str">
        <f aca="true" t="shared" si="15" ref="Z22:Z41">IF(N22="RF",ROUND(M22/60,2)*I22*H22*0.1*IF(P22="SI",1.2,1),"--")</f>
        <v>--</v>
      </c>
      <c r="AA22" s="241" t="str">
        <f aca="true" t="shared" si="16" ref="AA22:AA41">IF(N22="RR",ROUND(M22/60,2)*I22*H22*0.1*O22/100*IF(P22="SI",1.2,1),"--")</f>
        <v>--</v>
      </c>
      <c r="AB22" s="860" t="s">
        <v>247</v>
      </c>
      <c r="AC22" s="16">
        <f aca="true" t="shared" si="17" ref="AC22:AC41">IF(D22="","",SUM(R22:AA22)*IF(AB22="SI",1,2))</f>
        <v>70752.67876959228</v>
      </c>
      <c r="AD22" s="861"/>
    </row>
    <row r="23" spans="2:30" s="5" customFormat="1" ht="16.5" customHeight="1">
      <c r="B23" s="50"/>
      <c r="C23" s="289"/>
      <c r="D23" s="157"/>
      <c r="E23" s="190"/>
      <c r="F23" s="913"/>
      <c r="G23" s="190"/>
      <c r="H23" s="851">
        <f t="shared" si="0"/>
        <v>20</v>
      </c>
      <c r="I23" s="852">
        <f t="shared" si="1"/>
        <v>97.649</v>
      </c>
      <c r="J23" s="853"/>
      <c r="K23" s="854"/>
      <c r="L23" s="193">
        <f t="shared" si="2"/>
      </c>
      <c r="M23" s="194">
        <f t="shared" si="3"/>
      </c>
      <c r="N23" s="234"/>
      <c r="O23" s="195">
        <f t="shared" si="4"/>
      </c>
      <c r="P23" s="155">
        <f t="shared" si="5"/>
      </c>
      <c r="Q23" s="155">
        <f t="shared" si="6"/>
      </c>
      <c r="R23" s="855" t="str">
        <f t="shared" si="7"/>
        <v>--</v>
      </c>
      <c r="S23" s="856" t="str">
        <f t="shared" si="8"/>
        <v>--</v>
      </c>
      <c r="T23" s="237" t="str">
        <f t="shared" si="9"/>
        <v>--</v>
      </c>
      <c r="U23" s="238" t="str">
        <f t="shared" si="10"/>
        <v>--</v>
      </c>
      <c r="V23" s="239" t="str">
        <f t="shared" si="11"/>
        <v>--</v>
      </c>
      <c r="W23" s="857" t="str">
        <f t="shared" si="12"/>
        <v>--</v>
      </c>
      <c r="X23" s="858" t="str">
        <f t="shared" si="13"/>
        <v>--</v>
      </c>
      <c r="Y23" s="859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60">
        <f aca="true" t="shared" si="18" ref="AB23:AB41">IF(D23="","","SI")</f>
      </c>
      <c r="AC23" s="16">
        <f t="shared" si="17"/>
      </c>
      <c r="AD23" s="861"/>
    </row>
    <row r="24" spans="2:30" s="5" customFormat="1" ht="16.5" customHeight="1">
      <c r="B24" s="50"/>
      <c r="C24" s="157"/>
      <c r="D24" s="862"/>
      <c r="E24" s="863"/>
      <c r="F24" s="914"/>
      <c r="G24" s="863"/>
      <c r="H24" s="851">
        <f t="shared" si="0"/>
        <v>20</v>
      </c>
      <c r="I24" s="852">
        <f t="shared" si="1"/>
        <v>97.649</v>
      </c>
      <c r="J24" s="864"/>
      <c r="K24" s="865"/>
      <c r="L24" s="193">
        <f t="shared" si="2"/>
      </c>
      <c r="M24" s="194">
        <f t="shared" si="3"/>
      </c>
      <c r="N24" s="234"/>
      <c r="O24" s="195">
        <f t="shared" si="4"/>
      </c>
      <c r="P24" s="155">
        <f t="shared" si="5"/>
      </c>
      <c r="Q24" s="155">
        <f t="shared" si="6"/>
      </c>
      <c r="R24" s="855" t="str">
        <f t="shared" si="7"/>
        <v>--</v>
      </c>
      <c r="S24" s="856" t="str">
        <f t="shared" si="8"/>
        <v>--</v>
      </c>
      <c r="T24" s="237" t="str">
        <f t="shared" si="9"/>
        <v>--</v>
      </c>
      <c r="U24" s="238" t="str">
        <f t="shared" si="10"/>
        <v>--</v>
      </c>
      <c r="V24" s="239" t="str">
        <f t="shared" si="11"/>
        <v>--</v>
      </c>
      <c r="W24" s="857" t="str">
        <f t="shared" si="12"/>
        <v>--</v>
      </c>
      <c r="X24" s="858" t="str">
        <f t="shared" si="13"/>
        <v>--</v>
      </c>
      <c r="Y24" s="859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60">
        <f t="shared" si="18"/>
      </c>
      <c r="AC24" s="16">
        <f t="shared" si="17"/>
      </c>
      <c r="AD24" s="861"/>
    </row>
    <row r="25" spans="2:30" s="5" customFormat="1" ht="16.5" customHeight="1">
      <c r="B25" s="50"/>
      <c r="C25" s="289"/>
      <c r="D25" s="862"/>
      <c r="E25" s="863"/>
      <c r="F25" s="914"/>
      <c r="G25" s="863"/>
      <c r="H25" s="851">
        <f t="shared" si="0"/>
        <v>20</v>
      </c>
      <c r="I25" s="852">
        <f t="shared" si="1"/>
        <v>97.649</v>
      </c>
      <c r="J25" s="864"/>
      <c r="K25" s="865"/>
      <c r="L25" s="193">
        <f t="shared" si="2"/>
      </c>
      <c r="M25" s="194">
        <f t="shared" si="3"/>
      </c>
      <c r="N25" s="234"/>
      <c r="O25" s="195">
        <f t="shared" si="4"/>
      </c>
      <c r="P25" s="155">
        <f t="shared" si="5"/>
      </c>
      <c r="Q25" s="155">
        <f t="shared" si="6"/>
      </c>
      <c r="R25" s="855" t="str">
        <f t="shared" si="7"/>
        <v>--</v>
      </c>
      <c r="S25" s="856" t="str">
        <f t="shared" si="8"/>
        <v>--</v>
      </c>
      <c r="T25" s="237" t="str">
        <f t="shared" si="9"/>
        <v>--</v>
      </c>
      <c r="U25" s="238" t="str">
        <f t="shared" si="10"/>
        <v>--</v>
      </c>
      <c r="V25" s="239" t="str">
        <f t="shared" si="11"/>
        <v>--</v>
      </c>
      <c r="W25" s="857" t="str">
        <f t="shared" si="12"/>
        <v>--</v>
      </c>
      <c r="X25" s="858" t="str">
        <f t="shared" si="13"/>
        <v>--</v>
      </c>
      <c r="Y25" s="859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60">
        <f t="shared" si="18"/>
      </c>
      <c r="AC25" s="16">
        <f t="shared" si="17"/>
      </c>
      <c r="AD25" s="861"/>
    </row>
    <row r="26" spans="2:30" s="5" customFormat="1" ht="16.5" customHeight="1">
      <c r="B26" s="50"/>
      <c r="C26" s="157"/>
      <c r="D26" s="157"/>
      <c r="E26" s="190"/>
      <c r="F26" s="913"/>
      <c r="G26" s="190"/>
      <c r="H26" s="851">
        <f t="shared" si="0"/>
        <v>20</v>
      </c>
      <c r="I26" s="852">
        <f t="shared" si="1"/>
        <v>97.649</v>
      </c>
      <c r="J26" s="853"/>
      <c r="K26" s="854"/>
      <c r="L26" s="193">
        <f t="shared" si="2"/>
      </c>
      <c r="M26" s="194">
        <f t="shared" si="3"/>
      </c>
      <c r="N26" s="234"/>
      <c r="O26" s="195">
        <f t="shared" si="4"/>
      </c>
      <c r="P26" s="155">
        <f t="shared" si="5"/>
      </c>
      <c r="Q26" s="155">
        <f t="shared" si="6"/>
      </c>
      <c r="R26" s="855" t="str">
        <f t="shared" si="7"/>
        <v>--</v>
      </c>
      <c r="S26" s="856" t="str">
        <f t="shared" si="8"/>
        <v>--</v>
      </c>
      <c r="T26" s="237" t="str">
        <f t="shared" si="9"/>
        <v>--</v>
      </c>
      <c r="U26" s="238" t="str">
        <f t="shared" si="10"/>
        <v>--</v>
      </c>
      <c r="V26" s="239" t="str">
        <f t="shared" si="11"/>
        <v>--</v>
      </c>
      <c r="W26" s="857" t="str">
        <f t="shared" si="12"/>
        <v>--</v>
      </c>
      <c r="X26" s="858" t="str">
        <f t="shared" si="13"/>
        <v>--</v>
      </c>
      <c r="Y26" s="859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60">
        <f t="shared" si="18"/>
      </c>
      <c r="AC26" s="16">
        <f t="shared" si="17"/>
      </c>
      <c r="AD26" s="861"/>
    </row>
    <row r="27" spans="2:30" s="5" customFormat="1" ht="16.5" customHeight="1">
      <c r="B27" s="50"/>
      <c r="C27" s="289"/>
      <c r="D27" s="157"/>
      <c r="E27" s="190"/>
      <c r="F27" s="913"/>
      <c r="G27" s="190"/>
      <c r="H27" s="851">
        <f t="shared" si="0"/>
        <v>20</v>
      </c>
      <c r="I27" s="852">
        <f t="shared" si="1"/>
        <v>97.649</v>
      </c>
      <c r="J27" s="853"/>
      <c r="K27" s="854"/>
      <c r="L27" s="193">
        <f t="shared" si="2"/>
      </c>
      <c r="M27" s="194">
        <f t="shared" si="3"/>
      </c>
      <c r="N27" s="234"/>
      <c r="O27" s="195">
        <f t="shared" si="4"/>
      </c>
      <c r="P27" s="155">
        <f t="shared" si="5"/>
      </c>
      <c r="Q27" s="155">
        <f t="shared" si="6"/>
      </c>
      <c r="R27" s="855" t="str">
        <f t="shared" si="7"/>
        <v>--</v>
      </c>
      <c r="S27" s="856" t="str">
        <f t="shared" si="8"/>
        <v>--</v>
      </c>
      <c r="T27" s="237" t="str">
        <f t="shared" si="9"/>
        <v>--</v>
      </c>
      <c r="U27" s="238" t="str">
        <f t="shared" si="10"/>
        <v>--</v>
      </c>
      <c r="V27" s="239" t="str">
        <f t="shared" si="11"/>
        <v>--</v>
      </c>
      <c r="W27" s="857" t="str">
        <f t="shared" si="12"/>
        <v>--</v>
      </c>
      <c r="X27" s="858" t="str">
        <f t="shared" si="13"/>
        <v>--</v>
      </c>
      <c r="Y27" s="859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60">
        <f t="shared" si="18"/>
      </c>
      <c r="AC27" s="16">
        <f t="shared" si="17"/>
      </c>
      <c r="AD27" s="861"/>
    </row>
    <row r="28" spans="2:30" s="5" customFormat="1" ht="16.5" customHeight="1">
      <c r="B28" s="50"/>
      <c r="C28" s="157"/>
      <c r="D28" s="148"/>
      <c r="E28" s="150"/>
      <c r="F28" s="915"/>
      <c r="G28" s="150"/>
      <c r="H28" s="851">
        <f t="shared" si="0"/>
        <v>20</v>
      </c>
      <c r="I28" s="852">
        <f t="shared" si="1"/>
        <v>97.649</v>
      </c>
      <c r="J28" s="191"/>
      <c r="K28" s="233"/>
      <c r="L28" s="193">
        <f t="shared" si="2"/>
      </c>
      <c r="M28" s="194">
        <f t="shared" si="3"/>
      </c>
      <c r="N28" s="234"/>
      <c r="O28" s="195">
        <f t="shared" si="4"/>
      </c>
      <c r="P28" s="155">
        <f t="shared" si="5"/>
      </c>
      <c r="Q28" s="155">
        <f t="shared" si="6"/>
      </c>
      <c r="R28" s="855" t="str">
        <f t="shared" si="7"/>
        <v>--</v>
      </c>
      <c r="S28" s="856" t="str">
        <f t="shared" si="8"/>
        <v>--</v>
      </c>
      <c r="T28" s="237" t="str">
        <f t="shared" si="9"/>
        <v>--</v>
      </c>
      <c r="U28" s="238" t="str">
        <f t="shared" si="10"/>
        <v>--</v>
      </c>
      <c r="V28" s="239" t="str">
        <f t="shared" si="11"/>
        <v>--</v>
      </c>
      <c r="W28" s="857" t="str">
        <f t="shared" si="12"/>
        <v>--</v>
      </c>
      <c r="X28" s="858" t="str">
        <f t="shared" si="13"/>
        <v>--</v>
      </c>
      <c r="Y28" s="859" t="str">
        <f t="shared" si="14"/>
        <v>--</v>
      </c>
      <c r="Z28" s="240" t="str">
        <f t="shared" si="15"/>
        <v>--</v>
      </c>
      <c r="AA28" s="241" t="str">
        <f t="shared" si="16"/>
        <v>--</v>
      </c>
      <c r="AB28" s="860">
        <f t="shared" si="18"/>
      </c>
      <c r="AC28" s="16">
        <f t="shared" si="17"/>
      </c>
      <c r="AD28" s="861"/>
    </row>
    <row r="29" spans="2:30" s="5" customFormat="1" ht="16.5" customHeight="1">
      <c r="B29" s="50"/>
      <c r="C29" s="289"/>
      <c r="D29" s="148"/>
      <c r="E29" s="150"/>
      <c r="F29" s="915"/>
      <c r="G29" s="150"/>
      <c r="H29" s="851">
        <f t="shared" si="0"/>
        <v>20</v>
      </c>
      <c r="I29" s="852">
        <f t="shared" si="1"/>
        <v>97.649</v>
      </c>
      <c r="J29" s="191"/>
      <c r="K29" s="233"/>
      <c r="L29" s="193">
        <f t="shared" si="2"/>
      </c>
      <c r="M29" s="194">
        <f t="shared" si="3"/>
      </c>
      <c r="N29" s="234"/>
      <c r="O29" s="195">
        <f t="shared" si="4"/>
      </c>
      <c r="P29" s="155">
        <f t="shared" si="5"/>
      </c>
      <c r="Q29" s="155">
        <f t="shared" si="6"/>
      </c>
      <c r="R29" s="855" t="str">
        <f t="shared" si="7"/>
        <v>--</v>
      </c>
      <c r="S29" s="856" t="str">
        <f t="shared" si="8"/>
        <v>--</v>
      </c>
      <c r="T29" s="237" t="str">
        <f t="shared" si="9"/>
        <v>--</v>
      </c>
      <c r="U29" s="238" t="str">
        <f t="shared" si="10"/>
        <v>--</v>
      </c>
      <c r="V29" s="239" t="str">
        <f t="shared" si="11"/>
        <v>--</v>
      </c>
      <c r="W29" s="857" t="str">
        <f t="shared" si="12"/>
        <v>--</v>
      </c>
      <c r="X29" s="858" t="str">
        <f t="shared" si="13"/>
        <v>--</v>
      </c>
      <c r="Y29" s="859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60">
        <f t="shared" si="18"/>
      </c>
      <c r="AC29" s="16">
        <f t="shared" si="17"/>
      </c>
      <c r="AD29" s="861"/>
    </row>
    <row r="30" spans="2:30" s="5" customFormat="1" ht="16.5" customHeight="1">
      <c r="B30" s="50"/>
      <c r="C30" s="157"/>
      <c r="D30" s="148"/>
      <c r="E30" s="150"/>
      <c r="F30" s="915"/>
      <c r="G30" s="150"/>
      <c r="H30" s="851">
        <f t="shared" si="0"/>
        <v>20</v>
      </c>
      <c r="I30" s="852">
        <f t="shared" si="1"/>
        <v>97.649</v>
      </c>
      <c r="J30" s="191"/>
      <c r="K30" s="233"/>
      <c r="L30" s="193">
        <f t="shared" si="2"/>
      </c>
      <c r="M30" s="194">
        <f t="shared" si="3"/>
      </c>
      <c r="N30" s="234"/>
      <c r="O30" s="195">
        <f t="shared" si="4"/>
      </c>
      <c r="P30" s="155">
        <f t="shared" si="5"/>
      </c>
      <c r="Q30" s="155">
        <f t="shared" si="6"/>
      </c>
      <c r="R30" s="855" t="str">
        <f t="shared" si="7"/>
        <v>--</v>
      </c>
      <c r="S30" s="856" t="str">
        <f t="shared" si="8"/>
        <v>--</v>
      </c>
      <c r="T30" s="237" t="str">
        <f t="shared" si="9"/>
        <v>--</v>
      </c>
      <c r="U30" s="238" t="str">
        <f t="shared" si="10"/>
        <v>--</v>
      </c>
      <c r="V30" s="239" t="str">
        <f t="shared" si="11"/>
        <v>--</v>
      </c>
      <c r="W30" s="857" t="str">
        <f t="shared" si="12"/>
        <v>--</v>
      </c>
      <c r="X30" s="858" t="str">
        <f t="shared" si="13"/>
        <v>--</v>
      </c>
      <c r="Y30" s="859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60">
        <f t="shared" si="18"/>
      </c>
      <c r="AC30" s="16">
        <f t="shared" si="17"/>
      </c>
      <c r="AD30" s="861"/>
    </row>
    <row r="31" spans="2:30" s="5" customFormat="1" ht="16.5" customHeight="1">
      <c r="B31" s="50"/>
      <c r="C31" s="289"/>
      <c r="D31" s="148"/>
      <c r="E31" s="150"/>
      <c r="F31" s="915"/>
      <c r="G31" s="150"/>
      <c r="H31" s="851">
        <f t="shared" si="0"/>
        <v>20</v>
      </c>
      <c r="I31" s="852">
        <f t="shared" si="1"/>
        <v>97.649</v>
      </c>
      <c r="J31" s="191"/>
      <c r="K31" s="233"/>
      <c r="L31" s="193">
        <f t="shared" si="2"/>
      </c>
      <c r="M31" s="194">
        <f t="shared" si="3"/>
      </c>
      <c r="N31" s="234"/>
      <c r="O31" s="195">
        <f t="shared" si="4"/>
      </c>
      <c r="P31" s="155">
        <f t="shared" si="5"/>
      </c>
      <c r="Q31" s="155">
        <f t="shared" si="6"/>
      </c>
      <c r="R31" s="855" t="str">
        <f t="shared" si="7"/>
        <v>--</v>
      </c>
      <c r="S31" s="856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57" t="str">
        <f t="shared" si="12"/>
        <v>--</v>
      </c>
      <c r="X31" s="858" t="str">
        <f t="shared" si="13"/>
        <v>--</v>
      </c>
      <c r="Y31" s="859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60">
        <f t="shared" si="18"/>
      </c>
      <c r="AC31" s="16">
        <f t="shared" si="17"/>
      </c>
      <c r="AD31" s="861"/>
    </row>
    <row r="32" spans="2:30" s="5" customFormat="1" ht="16.5" customHeight="1">
      <c r="B32" s="50"/>
      <c r="C32" s="157"/>
      <c r="D32" s="148"/>
      <c r="E32" s="150"/>
      <c r="F32" s="915"/>
      <c r="G32" s="150"/>
      <c r="H32" s="851">
        <f t="shared" si="0"/>
        <v>20</v>
      </c>
      <c r="I32" s="852">
        <f t="shared" si="1"/>
        <v>97.649</v>
      </c>
      <c r="J32" s="191"/>
      <c r="K32" s="233"/>
      <c r="L32" s="193">
        <f t="shared" si="2"/>
      </c>
      <c r="M32" s="194">
        <f t="shared" si="3"/>
      </c>
      <c r="N32" s="234"/>
      <c r="O32" s="195">
        <f t="shared" si="4"/>
      </c>
      <c r="P32" s="155">
        <f t="shared" si="5"/>
      </c>
      <c r="Q32" s="155">
        <f t="shared" si="6"/>
      </c>
      <c r="R32" s="855" t="str">
        <f t="shared" si="7"/>
        <v>--</v>
      </c>
      <c r="S32" s="856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57" t="str">
        <f t="shared" si="12"/>
        <v>--</v>
      </c>
      <c r="X32" s="858" t="str">
        <f t="shared" si="13"/>
        <v>--</v>
      </c>
      <c r="Y32" s="859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60">
        <f t="shared" si="18"/>
      </c>
      <c r="AC32" s="16">
        <f t="shared" si="17"/>
      </c>
      <c r="AD32" s="861"/>
    </row>
    <row r="33" spans="2:30" s="5" customFormat="1" ht="16.5" customHeight="1">
      <c r="B33" s="50"/>
      <c r="C33" s="289"/>
      <c r="D33" s="148"/>
      <c r="E33" s="150"/>
      <c r="F33" s="915"/>
      <c r="G33" s="150"/>
      <c r="H33" s="851">
        <f t="shared" si="0"/>
        <v>20</v>
      </c>
      <c r="I33" s="852">
        <f t="shared" si="1"/>
        <v>97.649</v>
      </c>
      <c r="J33" s="191"/>
      <c r="K33" s="192"/>
      <c r="L33" s="193">
        <f t="shared" si="2"/>
      </c>
      <c r="M33" s="194">
        <f t="shared" si="3"/>
      </c>
      <c r="N33" s="234"/>
      <c r="O33" s="195">
        <f t="shared" si="4"/>
      </c>
      <c r="P33" s="155">
        <f t="shared" si="5"/>
      </c>
      <c r="Q33" s="155">
        <f t="shared" si="6"/>
      </c>
      <c r="R33" s="855" t="str">
        <f t="shared" si="7"/>
        <v>--</v>
      </c>
      <c r="S33" s="856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57" t="str">
        <f t="shared" si="12"/>
        <v>--</v>
      </c>
      <c r="X33" s="858" t="str">
        <f t="shared" si="13"/>
        <v>--</v>
      </c>
      <c r="Y33" s="859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60">
        <f t="shared" si="18"/>
      </c>
      <c r="AC33" s="16">
        <f t="shared" si="17"/>
      </c>
      <c r="AD33" s="861"/>
    </row>
    <row r="34" spans="2:30" s="5" customFormat="1" ht="16.5" customHeight="1">
      <c r="B34" s="50"/>
      <c r="C34" s="157"/>
      <c r="D34" s="148"/>
      <c r="E34" s="150"/>
      <c r="F34" s="915"/>
      <c r="G34" s="150"/>
      <c r="H34" s="851">
        <f t="shared" si="0"/>
        <v>20</v>
      </c>
      <c r="I34" s="852">
        <f t="shared" si="1"/>
        <v>97.649</v>
      </c>
      <c r="J34" s="191"/>
      <c r="K34" s="192"/>
      <c r="L34" s="193">
        <f t="shared" si="2"/>
      </c>
      <c r="M34" s="194">
        <f t="shared" si="3"/>
      </c>
      <c r="N34" s="234"/>
      <c r="O34" s="195">
        <f t="shared" si="4"/>
      </c>
      <c r="P34" s="155">
        <f t="shared" si="5"/>
      </c>
      <c r="Q34" s="155">
        <f t="shared" si="6"/>
      </c>
      <c r="R34" s="855" t="str">
        <f t="shared" si="7"/>
        <v>--</v>
      </c>
      <c r="S34" s="856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57" t="str">
        <f t="shared" si="12"/>
        <v>--</v>
      </c>
      <c r="X34" s="858" t="str">
        <f t="shared" si="13"/>
        <v>--</v>
      </c>
      <c r="Y34" s="859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60">
        <f t="shared" si="18"/>
      </c>
      <c r="AC34" s="16">
        <f t="shared" si="17"/>
      </c>
      <c r="AD34" s="861"/>
    </row>
    <row r="35" spans="2:30" s="5" customFormat="1" ht="16.5" customHeight="1">
      <c r="B35" s="50"/>
      <c r="C35" s="289"/>
      <c r="D35" s="148"/>
      <c r="E35" s="150"/>
      <c r="F35" s="915"/>
      <c r="G35" s="150"/>
      <c r="H35" s="851">
        <f t="shared" si="0"/>
        <v>20</v>
      </c>
      <c r="I35" s="852">
        <f t="shared" si="1"/>
        <v>97.649</v>
      </c>
      <c r="J35" s="191"/>
      <c r="K35" s="192"/>
      <c r="L35" s="193">
        <f t="shared" si="2"/>
      </c>
      <c r="M35" s="194">
        <f t="shared" si="3"/>
      </c>
      <c r="N35" s="234"/>
      <c r="O35" s="195">
        <f t="shared" si="4"/>
      </c>
      <c r="P35" s="155">
        <f t="shared" si="5"/>
      </c>
      <c r="Q35" s="155">
        <f t="shared" si="6"/>
      </c>
      <c r="R35" s="855" t="str">
        <f t="shared" si="7"/>
        <v>--</v>
      </c>
      <c r="S35" s="856" t="str">
        <f t="shared" si="8"/>
        <v>--</v>
      </c>
      <c r="T35" s="237" t="str">
        <f t="shared" si="9"/>
        <v>--</v>
      </c>
      <c r="U35" s="238" t="str">
        <f t="shared" si="10"/>
        <v>--</v>
      </c>
      <c r="V35" s="239" t="str">
        <f t="shared" si="11"/>
        <v>--</v>
      </c>
      <c r="W35" s="857" t="str">
        <f t="shared" si="12"/>
        <v>--</v>
      </c>
      <c r="X35" s="858" t="str">
        <f t="shared" si="13"/>
        <v>--</v>
      </c>
      <c r="Y35" s="859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60">
        <f t="shared" si="18"/>
      </c>
      <c r="AC35" s="16">
        <f t="shared" si="17"/>
      </c>
      <c r="AD35" s="861"/>
    </row>
    <row r="36" spans="2:30" s="5" customFormat="1" ht="16.5" customHeight="1">
      <c r="B36" s="50"/>
      <c r="C36" s="157"/>
      <c r="D36" s="148"/>
      <c r="E36" s="150"/>
      <c r="F36" s="915"/>
      <c r="G36" s="150"/>
      <c r="H36" s="851">
        <f t="shared" si="0"/>
        <v>20</v>
      </c>
      <c r="I36" s="852">
        <f t="shared" si="1"/>
        <v>97.649</v>
      </c>
      <c r="J36" s="191"/>
      <c r="K36" s="192"/>
      <c r="L36" s="193">
        <f t="shared" si="2"/>
      </c>
      <c r="M36" s="194">
        <f t="shared" si="3"/>
      </c>
      <c r="N36" s="234"/>
      <c r="O36" s="195">
        <f t="shared" si="4"/>
      </c>
      <c r="P36" s="155">
        <f t="shared" si="5"/>
      </c>
      <c r="Q36" s="155">
        <f t="shared" si="6"/>
      </c>
      <c r="R36" s="855" t="str">
        <f t="shared" si="7"/>
        <v>--</v>
      </c>
      <c r="S36" s="856" t="str">
        <f t="shared" si="8"/>
        <v>--</v>
      </c>
      <c r="T36" s="237" t="str">
        <f t="shared" si="9"/>
        <v>--</v>
      </c>
      <c r="U36" s="238" t="str">
        <f t="shared" si="10"/>
        <v>--</v>
      </c>
      <c r="V36" s="239" t="str">
        <f t="shared" si="11"/>
        <v>--</v>
      </c>
      <c r="W36" s="857" t="str">
        <f t="shared" si="12"/>
        <v>--</v>
      </c>
      <c r="X36" s="858" t="str">
        <f t="shared" si="13"/>
        <v>--</v>
      </c>
      <c r="Y36" s="859" t="str">
        <f t="shared" si="14"/>
        <v>--</v>
      </c>
      <c r="Z36" s="240" t="str">
        <f t="shared" si="15"/>
        <v>--</v>
      </c>
      <c r="AA36" s="241" t="str">
        <f t="shared" si="16"/>
        <v>--</v>
      </c>
      <c r="AB36" s="860">
        <f t="shared" si="18"/>
      </c>
      <c r="AC36" s="16">
        <f t="shared" si="17"/>
      </c>
      <c r="AD36" s="861"/>
    </row>
    <row r="37" spans="2:30" s="5" customFormat="1" ht="16.5" customHeight="1">
      <c r="B37" s="50"/>
      <c r="C37" s="289"/>
      <c r="D37" s="148"/>
      <c r="E37" s="150"/>
      <c r="F37" s="915"/>
      <c r="G37" s="150"/>
      <c r="H37" s="851">
        <f t="shared" si="0"/>
        <v>20</v>
      </c>
      <c r="I37" s="852">
        <f t="shared" si="1"/>
        <v>97.649</v>
      </c>
      <c r="J37" s="191"/>
      <c r="K37" s="192"/>
      <c r="L37" s="193">
        <f t="shared" si="2"/>
      </c>
      <c r="M37" s="194">
        <f t="shared" si="3"/>
      </c>
      <c r="N37" s="234"/>
      <c r="O37" s="195">
        <f t="shared" si="4"/>
      </c>
      <c r="P37" s="155">
        <f t="shared" si="5"/>
      </c>
      <c r="Q37" s="155">
        <f t="shared" si="6"/>
      </c>
      <c r="R37" s="855" t="str">
        <f t="shared" si="7"/>
        <v>--</v>
      </c>
      <c r="S37" s="856" t="str">
        <f t="shared" si="8"/>
        <v>--</v>
      </c>
      <c r="T37" s="237" t="str">
        <f t="shared" si="9"/>
        <v>--</v>
      </c>
      <c r="U37" s="238" t="str">
        <f t="shared" si="10"/>
        <v>--</v>
      </c>
      <c r="V37" s="239" t="str">
        <f t="shared" si="11"/>
        <v>--</v>
      </c>
      <c r="W37" s="857" t="str">
        <f t="shared" si="12"/>
        <v>--</v>
      </c>
      <c r="X37" s="858" t="str">
        <f t="shared" si="13"/>
        <v>--</v>
      </c>
      <c r="Y37" s="859" t="str">
        <f t="shared" si="14"/>
        <v>--</v>
      </c>
      <c r="Z37" s="240" t="str">
        <f t="shared" si="15"/>
        <v>--</v>
      </c>
      <c r="AA37" s="241" t="str">
        <f t="shared" si="16"/>
        <v>--</v>
      </c>
      <c r="AB37" s="860">
        <f t="shared" si="18"/>
      </c>
      <c r="AC37" s="16">
        <f t="shared" si="17"/>
      </c>
      <c r="AD37" s="861"/>
    </row>
    <row r="38" spans="2:30" s="5" customFormat="1" ht="16.5" customHeight="1">
      <c r="B38" s="50"/>
      <c r="C38" s="157"/>
      <c r="D38" s="148"/>
      <c r="E38" s="150"/>
      <c r="F38" s="915"/>
      <c r="G38" s="150"/>
      <c r="H38" s="851">
        <f t="shared" si="0"/>
        <v>20</v>
      </c>
      <c r="I38" s="852">
        <f t="shared" si="1"/>
        <v>97.649</v>
      </c>
      <c r="J38" s="191"/>
      <c r="K38" s="192"/>
      <c r="L38" s="193">
        <f t="shared" si="2"/>
      </c>
      <c r="M38" s="194">
        <f t="shared" si="3"/>
      </c>
      <c r="N38" s="234"/>
      <c r="O38" s="195">
        <f t="shared" si="4"/>
      </c>
      <c r="P38" s="155">
        <f t="shared" si="5"/>
      </c>
      <c r="Q38" s="155">
        <f t="shared" si="6"/>
      </c>
      <c r="R38" s="855" t="str">
        <f t="shared" si="7"/>
        <v>--</v>
      </c>
      <c r="S38" s="856" t="str">
        <f t="shared" si="8"/>
        <v>--</v>
      </c>
      <c r="T38" s="237" t="str">
        <f t="shared" si="9"/>
        <v>--</v>
      </c>
      <c r="U38" s="238" t="str">
        <f t="shared" si="10"/>
        <v>--</v>
      </c>
      <c r="V38" s="239" t="str">
        <f t="shared" si="11"/>
        <v>--</v>
      </c>
      <c r="W38" s="857" t="str">
        <f t="shared" si="12"/>
        <v>--</v>
      </c>
      <c r="X38" s="858" t="str">
        <f t="shared" si="13"/>
        <v>--</v>
      </c>
      <c r="Y38" s="859" t="str">
        <f t="shared" si="14"/>
        <v>--</v>
      </c>
      <c r="Z38" s="240" t="str">
        <f t="shared" si="15"/>
        <v>--</v>
      </c>
      <c r="AA38" s="241" t="str">
        <f t="shared" si="16"/>
        <v>--</v>
      </c>
      <c r="AB38" s="860">
        <f t="shared" si="18"/>
      </c>
      <c r="AC38" s="16">
        <f t="shared" si="17"/>
      </c>
      <c r="AD38" s="861"/>
    </row>
    <row r="39" spans="2:30" s="5" customFormat="1" ht="16.5" customHeight="1">
      <c r="B39" s="50"/>
      <c r="C39" s="289"/>
      <c r="D39" s="148"/>
      <c r="E39" s="150"/>
      <c r="F39" s="915"/>
      <c r="G39" s="150"/>
      <c r="H39" s="851">
        <f t="shared" si="0"/>
        <v>20</v>
      </c>
      <c r="I39" s="852">
        <f t="shared" si="1"/>
        <v>97.649</v>
      </c>
      <c r="J39" s="191"/>
      <c r="K39" s="192"/>
      <c r="L39" s="193">
        <f t="shared" si="2"/>
      </c>
      <c r="M39" s="194">
        <f t="shared" si="3"/>
      </c>
      <c r="N39" s="234"/>
      <c r="O39" s="195">
        <f t="shared" si="4"/>
      </c>
      <c r="P39" s="155">
        <f t="shared" si="5"/>
      </c>
      <c r="Q39" s="155">
        <f t="shared" si="6"/>
      </c>
      <c r="R39" s="855" t="str">
        <f t="shared" si="7"/>
        <v>--</v>
      </c>
      <c r="S39" s="856" t="str">
        <f t="shared" si="8"/>
        <v>--</v>
      </c>
      <c r="T39" s="237" t="str">
        <f t="shared" si="9"/>
        <v>--</v>
      </c>
      <c r="U39" s="238" t="str">
        <f t="shared" si="10"/>
        <v>--</v>
      </c>
      <c r="V39" s="239" t="str">
        <f t="shared" si="11"/>
        <v>--</v>
      </c>
      <c r="W39" s="857" t="str">
        <f t="shared" si="12"/>
        <v>--</v>
      </c>
      <c r="X39" s="858" t="str">
        <f t="shared" si="13"/>
        <v>--</v>
      </c>
      <c r="Y39" s="859" t="str">
        <f t="shared" si="14"/>
        <v>--</v>
      </c>
      <c r="Z39" s="240" t="str">
        <f t="shared" si="15"/>
        <v>--</v>
      </c>
      <c r="AA39" s="241" t="str">
        <f t="shared" si="16"/>
        <v>--</v>
      </c>
      <c r="AB39" s="860">
        <f t="shared" si="18"/>
      </c>
      <c r="AC39" s="16">
        <f t="shared" si="17"/>
      </c>
      <c r="AD39" s="861"/>
    </row>
    <row r="40" spans="2:30" s="5" customFormat="1" ht="16.5" customHeight="1">
      <c r="B40" s="50"/>
      <c r="C40" s="157"/>
      <c r="D40" s="148"/>
      <c r="E40" s="150"/>
      <c r="F40" s="915"/>
      <c r="G40" s="150"/>
      <c r="H40" s="851">
        <f t="shared" si="0"/>
        <v>20</v>
      </c>
      <c r="I40" s="852">
        <f t="shared" si="1"/>
        <v>97.649</v>
      </c>
      <c r="J40" s="191"/>
      <c r="K40" s="192"/>
      <c r="L40" s="193">
        <f t="shared" si="2"/>
      </c>
      <c r="M40" s="194">
        <f t="shared" si="3"/>
      </c>
      <c r="N40" s="234"/>
      <c r="O40" s="195">
        <f t="shared" si="4"/>
      </c>
      <c r="P40" s="155">
        <f t="shared" si="5"/>
      </c>
      <c r="Q40" s="155">
        <f t="shared" si="6"/>
      </c>
      <c r="R40" s="855" t="str">
        <f t="shared" si="7"/>
        <v>--</v>
      </c>
      <c r="S40" s="856" t="str">
        <f t="shared" si="8"/>
        <v>--</v>
      </c>
      <c r="T40" s="237" t="str">
        <f t="shared" si="9"/>
        <v>--</v>
      </c>
      <c r="U40" s="238" t="str">
        <f t="shared" si="10"/>
        <v>--</v>
      </c>
      <c r="V40" s="239" t="str">
        <f t="shared" si="11"/>
        <v>--</v>
      </c>
      <c r="W40" s="857" t="str">
        <f t="shared" si="12"/>
        <v>--</v>
      </c>
      <c r="X40" s="858" t="str">
        <f t="shared" si="13"/>
        <v>--</v>
      </c>
      <c r="Y40" s="859" t="str">
        <f t="shared" si="14"/>
        <v>--</v>
      </c>
      <c r="Z40" s="240" t="str">
        <f t="shared" si="15"/>
        <v>--</v>
      </c>
      <c r="AA40" s="241" t="str">
        <f t="shared" si="16"/>
        <v>--</v>
      </c>
      <c r="AB40" s="860">
        <f t="shared" si="18"/>
      </c>
      <c r="AC40" s="16">
        <f t="shared" si="17"/>
      </c>
      <c r="AD40" s="861"/>
    </row>
    <row r="41" spans="2:30" s="5" customFormat="1" ht="16.5" customHeight="1">
      <c r="B41" s="50"/>
      <c r="C41" s="289"/>
      <c r="D41" s="148"/>
      <c r="E41" s="150"/>
      <c r="F41" s="915"/>
      <c r="G41" s="150"/>
      <c r="H41" s="851">
        <f t="shared" si="0"/>
        <v>20</v>
      </c>
      <c r="I41" s="852">
        <f t="shared" si="1"/>
        <v>97.649</v>
      </c>
      <c r="J41" s="191"/>
      <c r="K41" s="192"/>
      <c r="L41" s="193">
        <f t="shared" si="2"/>
      </c>
      <c r="M41" s="194">
        <f t="shared" si="3"/>
      </c>
      <c r="N41" s="234"/>
      <c r="O41" s="195">
        <f t="shared" si="4"/>
      </c>
      <c r="P41" s="155">
        <f t="shared" si="5"/>
      </c>
      <c r="Q41" s="155">
        <f t="shared" si="6"/>
      </c>
      <c r="R41" s="855" t="str">
        <f t="shared" si="7"/>
        <v>--</v>
      </c>
      <c r="S41" s="856" t="str">
        <f t="shared" si="8"/>
        <v>--</v>
      </c>
      <c r="T41" s="237" t="str">
        <f t="shared" si="9"/>
        <v>--</v>
      </c>
      <c r="U41" s="238" t="str">
        <f t="shared" si="10"/>
        <v>--</v>
      </c>
      <c r="V41" s="239" t="str">
        <f t="shared" si="11"/>
        <v>--</v>
      </c>
      <c r="W41" s="857" t="str">
        <f t="shared" si="12"/>
        <v>--</v>
      </c>
      <c r="X41" s="858" t="str">
        <f t="shared" si="13"/>
        <v>--</v>
      </c>
      <c r="Y41" s="859" t="str">
        <f t="shared" si="14"/>
        <v>--</v>
      </c>
      <c r="Z41" s="240" t="str">
        <f t="shared" si="15"/>
        <v>--</v>
      </c>
      <c r="AA41" s="241" t="str">
        <f t="shared" si="16"/>
        <v>--</v>
      </c>
      <c r="AB41" s="860">
        <f t="shared" si="18"/>
      </c>
      <c r="AC41" s="16">
        <f t="shared" si="17"/>
      </c>
      <c r="AD41" s="861"/>
    </row>
    <row r="42" spans="2:30" s="5" customFormat="1" ht="16.5" customHeight="1" thickBot="1">
      <c r="B42" s="50"/>
      <c r="C42" s="157"/>
      <c r="D42" s="152"/>
      <c r="E42" s="243"/>
      <c r="F42" s="909"/>
      <c r="G42" s="244"/>
      <c r="H42" s="866"/>
      <c r="I42" s="867"/>
      <c r="J42" s="904"/>
      <c r="K42" s="904"/>
      <c r="L42" s="9"/>
      <c r="M42" s="9"/>
      <c r="N42" s="154"/>
      <c r="O42" s="197"/>
      <c r="P42" s="154"/>
      <c r="Q42" s="154"/>
      <c r="R42" s="868"/>
      <c r="S42" s="869"/>
      <c r="T42" s="245"/>
      <c r="U42" s="246"/>
      <c r="V42" s="247"/>
      <c r="W42" s="870"/>
      <c r="X42" s="871"/>
      <c r="Y42" s="872"/>
      <c r="Z42" s="248"/>
      <c r="AA42" s="249"/>
      <c r="AB42" s="873"/>
      <c r="AC42" s="250"/>
      <c r="AD42" s="861"/>
    </row>
    <row r="43" spans="2:30" s="5" customFormat="1" ht="16.5" customHeight="1" thickBot="1" thickTop="1">
      <c r="B43" s="50"/>
      <c r="C43" s="128" t="s">
        <v>25</v>
      </c>
      <c r="D43" s="129" t="s">
        <v>353</v>
      </c>
      <c r="E43" s="251"/>
      <c r="F43" s="217"/>
      <c r="G43" s="252"/>
      <c r="H43" s="217"/>
      <c r="I43" s="198"/>
      <c r="J43" s="198"/>
      <c r="K43" s="198"/>
      <c r="L43" s="198"/>
      <c r="M43" s="198"/>
      <c r="N43" s="198"/>
      <c r="O43" s="253"/>
      <c r="P43" s="198"/>
      <c r="Q43" s="198"/>
      <c r="R43" s="874">
        <f aca="true" t="shared" si="19" ref="R43:AA43">SUM(R20:R42)</f>
        <v>0</v>
      </c>
      <c r="S43" s="875">
        <f t="shared" si="19"/>
        <v>0</v>
      </c>
      <c r="T43" s="876">
        <f t="shared" si="19"/>
        <v>70752.67876959228</v>
      </c>
      <c r="U43" s="876">
        <f t="shared" si="19"/>
        <v>0</v>
      </c>
      <c r="V43" s="876">
        <f t="shared" si="19"/>
        <v>0</v>
      </c>
      <c r="W43" s="877">
        <f t="shared" si="19"/>
        <v>0</v>
      </c>
      <c r="X43" s="877">
        <f t="shared" si="19"/>
        <v>0</v>
      </c>
      <c r="Y43" s="877">
        <f t="shared" si="19"/>
        <v>0</v>
      </c>
      <c r="Z43" s="254">
        <f t="shared" si="19"/>
        <v>0</v>
      </c>
      <c r="AA43" s="255">
        <f t="shared" si="19"/>
        <v>0</v>
      </c>
      <c r="AB43" s="256"/>
      <c r="AC43" s="257">
        <f>ROUND(SUM(AC20:AC42),2)</f>
        <v>70752.68</v>
      </c>
      <c r="AD43" s="861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155"/>
  <sheetViews>
    <sheetView zoomScale="75" zoomScaleNormal="75" workbookViewId="0" topLeftCell="A10">
      <selection activeCell="K23" sqref="K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+'TOT-1208'!B2</f>
        <v>ANEXO I al Memorándum D.T.E.E. N°   770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6" customFormat="1" ht="30" customHeight="1">
      <c r="A10" s="940"/>
      <c r="B10" s="941"/>
      <c r="C10" s="940"/>
      <c r="D10" s="942" t="s">
        <v>260</v>
      </c>
      <c r="E10" s="940"/>
      <c r="F10" s="943"/>
      <c r="G10" s="944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5"/>
    </row>
    <row r="11" spans="1:28" s="951" customFormat="1" ht="9.75" customHeight="1">
      <c r="A11" s="947"/>
      <c r="B11" s="948"/>
      <c r="C11" s="947"/>
      <c r="E11" s="949"/>
      <c r="F11" s="949"/>
      <c r="G11" s="949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50"/>
    </row>
    <row r="12" spans="1:28" s="951" customFormat="1" ht="21" customHeight="1">
      <c r="A12" s="940"/>
      <c r="B12" s="941"/>
      <c r="C12" s="940"/>
      <c r="D12" s="952" t="s">
        <v>261</v>
      </c>
      <c r="E12" s="940"/>
      <c r="F12" s="940"/>
      <c r="G12" s="940"/>
      <c r="H12" s="953"/>
      <c r="I12" s="953"/>
      <c r="J12" s="953"/>
      <c r="K12" s="953"/>
      <c r="L12" s="953"/>
      <c r="M12" s="947"/>
      <c r="N12" s="947"/>
      <c r="O12" s="947"/>
      <c r="P12" s="947"/>
      <c r="Q12" s="947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50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'TOT-1208'!B14</f>
        <v>Desde el 01 al 31 de diciembre de 2008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82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20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83</v>
      </c>
      <c r="U19" s="224"/>
      <c r="V19" s="271" t="s">
        <v>84</v>
      </c>
      <c r="W19" s="272"/>
      <c r="X19" s="273" t="s">
        <v>22</v>
      </c>
      <c r="Y19" s="274" t="s">
        <v>79</v>
      </c>
      <c r="Z19" s="133" t="s">
        <v>80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289">
        <v>21</v>
      </c>
      <c r="D22" s="151" t="s">
        <v>293</v>
      </c>
      <c r="E22" s="303" t="s">
        <v>294</v>
      </c>
      <c r="F22" s="304">
        <v>800</v>
      </c>
      <c r="G22" s="305" t="s">
        <v>295</v>
      </c>
      <c r="H22" s="306">
        <f aca="true" t="shared" si="0" ref="H22:H40">F22*$F$16</f>
        <v>255.20000000000002</v>
      </c>
      <c r="I22" s="158">
        <v>39786.01875</v>
      </c>
      <c r="J22" s="158">
        <v>39786.10763888889</v>
      </c>
      <c r="K22" s="307">
        <f aca="true" t="shared" si="1" ref="K22:K40">IF(D22="","",(J22-I22)*24)</f>
        <v>2.1333333333022892</v>
      </c>
      <c r="L22" s="14">
        <f aca="true" t="shared" si="2" ref="L22:L40">IF(D22="","",ROUND((J22-I22)*24*60,0))</f>
        <v>128</v>
      </c>
      <c r="M22" s="159" t="s">
        <v>250</v>
      </c>
      <c r="N22" s="235" t="str">
        <f aca="true" t="shared" si="3" ref="N22:N40">IF(D22="","","--")</f>
        <v>--</v>
      </c>
      <c r="O22" s="156" t="str">
        <f aca="true" t="shared" si="4" ref="O22:O40">IF(D22="","",IF(OR(M22="P",M22="RP"),"--","NO"))</f>
        <v>--</v>
      </c>
      <c r="P22" s="155" t="str">
        <f aca="true" t="shared" si="5" ref="P22:P40">IF(D22="","","NO")</f>
        <v>NO</v>
      </c>
      <c r="Q22" s="308">
        <f aca="true" t="shared" si="6" ref="Q22:Q40">$F$17*IF(OR(M22="P",M22="RP"),0.1,1)*IF(P22="SI",1,0.1)</f>
        <v>2</v>
      </c>
      <c r="R22" s="309">
        <f aca="true" t="shared" si="7" ref="R22:R40">IF(M22="P",H22*Q22*ROUND(L22/60,2),"--")</f>
        <v>1087.152</v>
      </c>
      <c r="S22" s="310" t="str">
        <f aca="true" t="shared" si="8" ref="S22:S40">IF(M22="RP",H22*Q22*N22/100*ROUND(L22/60,2),"--")</f>
        <v>--</v>
      </c>
      <c r="T22" s="311" t="str">
        <f aca="true" t="shared" si="9" ref="T22:T40">IF(AND(M22="F",O22="NO"),H22*Q22,"--")</f>
        <v>--</v>
      </c>
      <c r="U22" s="312" t="str">
        <f aca="true" t="shared" si="10" ref="U22:U40">IF(M22="F",H22*Q22*ROUND(L22/60,2),"--")</f>
        <v>--</v>
      </c>
      <c r="V22" s="313" t="str">
        <f aca="true" t="shared" si="11" ref="V22:V40">IF(AND(M22="R",O22="NO"),H22*Q22*N22/100,"--")</f>
        <v>--</v>
      </c>
      <c r="W22" s="314" t="str">
        <f aca="true" t="shared" si="12" ref="W22:W40">IF(M22="R",H22*Q22*N22/100*ROUND(L22/60,2),"--")</f>
        <v>--</v>
      </c>
      <c r="X22" s="315" t="str">
        <f aca="true" t="shared" si="13" ref="X22:X40">IF(M22="RF",H22*Q22*ROUND(L22/60,2),"--")</f>
        <v>--</v>
      </c>
      <c r="Y22" s="316" t="str">
        <f aca="true" t="shared" si="14" ref="Y22:Y40">IF(M22="RR",H22*Q22*N22/100*ROUND(L22/60,2),"--")</f>
        <v>--</v>
      </c>
      <c r="Z22" s="317" t="s">
        <v>247</v>
      </c>
      <c r="AA22" s="16">
        <f aca="true" t="shared" si="15" ref="AA22:AA40">IF(D22="","",(SUM(R22:Y22)*IF(Z22="SI",1,2)*IF(AND(N22&lt;&gt;"--",M22="RF"),N22/100,1)))</f>
        <v>1087.152</v>
      </c>
      <c r="AB22" s="17"/>
    </row>
    <row r="23" spans="1:28" s="5" customFormat="1" ht="16.5" customHeight="1">
      <c r="A23" s="90"/>
      <c r="B23" s="95"/>
      <c r="C23" s="157">
        <v>22</v>
      </c>
      <c r="D23" s="151" t="s">
        <v>296</v>
      </c>
      <c r="E23" s="303" t="s">
        <v>294</v>
      </c>
      <c r="F23" s="304">
        <v>300</v>
      </c>
      <c r="G23" s="305" t="s">
        <v>128</v>
      </c>
      <c r="H23" s="306">
        <f t="shared" si="0"/>
        <v>95.7</v>
      </c>
      <c r="I23" s="158">
        <v>39786.478472222225</v>
      </c>
      <c r="J23" s="158">
        <v>39786.54513888889</v>
      </c>
      <c r="K23" s="307">
        <f t="shared" si="1"/>
        <v>1.599999999976717</v>
      </c>
      <c r="L23" s="14">
        <f t="shared" si="2"/>
        <v>96</v>
      </c>
      <c r="M23" s="159" t="s">
        <v>286</v>
      </c>
      <c r="N23" s="235" t="str">
        <f t="shared" si="3"/>
        <v>--</v>
      </c>
      <c r="O23" s="155" t="s">
        <v>247</v>
      </c>
      <c r="P23" s="155" t="str">
        <f t="shared" si="5"/>
        <v>NO</v>
      </c>
      <c r="Q23" s="308">
        <f t="shared" si="6"/>
        <v>20</v>
      </c>
      <c r="R23" s="309" t="str">
        <f t="shared" si="7"/>
        <v>--</v>
      </c>
      <c r="S23" s="310" t="str">
        <f t="shared" si="8"/>
        <v>--</v>
      </c>
      <c r="T23" s="311" t="str">
        <f t="shared" si="9"/>
        <v>--</v>
      </c>
      <c r="U23" s="312">
        <f t="shared" si="10"/>
        <v>3062.4</v>
      </c>
      <c r="V23" s="313" t="str">
        <f t="shared" si="11"/>
        <v>--</v>
      </c>
      <c r="W23" s="314" t="str">
        <f t="shared" si="12"/>
        <v>--</v>
      </c>
      <c r="X23" s="315" t="str">
        <f t="shared" si="13"/>
        <v>--</v>
      </c>
      <c r="Y23" s="316" t="str">
        <f t="shared" si="14"/>
        <v>--</v>
      </c>
      <c r="Z23" s="317" t="s">
        <v>247</v>
      </c>
      <c r="AA23" s="16">
        <f t="shared" si="15"/>
        <v>3062.4</v>
      </c>
      <c r="AB23" s="17"/>
    </row>
    <row r="24" spans="1:28" s="5" customFormat="1" ht="16.5" customHeight="1">
      <c r="A24" s="90"/>
      <c r="B24" s="95"/>
      <c r="C24" s="289">
        <v>23</v>
      </c>
      <c r="D24" s="151" t="s">
        <v>297</v>
      </c>
      <c r="E24" s="303" t="s">
        <v>298</v>
      </c>
      <c r="F24" s="304">
        <v>150</v>
      </c>
      <c r="G24" s="305" t="s">
        <v>357</v>
      </c>
      <c r="H24" s="306">
        <f t="shared" si="0"/>
        <v>47.85</v>
      </c>
      <c r="I24" s="158">
        <v>39789.35</v>
      </c>
      <c r="J24" s="158">
        <v>39789.595138888886</v>
      </c>
      <c r="K24" s="307">
        <f t="shared" si="1"/>
        <v>5.883333333302289</v>
      </c>
      <c r="L24" s="14">
        <f t="shared" si="2"/>
        <v>353</v>
      </c>
      <c r="M24" s="159" t="s">
        <v>250</v>
      </c>
      <c r="N24" s="235" t="str">
        <f t="shared" si="3"/>
        <v>--</v>
      </c>
      <c r="O24" s="156" t="str">
        <f t="shared" si="4"/>
        <v>--</v>
      </c>
      <c r="P24" s="155" t="str">
        <f t="shared" si="5"/>
        <v>NO</v>
      </c>
      <c r="Q24" s="308">
        <f t="shared" si="6"/>
        <v>2</v>
      </c>
      <c r="R24" s="309">
        <f t="shared" si="7"/>
        <v>562.716</v>
      </c>
      <c r="S24" s="310" t="str">
        <f t="shared" si="8"/>
        <v>--</v>
      </c>
      <c r="T24" s="311" t="str">
        <f t="shared" si="9"/>
        <v>--</v>
      </c>
      <c r="U24" s="312" t="str">
        <f t="shared" si="10"/>
        <v>--</v>
      </c>
      <c r="V24" s="313" t="str">
        <f t="shared" si="11"/>
        <v>--</v>
      </c>
      <c r="W24" s="314" t="str">
        <f t="shared" si="12"/>
        <v>--</v>
      </c>
      <c r="X24" s="315" t="str">
        <f t="shared" si="13"/>
        <v>--</v>
      </c>
      <c r="Y24" s="316" t="str">
        <f t="shared" si="14"/>
        <v>--</v>
      </c>
      <c r="Z24" s="317" t="s">
        <v>247</v>
      </c>
      <c r="AA24" s="16">
        <f t="shared" si="15"/>
        <v>562.716</v>
      </c>
      <c r="AB24" s="17"/>
    </row>
    <row r="25" spans="1:28" s="5" customFormat="1" ht="16.5" customHeight="1">
      <c r="A25" s="90"/>
      <c r="B25" s="95"/>
      <c r="C25" s="157">
        <v>24</v>
      </c>
      <c r="D25" s="151" t="s">
        <v>299</v>
      </c>
      <c r="E25" s="303" t="s">
        <v>300</v>
      </c>
      <c r="F25" s="304">
        <v>300</v>
      </c>
      <c r="G25" s="305" t="s">
        <v>301</v>
      </c>
      <c r="H25" s="306">
        <f t="shared" si="0"/>
        <v>95.7</v>
      </c>
      <c r="I25" s="158">
        <v>39790.334027777775</v>
      </c>
      <c r="J25" s="158">
        <v>39790.74097222222</v>
      </c>
      <c r="K25" s="307">
        <f t="shared" si="1"/>
        <v>9.766666666720994</v>
      </c>
      <c r="L25" s="14">
        <f t="shared" si="2"/>
        <v>586</v>
      </c>
      <c r="M25" s="159" t="s">
        <v>250</v>
      </c>
      <c r="N25" s="235" t="str">
        <f t="shared" si="3"/>
        <v>--</v>
      </c>
      <c r="O25" s="156" t="str">
        <f t="shared" si="4"/>
        <v>--</v>
      </c>
      <c r="P25" s="155" t="str">
        <f t="shared" si="5"/>
        <v>NO</v>
      </c>
      <c r="Q25" s="308">
        <f t="shared" si="6"/>
        <v>2</v>
      </c>
      <c r="R25" s="309">
        <f t="shared" si="7"/>
        <v>1869.978</v>
      </c>
      <c r="S25" s="310" t="str">
        <f t="shared" si="8"/>
        <v>--</v>
      </c>
      <c r="T25" s="311" t="str">
        <f t="shared" si="9"/>
        <v>--</v>
      </c>
      <c r="U25" s="312" t="str">
        <f t="shared" si="10"/>
        <v>--</v>
      </c>
      <c r="V25" s="313" t="str">
        <f t="shared" si="11"/>
        <v>--</v>
      </c>
      <c r="W25" s="314" t="str">
        <f t="shared" si="12"/>
        <v>--</v>
      </c>
      <c r="X25" s="315" t="str">
        <f t="shared" si="13"/>
        <v>--</v>
      </c>
      <c r="Y25" s="316" t="str">
        <f t="shared" si="14"/>
        <v>--</v>
      </c>
      <c r="Z25" s="317" t="s">
        <v>247</v>
      </c>
      <c r="AA25" s="16">
        <f t="shared" si="15"/>
        <v>1869.978</v>
      </c>
      <c r="AB25" s="17"/>
    </row>
    <row r="26" spans="1:28" s="5" customFormat="1" ht="16.5" customHeight="1">
      <c r="A26" s="90"/>
      <c r="B26" s="95"/>
      <c r="C26" s="289">
        <v>25</v>
      </c>
      <c r="D26" s="151" t="s">
        <v>302</v>
      </c>
      <c r="E26" s="303" t="s">
        <v>294</v>
      </c>
      <c r="F26" s="304">
        <v>300</v>
      </c>
      <c r="G26" s="305" t="s">
        <v>150</v>
      </c>
      <c r="H26" s="306">
        <f t="shared" si="0"/>
        <v>95.7</v>
      </c>
      <c r="I26" s="158">
        <v>39790.33611111111</v>
      </c>
      <c r="J26" s="158">
        <v>39790.493055555555</v>
      </c>
      <c r="K26" s="307">
        <f t="shared" si="1"/>
        <v>3.766666666720994</v>
      </c>
      <c r="L26" s="14">
        <f t="shared" si="2"/>
        <v>226</v>
      </c>
      <c r="M26" s="159" t="s">
        <v>250</v>
      </c>
      <c r="N26" s="235" t="str">
        <f t="shared" si="3"/>
        <v>--</v>
      </c>
      <c r="O26" s="156" t="str">
        <f t="shared" si="4"/>
        <v>--</v>
      </c>
      <c r="P26" s="155" t="str">
        <f t="shared" si="5"/>
        <v>NO</v>
      </c>
      <c r="Q26" s="308">
        <f t="shared" si="6"/>
        <v>2</v>
      </c>
      <c r="R26" s="309">
        <f t="shared" si="7"/>
        <v>721.578</v>
      </c>
      <c r="S26" s="310" t="str">
        <f t="shared" si="8"/>
        <v>--</v>
      </c>
      <c r="T26" s="311" t="str">
        <f t="shared" si="9"/>
        <v>--</v>
      </c>
      <c r="U26" s="312" t="str">
        <f t="shared" si="10"/>
        <v>--</v>
      </c>
      <c r="V26" s="313" t="str">
        <f t="shared" si="11"/>
        <v>--</v>
      </c>
      <c r="W26" s="314" t="str">
        <f t="shared" si="12"/>
        <v>--</v>
      </c>
      <c r="X26" s="315" t="str">
        <f t="shared" si="13"/>
        <v>--</v>
      </c>
      <c r="Y26" s="316" t="str">
        <f t="shared" si="14"/>
        <v>--</v>
      </c>
      <c r="Z26" s="317" t="s">
        <v>247</v>
      </c>
      <c r="AA26" s="16">
        <f t="shared" si="15"/>
        <v>721.578</v>
      </c>
      <c r="AB26" s="17"/>
    </row>
    <row r="27" spans="1:29" s="5" customFormat="1" ht="16.5" customHeight="1">
      <c r="A27" s="90"/>
      <c r="B27" s="95"/>
      <c r="C27" s="157">
        <v>26</v>
      </c>
      <c r="D27" s="151" t="s">
        <v>303</v>
      </c>
      <c r="E27" s="303" t="s">
        <v>304</v>
      </c>
      <c r="F27" s="304">
        <v>300</v>
      </c>
      <c r="G27" s="305" t="s">
        <v>292</v>
      </c>
      <c r="H27" s="306">
        <f t="shared" si="0"/>
        <v>95.7</v>
      </c>
      <c r="I27" s="158">
        <v>39795.35</v>
      </c>
      <c r="J27" s="158">
        <v>39795.55486111111</v>
      </c>
      <c r="K27" s="307">
        <f t="shared" si="1"/>
        <v>4.916666666627862</v>
      </c>
      <c r="L27" s="14">
        <f t="shared" si="2"/>
        <v>295</v>
      </c>
      <c r="M27" s="159" t="s">
        <v>250</v>
      </c>
      <c r="N27" s="235" t="str">
        <f t="shared" si="3"/>
        <v>--</v>
      </c>
      <c r="O27" s="156" t="str">
        <f t="shared" si="4"/>
        <v>--</v>
      </c>
      <c r="P27" s="155" t="str">
        <f t="shared" si="5"/>
        <v>NO</v>
      </c>
      <c r="Q27" s="308">
        <f t="shared" si="6"/>
        <v>2</v>
      </c>
      <c r="R27" s="309">
        <f t="shared" si="7"/>
        <v>941.688</v>
      </c>
      <c r="S27" s="310" t="str">
        <f t="shared" si="8"/>
        <v>--</v>
      </c>
      <c r="T27" s="311" t="str">
        <f t="shared" si="9"/>
        <v>--</v>
      </c>
      <c r="U27" s="312" t="str">
        <f t="shared" si="10"/>
        <v>--</v>
      </c>
      <c r="V27" s="313" t="str">
        <f t="shared" si="11"/>
        <v>--</v>
      </c>
      <c r="W27" s="314" t="str">
        <f t="shared" si="12"/>
        <v>--</v>
      </c>
      <c r="X27" s="315" t="str">
        <f t="shared" si="13"/>
        <v>--</v>
      </c>
      <c r="Y27" s="316" t="str">
        <f t="shared" si="14"/>
        <v>--</v>
      </c>
      <c r="Z27" s="317" t="s">
        <v>247</v>
      </c>
      <c r="AA27" s="16">
        <f t="shared" si="15"/>
        <v>941.688</v>
      </c>
      <c r="AB27" s="17"/>
      <c r="AC27" s="15"/>
    </row>
    <row r="28" spans="1:28" s="5" customFormat="1" ht="16.5" customHeight="1">
      <c r="A28" s="90"/>
      <c r="B28" s="95"/>
      <c r="C28" s="289">
        <v>27</v>
      </c>
      <c r="D28" s="151" t="s">
        <v>293</v>
      </c>
      <c r="E28" s="303" t="s">
        <v>305</v>
      </c>
      <c r="F28" s="304">
        <v>800</v>
      </c>
      <c r="G28" s="305" t="s">
        <v>295</v>
      </c>
      <c r="H28" s="306">
        <f t="shared" si="0"/>
        <v>255.20000000000002</v>
      </c>
      <c r="I28" s="158">
        <v>39796.419444444444</v>
      </c>
      <c r="J28" s="158">
        <v>39796.675</v>
      </c>
      <c r="K28" s="307">
        <f t="shared" si="1"/>
        <v>6.133333333418705</v>
      </c>
      <c r="L28" s="14">
        <f t="shared" si="2"/>
        <v>368</v>
      </c>
      <c r="M28" s="159" t="s">
        <v>250</v>
      </c>
      <c r="N28" s="235" t="str">
        <f t="shared" si="3"/>
        <v>--</v>
      </c>
      <c r="O28" s="156" t="str">
        <f t="shared" si="4"/>
        <v>--</v>
      </c>
      <c r="P28" s="155" t="str">
        <f t="shared" si="5"/>
        <v>NO</v>
      </c>
      <c r="Q28" s="308">
        <f t="shared" si="6"/>
        <v>2</v>
      </c>
      <c r="R28" s="309">
        <f t="shared" si="7"/>
        <v>3128.752</v>
      </c>
      <c r="S28" s="310" t="str">
        <f t="shared" si="8"/>
        <v>--</v>
      </c>
      <c r="T28" s="311" t="str">
        <f t="shared" si="9"/>
        <v>--</v>
      </c>
      <c r="U28" s="312" t="str">
        <f t="shared" si="10"/>
        <v>--</v>
      </c>
      <c r="V28" s="313" t="str">
        <f t="shared" si="11"/>
        <v>--</v>
      </c>
      <c r="W28" s="314" t="str">
        <f t="shared" si="12"/>
        <v>--</v>
      </c>
      <c r="X28" s="315" t="str">
        <f t="shared" si="13"/>
        <v>--</v>
      </c>
      <c r="Y28" s="316" t="str">
        <f t="shared" si="14"/>
        <v>--</v>
      </c>
      <c r="Z28" s="317" t="s">
        <v>247</v>
      </c>
      <c r="AA28" s="16">
        <f t="shared" si="15"/>
        <v>3128.752</v>
      </c>
      <c r="AB28" s="17"/>
    </row>
    <row r="29" spans="1:28" s="5" customFormat="1" ht="16.5" customHeight="1">
      <c r="A29" s="90"/>
      <c r="B29" s="95"/>
      <c r="C29" s="157">
        <v>28</v>
      </c>
      <c r="D29" s="151" t="s">
        <v>306</v>
      </c>
      <c r="E29" s="303" t="s">
        <v>304</v>
      </c>
      <c r="F29" s="304">
        <v>300</v>
      </c>
      <c r="G29" s="305" t="s">
        <v>292</v>
      </c>
      <c r="H29" s="306">
        <f t="shared" si="0"/>
        <v>95.7</v>
      </c>
      <c r="I29" s="158">
        <v>39803.3125</v>
      </c>
      <c r="J29" s="158">
        <v>39803.464583333334</v>
      </c>
      <c r="K29" s="307">
        <f t="shared" si="1"/>
        <v>3.650000000023283</v>
      </c>
      <c r="L29" s="14">
        <f t="shared" si="2"/>
        <v>219</v>
      </c>
      <c r="M29" s="159" t="s">
        <v>250</v>
      </c>
      <c r="N29" s="235" t="str">
        <f t="shared" si="3"/>
        <v>--</v>
      </c>
      <c r="O29" s="156" t="str">
        <f t="shared" si="4"/>
        <v>--</v>
      </c>
      <c r="P29" s="155" t="str">
        <f t="shared" si="5"/>
        <v>NO</v>
      </c>
      <c r="Q29" s="308">
        <f t="shared" si="6"/>
        <v>2</v>
      </c>
      <c r="R29" s="309">
        <f t="shared" si="7"/>
        <v>698.61</v>
      </c>
      <c r="S29" s="310" t="str">
        <f t="shared" si="8"/>
        <v>--</v>
      </c>
      <c r="T29" s="311" t="str">
        <f t="shared" si="9"/>
        <v>--</v>
      </c>
      <c r="U29" s="312" t="str">
        <f t="shared" si="10"/>
        <v>--</v>
      </c>
      <c r="V29" s="313" t="str">
        <f t="shared" si="11"/>
        <v>--</v>
      </c>
      <c r="W29" s="314" t="str">
        <f t="shared" si="12"/>
        <v>--</v>
      </c>
      <c r="X29" s="315" t="str">
        <f t="shared" si="13"/>
        <v>--</v>
      </c>
      <c r="Y29" s="316" t="str">
        <f t="shared" si="14"/>
        <v>--</v>
      </c>
      <c r="Z29" s="317" t="s">
        <v>247</v>
      </c>
      <c r="AA29" s="16">
        <f t="shared" si="15"/>
        <v>698.61</v>
      </c>
      <c r="AB29" s="17"/>
    </row>
    <row r="30" spans="1:28" s="5" customFormat="1" ht="16.5" customHeight="1">
      <c r="A30" s="90"/>
      <c r="B30" s="95"/>
      <c r="C30" s="289">
        <v>29</v>
      </c>
      <c r="D30" s="151" t="s">
        <v>303</v>
      </c>
      <c r="E30" s="303" t="s">
        <v>304</v>
      </c>
      <c r="F30" s="304">
        <v>300</v>
      </c>
      <c r="G30" s="305" t="s">
        <v>292</v>
      </c>
      <c r="H30" s="306">
        <f t="shared" si="0"/>
        <v>95.7</v>
      </c>
      <c r="I30" s="158">
        <v>39812.29722222222</v>
      </c>
      <c r="J30" s="158">
        <v>39812.39861111111</v>
      </c>
      <c r="K30" s="307">
        <f t="shared" si="1"/>
        <v>2.43333333323244</v>
      </c>
      <c r="L30" s="14">
        <f t="shared" si="2"/>
        <v>146</v>
      </c>
      <c r="M30" s="159" t="s">
        <v>250</v>
      </c>
      <c r="N30" s="235" t="str">
        <f t="shared" si="3"/>
        <v>--</v>
      </c>
      <c r="O30" s="156" t="str">
        <f t="shared" si="4"/>
        <v>--</v>
      </c>
      <c r="P30" s="155" t="str">
        <f t="shared" si="5"/>
        <v>NO</v>
      </c>
      <c r="Q30" s="308">
        <f t="shared" si="6"/>
        <v>2</v>
      </c>
      <c r="R30" s="309">
        <f t="shared" si="7"/>
        <v>465.10200000000003</v>
      </c>
      <c r="S30" s="310" t="str">
        <f t="shared" si="8"/>
        <v>--</v>
      </c>
      <c r="T30" s="311" t="str">
        <f t="shared" si="9"/>
        <v>--</v>
      </c>
      <c r="U30" s="312" t="str">
        <f t="shared" si="10"/>
        <v>--</v>
      </c>
      <c r="V30" s="313" t="str">
        <f t="shared" si="11"/>
        <v>--</v>
      </c>
      <c r="W30" s="314" t="str">
        <f t="shared" si="12"/>
        <v>--</v>
      </c>
      <c r="X30" s="315" t="str">
        <f t="shared" si="13"/>
        <v>--</v>
      </c>
      <c r="Y30" s="316" t="str">
        <f t="shared" si="14"/>
        <v>--</v>
      </c>
      <c r="Z30" s="317" t="s">
        <v>247</v>
      </c>
      <c r="AA30" s="16">
        <f t="shared" si="15"/>
        <v>465.10200000000003</v>
      </c>
      <c r="AB30" s="17"/>
    </row>
    <row r="31" spans="1:28" s="5" customFormat="1" ht="16.5" customHeight="1">
      <c r="A31" s="90"/>
      <c r="B31" s="95"/>
      <c r="C31" s="157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4"/>
      </c>
      <c r="P31" s="155">
        <f t="shared" si="5"/>
      </c>
      <c r="Q31" s="308">
        <f t="shared" si="6"/>
        <v>20</v>
      </c>
      <c r="R31" s="309" t="str">
        <f t="shared" si="7"/>
        <v>--</v>
      </c>
      <c r="S31" s="310" t="str">
        <f t="shared" si="8"/>
        <v>--</v>
      </c>
      <c r="T31" s="311" t="str">
        <f t="shared" si="9"/>
        <v>--</v>
      </c>
      <c r="U31" s="312" t="str">
        <f t="shared" si="10"/>
        <v>--</v>
      </c>
      <c r="V31" s="313" t="str">
        <f t="shared" si="11"/>
        <v>--</v>
      </c>
      <c r="W31" s="314" t="str">
        <f t="shared" si="12"/>
        <v>--</v>
      </c>
      <c r="X31" s="315" t="str">
        <f t="shared" si="13"/>
        <v>--</v>
      </c>
      <c r="Y31" s="316" t="str">
        <f t="shared" si="14"/>
        <v>--</v>
      </c>
      <c r="Z31" s="317">
        <f aca="true" t="shared" si="16" ref="Z31:Z40">IF(D31="","","SI")</f>
      </c>
      <c r="AA31" s="16">
        <f t="shared" si="15"/>
      </c>
      <c r="AB31" s="17"/>
    </row>
    <row r="32" spans="1:28" s="5" customFormat="1" ht="16.5" customHeight="1">
      <c r="A32" s="90"/>
      <c r="B32" s="95"/>
      <c r="C32" s="289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4"/>
      </c>
      <c r="P32" s="155">
        <f t="shared" si="5"/>
      </c>
      <c r="Q32" s="308">
        <f t="shared" si="6"/>
        <v>20</v>
      </c>
      <c r="R32" s="309" t="str">
        <f t="shared" si="7"/>
        <v>--</v>
      </c>
      <c r="S32" s="310" t="str">
        <f t="shared" si="8"/>
        <v>--</v>
      </c>
      <c r="T32" s="311" t="str">
        <f t="shared" si="9"/>
        <v>--</v>
      </c>
      <c r="U32" s="312" t="str">
        <f t="shared" si="10"/>
        <v>--</v>
      </c>
      <c r="V32" s="313" t="str">
        <f t="shared" si="11"/>
        <v>--</v>
      </c>
      <c r="W32" s="314" t="str">
        <f t="shared" si="12"/>
        <v>--</v>
      </c>
      <c r="X32" s="315" t="str">
        <f t="shared" si="13"/>
        <v>--</v>
      </c>
      <c r="Y32" s="316" t="str">
        <f t="shared" si="14"/>
        <v>--</v>
      </c>
      <c r="Z32" s="317">
        <f t="shared" si="16"/>
      </c>
      <c r="AA32" s="16">
        <f t="shared" si="15"/>
      </c>
      <c r="AB32" s="17"/>
    </row>
    <row r="33" spans="1:28" s="5" customFormat="1" ht="16.5" customHeight="1">
      <c r="A33" s="90"/>
      <c r="B33" s="95"/>
      <c r="C33" s="157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4"/>
      </c>
      <c r="P33" s="155">
        <f t="shared" si="5"/>
      </c>
      <c r="Q33" s="308">
        <f t="shared" si="6"/>
        <v>20</v>
      </c>
      <c r="R33" s="309" t="str">
        <f t="shared" si="7"/>
        <v>--</v>
      </c>
      <c r="S33" s="310" t="str">
        <f t="shared" si="8"/>
        <v>--</v>
      </c>
      <c r="T33" s="311" t="str">
        <f t="shared" si="9"/>
        <v>--</v>
      </c>
      <c r="U33" s="312" t="str">
        <f t="shared" si="10"/>
        <v>--</v>
      </c>
      <c r="V33" s="313" t="str">
        <f t="shared" si="11"/>
        <v>--</v>
      </c>
      <c r="W33" s="314" t="str">
        <f t="shared" si="12"/>
        <v>--</v>
      </c>
      <c r="X33" s="315" t="str">
        <f t="shared" si="13"/>
        <v>--</v>
      </c>
      <c r="Y33" s="316" t="str">
        <f t="shared" si="14"/>
        <v>--</v>
      </c>
      <c r="Z33" s="317">
        <f t="shared" si="16"/>
      </c>
      <c r="AA33" s="16">
        <f t="shared" si="15"/>
      </c>
      <c r="AB33" s="17"/>
    </row>
    <row r="34" spans="1:28" s="5" customFormat="1" ht="16.5" customHeight="1">
      <c r="A34" s="90"/>
      <c r="B34" s="95"/>
      <c r="C34" s="289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4"/>
      </c>
      <c r="P34" s="155">
        <f t="shared" si="5"/>
      </c>
      <c r="Q34" s="308">
        <f t="shared" si="6"/>
        <v>20</v>
      </c>
      <c r="R34" s="309" t="str">
        <f t="shared" si="7"/>
        <v>--</v>
      </c>
      <c r="S34" s="310" t="str">
        <f t="shared" si="8"/>
        <v>--</v>
      </c>
      <c r="T34" s="311" t="str">
        <f t="shared" si="9"/>
        <v>--</v>
      </c>
      <c r="U34" s="312" t="str">
        <f t="shared" si="10"/>
        <v>--</v>
      </c>
      <c r="V34" s="313" t="str">
        <f t="shared" si="11"/>
        <v>--</v>
      </c>
      <c r="W34" s="314" t="str">
        <f t="shared" si="12"/>
        <v>--</v>
      </c>
      <c r="X34" s="315" t="str">
        <f t="shared" si="13"/>
        <v>--</v>
      </c>
      <c r="Y34" s="316" t="str">
        <f t="shared" si="14"/>
        <v>--</v>
      </c>
      <c r="Z34" s="317">
        <f t="shared" si="16"/>
      </c>
      <c r="AA34" s="16">
        <f t="shared" si="15"/>
      </c>
      <c r="AB34" s="17"/>
    </row>
    <row r="35" spans="1:28" s="5" customFormat="1" ht="16.5" customHeight="1">
      <c r="A35" s="90"/>
      <c r="B35" s="95"/>
      <c r="C35" s="157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4"/>
      </c>
      <c r="P35" s="155">
        <f t="shared" si="5"/>
      </c>
      <c r="Q35" s="308">
        <f t="shared" si="6"/>
        <v>20</v>
      </c>
      <c r="R35" s="309" t="str">
        <f t="shared" si="7"/>
        <v>--</v>
      </c>
      <c r="S35" s="310" t="str">
        <f t="shared" si="8"/>
        <v>--</v>
      </c>
      <c r="T35" s="311" t="str">
        <f t="shared" si="9"/>
        <v>--</v>
      </c>
      <c r="U35" s="312" t="str">
        <f t="shared" si="10"/>
        <v>--</v>
      </c>
      <c r="V35" s="313" t="str">
        <f t="shared" si="11"/>
        <v>--</v>
      </c>
      <c r="W35" s="314" t="str">
        <f t="shared" si="12"/>
        <v>--</v>
      </c>
      <c r="X35" s="315" t="str">
        <f t="shared" si="13"/>
        <v>--</v>
      </c>
      <c r="Y35" s="316" t="str">
        <f t="shared" si="14"/>
        <v>--</v>
      </c>
      <c r="Z35" s="317">
        <f t="shared" si="16"/>
      </c>
      <c r="AA35" s="16">
        <f t="shared" si="15"/>
      </c>
      <c r="AB35" s="17"/>
    </row>
    <row r="36" spans="1:28" s="5" customFormat="1" ht="16.5" customHeight="1">
      <c r="A36" s="90"/>
      <c r="B36" s="95"/>
      <c r="C36" s="289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4"/>
      </c>
      <c r="P36" s="155">
        <f t="shared" si="5"/>
      </c>
      <c r="Q36" s="308">
        <f t="shared" si="6"/>
        <v>20</v>
      </c>
      <c r="R36" s="309" t="str">
        <f t="shared" si="7"/>
        <v>--</v>
      </c>
      <c r="S36" s="310" t="str">
        <f t="shared" si="8"/>
        <v>--</v>
      </c>
      <c r="T36" s="311" t="str">
        <f t="shared" si="9"/>
        <v>--</v>
      </c>
      <c r="U36" s="312" t="str">
        <f t="shared" si="10"/>
        <v>--</v>
      </c>
      <c r="V36" s="313" t="str">
        <f t="shared" si="11"/>
        <v>--</v>
      </c>
      <c r="W36" s="314" t="str">
        <f t="shared" si="12"/>
        <v>--</v>
      </c>
      <c r="X36" s="315" t="str">
        <f t="shared" si="13"/>
        <v>--</v>
      </c>
      <c r="Y36" s="316" t="str">
        <f t="shared" si="14"/>
        <v>--</v>
      </c>
      <c r="Z36" s="317">
        <f t="shared" si="16"/>
      </c>
      <c r="AA36" s="16">
        <f t="shared" si="15"/>
      </c>
      <c r="AB36" s="17"/>
    </row>
    <row r="37" spans="1:28" s="5" customFormat="1" ht="16.5" customHeight="1">
      <c r="A37" s="90"/>
      <c r="B37" s="95"/>
      <c r="C37" s="157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4"/>
      </c>
      <c r="P37" s="155">
        <f t="shared" si="5"/>
      </c>
      <c r="Q37" s="308">
        <f t="shared" si="6"/>
        <v>20</v>
      </c>
      <c r="R37" s="309" t="str">
        <f t="shared" si="7"/>
        <v>--</v>
      </c>
      <c r="S37" s="310" t="str">
        <f t="shared" si="8"/>
        <v>--</v>
      </c>
      <c r="T37" s="311" t="str">
        <f t="shared" si="9"/>
        <v>--</v>
      </c>
      <c r="U37" s="312" t="str">
        <f t="shared" si="10"/>
        <v>--</v>
      </c>
      <c r="V37" s="313" t="str">
        <f t="shared" si="11"/>
        <v>--</v>
      </c>
      <c r="W37" s="314" t="str">
        <f t="shared" si="12"/>
        <v>--</v>
      </c>
      <c r="X37" s="315" t="str">
        <f t="shared" si="13"/>
        <v>--</v>
      </c>
      <c r="Y37" s="316" t="str">
        <f t="shared" si="14"/>
        <v>--</v>
      </c>
      <c r="Z37" s="317">
        <f t="shared" si="16"/>
      </c>
      <c r="AA37" s="16">
        <f t="shared" si="15"/>
      </c>
      <c r="AB37" s="17"/>
    </row>
    <row r="38" spans="1:28" s="5" customFormat="1" ht="16.5" customHeight="1">
      <c r="A38" s="90"/>
      <c r="B38" s="95"/>
      <c r="C38" s="289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4"/>
      </c>
      <c r="P38" s="155">
        <f t="shared" si="5"/>
      </c>
      <c r="Q38" s="308">
        <f t="shared" si="6"/>
        <v>20</v>
      </c>
      <c r="R38" s="309" t="str">
        <f t="shared" si="7"/>
        <v>--</v>
      </c>
      <c r="S38" s="310" t="str">
        <f t="shared" si="8"/>
        <v>--</v>
      </c>
      <c r="T38" s="311" t="str">
        <f t="shared" si="9"/>
        <v>--</v>
      </c>
      <c r="U38" s="312" t="str">
        <f t="shared" si="10"/>
        <v>--</v>
      </c>
      <c r="V38" s="313" t="str">
        <f t="shared" si="11"/>
        <v>--</v>
      </c>
      <c r="W38" s="314" t="str">
        <f t="shared" si="12"/>
        <v>--</v>
      </c>
      <c r="X38" s="315" t="str">
        <f t="shared" si="13"/>
        <v>--</v>
      </c>
      <c r="Y38" s="316" t="str">
        <f t="shared" si="14"/>
        <v>--</v>
      </c>
      <c r="Z38" s="317">
        <f t="shared" si="16"/>
      </c>
      <c r="AA38" s="16">
        <f t="shared" si="15"/>
      </c>
      <c r="AB38" s="17"/>
    </row>
    <row r="39" spans="1:28" s="5" customFormat="1" ht="16.5" customHeight="1">
      <c r="A39" s="90"/>
      <c r="B39" s="95"/>
      <c r="C39" s="157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4"/>
      </c>
      <c r="P39" s="155">
        <f t="shared" si="5"/>
      </c>
      <c r="Q39" s="308">
        <f t="shared" si="6"/>
        <v>20</v>
      </c>
      <c r="R39" s="309" t="str">
        <f t="shared" si="7"/>
        <v>--</v>
      </c>
      <c r="S39" s="310" t="str">
        <f t="shared" si="8"/>
        <v>--</v>
      </c>
      <c r="T39" s="311" t="str">
        <f t="shared" si="9"/>
        <v>--</v>
      </c>
      <c r="U39" s="312" t="str">
        <f t="shared" si="10"/>
        <v>--</v>
      </c>
      <c r="V39" s="313" t="str">
        <f t="shared" si="11"/>
        <v>--</v>
      </c>
      <c r="W39" s="314" t="str">
        <f t="shared" si="12"/>
        <v>--</v>
      </c>
      <c r="X39" s="315" t="str">
        <f t="shared" si="13"/>
        <v>--</v>
      </c>
      <c r="Y39" s="316" t="str">
        <f t="shared" si="14"/>
        <v>--</v>
      </c>
      <c r="Z39" s="317">
        <f t="shared" si="16"/>
      </c>
      <c r="AA39" s="16">
        <f t="shared" si="15"/>
      </c>
      <c r="AB39" s="17"/>
    </row>
    <row r="40" spans="1:28" s="5" customFormat="1" ht="16.5" customHeight="1">
      <c r="A40" s="90"/>
      <c r="B40" s="95"/>
      <c r="C40" s="289"/>
      <c r="D40" s="151"/>
      <c r="E40" s="319"/>
      <c r="F40" s="304"/>
      <c r="G40" s="305"/>
      <c r="H40" s="306">
        <f t="shared" si="0"/>
        <v>0</v>
      </c>
      <c r="I40" s="158"/>
      <c r="J40" s="158"/>
      <c r="K40" s="307">
        <f t="shared" si="1"/>
      </c>
      <c r="L40" s="14">
        <f t="shared" si="2"/>
      </c>
      <c r="M40" s="159"/>
      <c r="N40" s="235">
        <f t="shared" si="3"/>
      </c>
      <c r="O40" s="156">
        <f t="shared" si="4"/>
      </c>
      <c r="P40" s="155">
        <f t="shared" si="5"/>
      </c>
      <c r="Q40" s="308">
        <f t="shared" si="6"/>
        <v>20</v>
      </c>
      <c r="R40" s="309" t="str">
        <f t="shared" si="7"/>
        <v>--</v>
      </c>
      <c r="S40" s="310" t="str">
        <f t="shared" si="8"/>
        <v>--</v>
      </c>
      <c r="T40" s="311" t="str">
        <f t="shared" si="9"/>
        <v>--</v>
      </c>
      <c r="U40" s="312" t="str">
        <f t="shared" si="10"/>
        <v>--</v>
      </c>
      <c r="V40" s="313" t="str">
        <f t="shared" si="11"/>
        <v>--</v>
      </c>
      <c r="W40" s="314" t="str">
        <f t="shared" si="12"/>
        <v>--</v>
      </c>
      <c r="X40" s="315" t="str">
        <f t="shared" si="13"/>
        <v>--</v>
      </c>
      <c r="Y40" s="316" t="str">
        <f t="shared" si="14"/>
        <v>--</v>
      </c>
      <c r="Z40" s="317">
        <f t="shared" si="16"/>
      </c>
      <c r="AA40" s="16">
        <f t="shared" si="15"/>
      </c>
      <c r="AB40" s="17"/>
    </row>
    <row r="41" spans="1:28" s="5" customFormat="1" ht="16.5" customHeight="1" thickBot="1">
      <c r="A41" s="90"/>
      <c r="B41" s="95"/>
      <c r="C41" s="157"/>
      <c r="D41" s="320"/>
      <c r="E41" s="321"/>
      <c r="F41" s="320"/>
      <c r="G41" s="322"/>
      <c r="H41" s="132"/>
      <c r="I41" s="160"/>
      <c r="J41" s="323"/>
      <c r="K41" s="324"/>
      <c r="L41" s="325"/>
      <c r="M41" s="165"/>
      <c r="N41" s="197"/>
      <c r="O41" s="163"/>
      <c r="P41" s="165"/>
      <c r="Q41" s="326"/>
      <c r="R41" s="327"/>
      <c r="S41" s="328"/>
      <c r="T41" s="329"/>
      <c r="U41" s="330"/>
      <c r="V41" s="331"/>
      <c r="W41" s="332"/>
      <c r="X41" s="333"/>
      <c r="Y41" s="334"/>
      <c r="Z41" s="335"/>
      <c r="AA41" s="336"/>
      <c r="AB41" s="17"/>
    </row>
    <row r="42" spans="1:28" s="5" customFormat="1" ht="16.5" customHeight="1" thickBot="1" thickTop="1">
      <c r="A42" s="90"/>
      <c r="B42" s="95"/>
      <c r="C42" s="128" t="s">
        <v>25</v>
      </c>
      <c r="D42" s="129" t="s">
        <v>352</v>
      </c>
      <c r="E42" s="15"/>
      <c r="F42" s="15"/>
      <c r="G42" s="15"/>
      <c r="H42" s="15"/>
      <c r="I42" s="15"/>
      <c r="J42" s="99"/>
      <c r="K42" s="15"/>
      <c r="L42" s="15"/>
      <c r="M42" s="15"/>
      <c r="N42" s="15"/>
      <c r="O42" s="15"/>
      <c r="P42" s="15"/>
      <c r="Q42" s="15"/>
      <c r="R42" s="337">
        <f aca="true" t="shared" si="17" ref="R42:Y42">SUM(R20:R41)</f>
        <v>9475.576000000001</v>
      </c>
      <c r="S42" s="338">
        <f t="shared" si="17"/>
        <v>0</v>
      </c>
      <c r="T42" s="339">
        <f t="shared" si="17"/>
        <v>0</v>
      </c>
      <c r="U42" s="340">
        <f t="shared" si="17"/>
        <v>3062.4</v>
      </c>
      <c r="V42" s="341">
        <f t="shared" si="17"/>
        <v>0</v>
      </c>
      <c r="W42" s="342">
        <f t="shared" si="17"/>
        <v>0</v>
      </c>
      <c r="X42" s="343">
        <f t="shared" si="17"/>
        <v>0</v>
      </c>
      <c r="Y42" s="344">
        <f t="shared" si="17"/>
        <v>0</v>
      </c>
      <c r="Z42" s="90"/>
      <c r="AA42" s="345">
        <f>ROUND(SUM(AA20:AA41),2)</f>
        <v>12537.98</v>
      </c>
      <c r="AB42" s="17"/>
    </row>
    <row r="43" spans="1:28" s="5" customFormat="1" ht="16.5" customHeight="1" thickBot="1" thickTop="1">
      <c r="A43" s="90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9" ht="16.5" customHeight="1" thickTop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/>
    <row r="157" ht="16.5" customHeight="1"/>
    <row r="158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E11">
      <selection activeCell="K23" sqref="K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+'TOT-1208'!B2</f>
        <v>ANEXO I al Memorándum D.T.E.E. N°   770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6" customFormat="1" ht="30" customHeight="1">
      <c r="A10" s="940"/>
      <c r="B10" s="941"/>
      <c r="C10" s="940"/>
      <c r="D10" s="942" t="s">
        <v>260</v>
      </c>
      <c r="E10" s="940"/>
      <c r="F10" s="943"/>
      <c r="G10" s="944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5"/>
    </row>
    <row r="11" spans="1:28" s="951" customFormat="1" ht="9.75" customHeight="1">
      <c r="A11" s="947"/>
      <c r="B11" s="948"/>
      <c r="C11" s="947"/>
      <c r="E11" s="949"/>
      <c r="F11" s="949"/>
      <c r="G11" s="949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50"/>
    </row>
    <row r="12" spans="1:28" s="951" customFormat="1" ht="21" customHeight="1">
      <c r="A12" s="940"/>
      <c r="B12" s="941"/>
      <c r="C12" s="940"/>
      <c r="D12" s="942" t="s">
        <v>377</v>
      </c>
      <c r="E12" s="940"/>
      <c r="F12" s="940"/>
      <c r="G12" s="940"/>
      <c r="H12" s="953"/>
      <c r="I12" s="953"/>
      <c r="J12" s="953"/>
      <c r="K12" s="953"/>
      <c r="L12" s="953"/>
      <c r="M12" s="947"/>
      <c r="N12" s="947"/>
      <c r="O12" s="947"/>
      <c r="P12" s="947"/>
      <c r="Q12" s="947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50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+'TOT-1208'!B14</f>
        <v>Desde el 01 al 31 de diciembre de 2008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82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20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83</v>
      </c>
      <c r="U19" s="224"/>
      <c r="V19" s="271" t="s">
        <v>84</v>
      </c>
      <c r="W19" s="272"/>
      <c r="X19" s="273" t="s">
        <v>22</v>
      </c>
      <c r="Y19" s="274" t="s">
        <v>79</v>
      </c>
      <c r="Z19" s="133" t="s">
        <v>80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157">
        <v>20</v>
      </c>
      <c r="D22" s="151" t="s">
        <v>290</v>
      </c>
      <c r="E22" s="303" t="s">
        <v>291</v>
      </c>
      <c r="F22" s="304">
        <v>150</v>
      </c>
      <c r="G22" s="305" t="s">
        <v>292</v>
      </c>
      <c r="H22" s="306">
        <f>F22*$F$16</f>
        <v>47.85</v>
      </c>
      <c r="I22" s="158">
        <v>39783</v>
      </c>
      <c r="J22" s="158">
        <v>39813.99998842592</v>
      </c>
      <c r="K22" s="307">
        <v>743.9997222221573</v>
      </c>
      <c r="L22" s="14">
        <v>44640</v>
      </c>
      <c r="M22" s="159" t="s">
        <v>250</v>
      </c>
      <c r="N22" s="235" t="s">
        <v>378</v>
      </c>
      <c r="O22" s="156" t="s">
        <v>378</v>
      </c>
      <c r="P22" s="155" t="s">
        <v>379</v>
      </c>
      <c r="Q22" s="308">
        <f>$F$17*IF(OR(M22="P",M22="RP"),0.1,1)*IF(P22="SI",1,0.1)</f>
        <v>2</v>
      </c>
      <c r="R22" s="309">
        <f>IF(M22="P",H22*Q22*ROUND(L22/60,2),"--")</f>
        <v>71200.8</v>
      </c>
      <c r="S22" s="310" t="str">
        <f>IF(M22="RP",H22*Q22*N22/100*ROUND(L22/60,2),"--")</f>
        <v>--</v>
      </c>
      <c r="T22" s="311" t="str">
        <f>IF(AND(M22="F",O22="NO"),H22*Q22,"--")</f>
        <v>--</v>
      </c>
      <c r="U22" s="312" t="str">
        <f>IF(M22="F",H22*Q22*ROUND(L22/60,2),"--")</f>
        <v>--</v>
      </c>
      <c r="V22" s="313" t="str">
        <f>IF(AND(M22="R",O22="NO"),H22*Q22*N22/100,"--")</f>
        <v>--</v>
      </c>
      <c r="W22" s="314" t="str">
        <f>IF(M22="R",H22*Q22*N22/100*ROUND(L22/60,2),"--")</f>
        <v>--</v>
      </c>
      <c r="X22" s="315" t="str">
        <f>IF(M22="RF",H22*Q22*ROUND(L22/60,2),"--")</f>
        <v>--</v>
      </c>
      <c r="Y22" s="316" t="str">
        <f>IF(M22="RR",H22*Q22*N22/100*ROUND(L22/60,2),"--")</f>
        <v>--</v>
      </c>
      <c r="Z22" s="317" t="s">
        <v>247</v>
      </c>
      <c r="AA22" s="16">
        <f>IF(D22="","",(SUM(R22:Y22)*IF(Z22="SI",1,2)*IF(AND(N22&lt;&gt;"--",M22="RF"),N22/100,1)))</f>
        <v>71200.8</v>
      </c>
      <c r="AB22" s="17"/>
    </row>
    <row r="23" spans="1:28" s="5" customFormat="1" ht="16.5" customHeight="1">
      <c r="A23" s="90"/>
      <c r="B23" s="95"/>
      <c r="C23" s="289"/>
      <c r="D23" s="151"/>
      <c r="E23" s="303"/>
      <c r="F23" s="304"/>
      <c r="G23" s="305"/>
      <c r="H23" s="306"/>
      <c r="I23" s="158"/>
      <c r="J23" s="158"/>
      <c r="K23" s="307"/>
      <c r="L23" s="14"/>
      <c r="M23" s="159"/>
      <c r="N23" s="235"/>
      <c r="O23" s="156"/>
      <c r="P23" s="155"/>
      <c r="Q23" s="308"/>
      <c r="R23" s="309"/>
      <c r="S23" s="310"/>
      <c r="T23" s="311"/>
      <c r="U23" s="312"/>
      <c r="V23" s="313"/>
      <c r="W23" s="314"/>
      <c r="X23" s="315"/>
      <c r="Y23" s="316"/>
      <c r="Z23" s="317"/>
      <c r="AA23" s="16"/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/>
      <c r="I24" s="158"/>
      <c r="J24" s="158"/>
      <c r="K24" s="307"/>
      <c r="L24" s="14"/>
      <c r="M24" s="159"/>
      <c r="N24" s="235"/>
      <c r="O24" s="156"/>
      <c r="P24" s="155"/>
      <c r="Q24" s="308"/>
      <c r="R24" s="309"/>
      <c r="S24" s="310"/>
      <c r="T24" s="311"/>
      <c r="U24" s="312"/>
      <c r="V24" s="313"/>
      <c r="W24" s="314"/>
      <c r="X24" s="315"/>
      <c r="Y24" s="316"/>
      <c r="Z24" s="317"/>
      <c r="AA24" s="16"/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/>
      <c r="I25" s="158"/>
      <c r="J25" s="158"/>
      <c r="K25" s="307"/>
      <c r="L25" s="14"/>
      <c r="M25" s="159"/>
      <c r="N25" s="235"/>
      <c r="O25" s="156"/>
      <c r="P25" s="155"/>
      <c r="Q25" s="308"/>
      <c r="R25" s="309"/>
      <c r="S25" s="310"/>
      <c r="T25" s="311"/>
      <c r="U25" s="312"/>
      <c r="V25" s="313"/>
      <c r="W25" s="314"/>
      <c r="X25" s="315"/>
      <c r="Y25" s="316"/>
      <c r="Z25" s="317"/>
      <c r="AA25" s="16"/>
      <c r="AB25" s="17"/>
    </row>
    <row r="26" spans="1:28" s="5" customFormat="1" ht="16.5" customHeight="1">
      <c r="A26" s="90"/>
      <c r="B26" s="95"/>
      <c r="C26" s="157"/>
      <c r="D26" s="151"/>
      <c r="E26" s="303"/>
      <c r="F26" s="304"/>
      <c r="G26" s="305"/>
      <c r="H26" s="306"/>
      <c r="I26" s="158"/>
      <c r="J26" s="158"/>
      <c r="K26" s="307"/>
      <c r="L26" s="14"/>
      <c r="M26" s="159"/>
      <c r="N26" s="235"/>
      <c r="O26" s="156"/>
      <c r="P26" s="155"/>
      <c r="Q26" s="308"/>
      <c r="R26" s="309"/>
      <c r="S26" s="310"/>
      <c r="T26" s="311"/>
      <c r="U26" s="312"/>
      <c r="V26" s="313"/>
      <c r="W26" s="314"/>
      <c r="X26" s="315"/>
      <c r="Y26" s="316"/>
      <c r="Z26" s="317"/>
      <c r="AA26" s="16"/>
      <c r="AB26" s="17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/>
      <c r="I27" s="158"/>
      <c r="J27" s="158"/>
      <c r="K27" s="307"/>
      <c r="L27" s="14"/>
      <c r="M27" s="159"/>
      <c r="N27" s="235"/>
      <c r="O27" s="156"/>
      <c r="P27" s="155"/>
      <c r="Q27" s="308"/>
      <c r="R27" s="309"/>
      <c r="S27" s="310"/>
      <c r="T27" s="311"/>
      <c r="U27" s="312"/>
      <c r="V27" s="313"/>
      <c r="W27" s="314"/>
      <c r="X27" s="315"/>
      <c r="Y27" s="316"/>
      <c r="Z27" s="317"/>
      <c r="AA27" s="16"/>
      <c r="AB27" s="17"/>
    </row>
    <row r="28" spans="1:29" s="5" customFormat="1" ht="16.5" customHeight="1">
      <c r="A28" s="90"/>
      <c r="B28" s="95"/>
      <c r="C28" s="157"/>
      <c r="D28" s="151"/>
      <c r="E28" s="303"/>
      <c r="F28" s="304"/>
      <c r="G28" s="305"/>
      <c r="H28" s="306"/>
      <c r="I28" s="158"/>
      <c r="J28" s="158"/>
      <c r="K28" s="307"/>
      <c r="L28" s="14"/>
      <c r="M28" s="159"/>
      <c r="N28" s="235"/>
      <c r="O28" s="156"/>
      <c r="P28" s="155"/>
      <c r="Q28" s="308"/>
      <c r="R28" s="309"/>
      <c r="S28" s="310"/>
      <c r="T28" s="311"/>
      <c r="U28" s="312"/>
      <c r="V28" s="313"/>
      <c r="W28" s="314"/>
      <c r="X28" s="315"/>
      <c r="Y28" s="316"/>
      <c r="Z28" s="317"/>
      <c r="AA28" s="16"/>
      <c r="AB28" s="17"/>
      <c r="AC28" s="15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/>
      <c r="I29" s="158"/>
      <c r="J29" s="158"/>
      <c r="K29" s="307"/>
      <c r="L29" s="14"/>
      <c r="M29" s="159"/>
      <c r="N29" s="235"/>
      <c r="O29" s="156"/>
      <c r="P29" s="155"/>
      <c r="Q29" s="308"/>
      <c r="R29" s="309"/>
      <c r="S29" s="310"/>
      <c r="T29" s="311"/>
      <c r="U29" s="312"/>
      <c r="V29" s="313"/>
      <c r="W29" s="314"/>
      <c r="X29" s="315"/>
      <c r="Y29" s="316"/>
      <c r="Z29" s="317"/>
      <c r="AA29" s="16"/>
      <c r="AB29" s="17"/>
    </row>
    <row r="30" spans="1:28" s="5" customFormat="1" ht="16.5" customHeight="1">
      <c r="A30" s="90"/>
      <c r="B30" s="95"/>
      <c r="C30" s="157"/>
      <c r="D30" s="151"/>
      <c r="E30" s="303"/>
      <c r="F30" s="304"/>
      <c r="G30" s="305"/>
      <c r="H30" s="306"/>
      <c r="I30" s="158"/>
      <c r="J30" s="158"/>
      <c r="K30" s="307"/>
      <c r="L30" s="14"/>
      <c r="M30" s="159"/>
      <c r="N30" s="235"/>
      <c r="O30" s="156"/>
      <c r="P30" s="155"/>
      <c r="Q30" s="308"/>
      <c r="R30" s="309"/>
      <c r="S30" s="310"/>
      <c r="T30" s="311"/>
      <c r="U30" s="312"/>
      <c r="V30" s="313"/>
      <c r="W30" s="314"/>
      <c r="X30" s="315"/>
      <c r="Y30" s="316"/>
      <c r="Z30" s="317"/>
      <c r="AA30" s="16"/>
      <c r="AB30" s="17"/>
    </row>
    <row r="31" spans="1:28" s="5" customFormat="1" ht="16.5" customHeight="1">
      <c r="A31" s="90"/>
      <c r="B31" s="95"/>
      <c r="C31" s="289"/>
      <c r="D31" s="151"/>
      <c r="E31" s="303"/>
      <c r="F31" s="304"/>
      <c r="G31" s="305"/>
      <c r="H31" s="306"/>
      <c r="I31" s="158"/>
      <c r="J31" s="158"/>
      <c r="K31" s="307"/>
      <c r="L31" s="14"/>
      <c r="M31" s="159"/>
      <c r="N31" s="235"/>
      <c r="O31" s="156"/>
      <c r="P31" s="155"/>
      <c r="Q31" s="308"/>
      <c r="R31" s="309"/>
      <c r="S31" s="310"/>
      <c r="T31" s="311"/>
      <c r="U31" s="312"/>
      <c r="V31" s="313"/>
      <c r="W31" s="314"/>
      <c r="X31" s="315"/>
      <c r="Y31" s="316"/>
      <c r="Z31" s="317"/>
      <c r="AA31" s="16"/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/>
      <c r="I32" s="158"/>
      <c r="J32" s="158"/>
      <c r="K32" s="307"/>
      <c r="L32" s="14"/>
      <c r="M32" s="159"/>
      <c r="N32" s="235"/>
      <c r="O32" s="156"/>
      <c r="P32" s="155"/>
      <c r="Q32" s="308"/>
      <c r="R32" s="309"/>
      <c r="S32" s="310"/>
      <c r="T32" s="311"/>
      <c r="U32" s="312"/>
      <c r="V32" s="313"/>
      <c r="W32" s="314"/>
      <c r="X32" s="315"/>
      <c r="Y32" s="316"/>
      <c r="Z32" s="317"/>
      <c r="AA32" s="16"/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/>
      <c r="I33" s="158"/>
      <c r="J33" s="158"/>
      <c r="K33" s="307"/>
      <c r="L33" s="14"/>
      <c r="M33" s="159"/>
      <c r="N33" s="235"/>
      <c r="O33" s="156"/>
      <c r="P33" s="155"/>
      <c r="Q33" s="308"/>
      <c r="R33" s="309"/>
      <c r="S33" s="310"/>
      <c r="T33" s="311"/>
      <c r="U33" s="312"/>
      <c r="V33" s="313"/>
      <c r="W33" s="314"/>
      <c r="X33" s="315"/>
      <c r="Y33" s="316"/>
      <c r="Z33" s="317"/>
      <c r="AA33" s="16"/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/>
      <c r="I34" s="158"/>
      <c r="J34" s="158"/>
      <c r="K34" s="307"/>
      <c r="L34" s="14"/>
      <c r="M34" s="159"/>
      <c r="N34" s="235"/>
      <c r="O34" s="155"/>
      <c r="P34" s="155"/>
      <c r="Q34" s="308"/>
      <c r="R34" s="309"/>
      <c r="S34" s="310"/>
      <c r="T34" s="311"/>
      <c r="U34" s="312"/>
      <c r="V34" s="313"/>
      <c r="W34" s="314"/>
      <c r="X34" s="315"/>
      <c r="Y34" s="316"/>
      <c r="Z34" s="317"/>
      <c r="AA34" s="16"/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/>
      <c r="I35" s="158"/>
      <c r="J35" s="158"/>
      <c r="K35" s="307"/>
      <c r="L35" s="14"/>
      <c r="M35" s="159"/>
      <c r="N35" s="235"/>
      <c r="O35" s="156"/>
      <c r="P35" s="155"/>
      <c r="Q35" s="308"/>
      <c r="R35" s="309"/>
      <c r="S35" s="310"/>
      <c r="T35" s="311"/>
      <c r="U35" s="312"/>
      <c r="V35" s="313"/>
      <c r="W35" s="314"/>
      <c r="X35" s="315"/>
      <c r="Y35" s="316"/>
      <c r="Z35" s="317"/>
      <c r="AA35" s="16"/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/>
      <c r="I36" s="158"/>
      <c r="J36" s="158"/>
      <c r="K36" s="307"/>
      <c r="L36" s="14"/>
      <c r="M36" s="159"/>
      <c r="N36" s="235"/>
      <c r="O36" s="156"/>
      <c r="P36" s="155"/>
      <c r="Q36" s="308"/>
      <c r="R36" s="309"/>
      <c r="S36" s="310"/>
      <c r="T36" s="311"/>
      <c r="U36" s="312"/>
      <c r="V36" s="313"/>
      <c r="W36" s="314"/>
      <c r="X36" s="315"/>
      <c r="Y36" s="316"/>
      <c r="Z36" s="317"/>
      <c r="AA36" s="16"/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/>
      <c r="I37" s="158"/>
      <c r="J37" s="158"/>
      <c r="K37" s="307"/>
      <c r="L37" s="14"/>
      <c r="M37" s="159"/>
      <c r="N37" s="235"/>
      <c r="O37" s="156"/>
      <c r="P37" s="155"/>
      <c r="Q37" s="308"/>
      <c r="R37" s="309"/>
      <c r="S37" s="310"/>
      <c r="T37" s="311"/>
      <c r="U37" s="312"/>
      <c r="V37" s="313"/>
      <c r="W37" s="314"/>
      <c r="X37" s="315"/>
      <c r="Y37" s="316"/>
      <c r="Z37" s="317"/>
      <c r="AA37" s="16"/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/>
      <c r="I38" s="158"/>
      <c r="J38" s="158"/>
      <c r="K38" s="307"/>
      <c r="L38" s="14"/>
      <c r="M38" s="159"/>
      <c r="N38" s="235"/>
      <c r="O38" s="156"/>
      <c r="P38" s="155"/>
      <c r="Q38" s="308"/>
      <c r="R38" s="309"/>
      <c r="S38" s="310"/>
      <c r="T38" s="311"/>
      <c r="U38" s="312"/>
      <c r="V38" s="313"/>
      <c r="W38" s="314"/>
      <c r="X38" s="315"/>
      <c r="Y38" s="316"/>
      <c r="Z38" s="317"/>
      <c r="AA38" s="16"/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/>
      <c r="I39" s="158"/>
      <c r="J39" s="158"/>
      <c r="K39" s="307"/>
      <c r="L39" s="14"/>
      <c r="M39" s="159"/>
      <c r="N39" s="235"/>
      <c r="O39" s="156"/>
      <c r="P39" s="155"/>
      <c r="Q39" s="308"/>
      <c r="R39" s="309"/>
      <c r="S39" s="310"/>
      <c r="T39" s="311"/>
      <c r="U39" s="312"/>
      <c r="V39" s="313"/>
      <c r="W39" s="314"/>
      <c r="X39" s="315"/>
      <c r="Y39" s="316"/>
      <c r="Z39" s="317"/>
      <c r="AA39" s="16"/>
      <c r="AB39" s="17"/>
    </row>
    <row r="40" spans="1:28" s="5" customFormat="1" ht="16.5" customHeight="1">
      <c r="A40" s="90"/>
      <c r="B40" s="95"/>
      <c r="C40" s="157"/>
      <c r="D40" s="151"/>
      <c r="E40" s="319"/>
      <c r="F40" s="304"/>
      <c r="G40" s="305"/>
      <c r="H40" s="306"/>
      <c r="I40" s="158"/>
      <c r="J40" s="158"/>
      <c r="K40" s="307"/>
      <c r="L40" s="14"/>
      <c r="M40" s="159"/>
      <c r="N40" s="235"/>
      <c r="O40" s="156"/>
      <c r="P40" s="155"/>
      <c r="Q40" s="308"/>
      <c r="R40" s="309"/>
      <c r="S40" s="310"/>
      <c r="T40" s="311"/>
      <c r="U40" s="312"/>
      <c r="V40" s="313"/>
      <c r="W40" s="314"/>
      <c r="X40" s="315"/>
      <c r="Y40" s="316"/>
      <c r="Z40" s="317"/>
      <c r="AA40" s="16"/>
      <c r="AB40" s="17"/>
    </row>
    <row r="41" spans="1:28" s="5" customFormat="1" ht="16.5" customHeight="1">
      <c r="A41" s="90"/>
      <c r="B41" s="95"/>
      <c r="C41" s="289"/>
      <c r="D41" s="151"/>
      <c r="E41" s="319"/>
      <c r="F41" s="304"/>
      <c r="G41" s="305"/>
      <c r="H41" s="306">
        <f>F41*$F$16</f>
        <v>0</v>
      </c>
      <c r="I41" s="158"/>
      <c r="J41" s="158"/>
      <c r="K41" s="307">
        <f>IF(D41="","",(J41-I41)*24)</f>
      </c>
      <c r="L41" s="14">
        <f>IF(D41="","",ROUND((J41-I41)*24*60,0))</f>
      </c>
      <c r="M41" s="159"/>
      <c r="N41" s="235">
        <f>IF(D41="","","--")</f>
      </c>
      <c r="O41" s="156">
        <f>IF(D41="","",IF(OR(M41="P",M41="RP"),"--","NO"))</f>
      </c>
      <c r="P41" s="155">
        <f>IF(D41="","","NO")</f>
      </c>
      <c r="Q41" s="308">
        <f>$F$17*IF(OR(M41="P",M41="RP"),0.1,1)*IF(P41="SI",1,0.1)</f>
        <v>20</v>
      </c>
      <c r="R41" s="309" t="str">
        <f>IF(M41="P",H41*Q41*ROUND(L41/60,2),"--")</f>
        <v>--</v>
      </c>
      <c r="S41" s="310" t="str">
        <f>IF(M41="RP",H41*Q41*N41/100*ROUND(L41/60,2),"--")</f>
        <v>--</v>
      </c>
      <c r="T41" s="311" t="str">
        <f>IF(AND(M41="F",O41="NO"),H41*Q41,"--")</f>
        <v>--</v>
      </c>
      <c r="U41" s="312" t="str">
        <f>IF(M41="F",H41*Q41*ROUND(L41/60,2),"--")</f>
        <v>--</v>
      </c>
      <c r="V41" s="313" t="str">
        <f>IF(AND(M41="R",O41="NO"),H41*Q41*N41/100,"--")</f>
        <v>--</v>
      </c>
      <c r="W41" s="314" t="str">
        <f>IF(M41="R",H41*Q41*N41/100*ROUND(L41/60,2),"--")</f>
        <v>--</v>
      </c>
      <c r="X41" s="315" t="str">
        <f>IF(M41="RF",H41*Q41*ROUND(L41/60,2),"--")</f>
        <v>--</v>
      </c>
      <c r="Y41" s="316" t="str">
        <f>IF(M41="RR",H41*Q41*N41/100*ROUND(L41/60,2),"--")</f>
        <v>--</v>
      </c>
      <c r="Z41" s="317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157"/>
      <c r="D42" s="320"/>
      <c r="E42" s="321"/>
      <c r="F42" s="320"/>
      <c r="G42" s="322"/>
      <c r="H42" s="132"/>
      <c r="I42" s="160"/>
      <c r="J42" s="323"/>
      <c r="K42" s="324"/>
      <c r="L42" s="325"/>
      <c r="M42" s="165"/>
      <c r="N42" s="197"/>
      <c r="O42" s="163"/>
      <c r="P42" s="165"/>
      <c r="Q42" s="326"/>
      <c r="R42" s="327"/>
      <c r="S42" s="328"/>
      <c r="T42" s="329"/>
      <c r="U42" s="330"/>
      <c r="V42" s="331"/>
      <c r="W42" s="332"/>
      <c r="X42" s="333"/>
      <c r="Y42" s="334"/>
      <c r="Z42" s="335"/>
      <c r="AA42" s="336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352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37">
        <f aca="true" t="shared" si="0" ref="R43:Y43">SUM(R20:R42)</f>
        <v>71200.8</v>
      </c>
      <c r="S43" s="338">
        <f t="shared" si="0"/>
        <v>0</v>
      </c>
      <c r="T43" s="339">
        <f t="shared" si="0"/>
        <v>0</v>
      </c>
      <c r="U43" s="340">
        <f t="shared" si="0"/>
        <v>0</v>
      </c>
      <c r="V43" s="341">
        <f t="shared" si="0"/>
        <v>0</v>
      </c>
      <c r="W43" s="342">
        <f t="shared" si="0"/>
        <v>0</v>
      </c>
      <c r="X43" s="343">
        <f t="shared" si="0"/>
        <v>0</v>
      </c>
      <c r="Y43" s="344">
        <f t="shared" si="0"/>
        <v>0</v>
      </c>
      <c r="Z43" s="90"/>
      <c r="AA43" s="345">
        <f>ROUND(SUM(AA20:AA42),2)</f>
        <v>71200.8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:29" ht="16.5" customHeight="1">
      <c r="A48" s="2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spans="4:29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>
      <c r="AC156" s="179"/>
    </row>
    <row r="157" ht="16.5" customHeight="1"/>
    <row r="158" ht="16.5" customHeight="1"/>
    <row r="159" ht="16.5" customHeight="1"/>
  </sheetData>
  <printOptions/>
  <pageMargins left="0.75" right="0.75" top="1" bottom="1" header="0" footer="0"/>
  <pageSetup fitToHeight="1" fitToWidth="1" horizontalDpi="600" verticalDpi="600" orientation="landscape" paperSize="9" scale="54" r:id="rId4"/>
  <headerFooter alignWithMargins="0">
    <oddFooter>&amp;L&amp;8&amp;F-&amp;A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W159"/>
  <sheetViews>
    <sheetView zoomScale="75" zoomScaleNormal="75" workbookViewId="0" topLeftCell="C13">
      <selection activeCell="K23" sqref="K2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6.003906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+'TOT-1208'!B2</f>
        <v>ANEXO I al Memorándum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70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259</v>
      </c>
      <c r="E10" s="369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0"/>
      <c r="E11" s="370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86</v>
      </c>
      <c r="E12" s="369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0"/>
      <c r="E13" s="370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'TOT-1208'!B14</f>
        <v>Desde el 01 al 31 de diciembre de 2008</v>
      </c>
      <c r="C14" s="40"/>
      <c r="D14" s="40"/>
      <c r="E14" s="40"/>
      <c r="F14" s="40"/>
      <c r="G14" s="371"/>
      <c r="H14" s="371"/>
      <c r="I14" s="371"/>
      <c r="J14" s="371"/>
      <c r="K14" s="371"/>
      <c r="L14" s="371"/>
      <c r="M14" s="371"/>
      <c r="N14" s="371"/>
      <c r="O14" s="40"/>
      <c r="P14" s="40"/>
      <c r="Q14" s="40"/>
      <c r="R14" s="40"/>
      <c r="S14" s="40"/>
      <c r="T14" s="40"/>
      <c r="U14" s="372"/>
    </row>
    <row r="15" spans="2:21" s="5" customFormat="1" ht="14.25" thickBot="1">
      <c r="B15" s="373"/>
      <c r="C15" s="374"/>
      <c r="D15" s="374"/>
      <c r="E15" s="374"/>
      <c r="F15" s="374"/>
      <c r="G15" s="375"/>
      <c r="H15" s="375"/>
      <c r="I15" s="375"/>
      <c r="J15" s="375"/>
      <c r="K15" s="375"/>
      <c r="L15" s="375"/>
      <c r="M15" s="375"/>
      <c r="N15" s="375"/>
      <c r="O15" s="374"/>
      <c r="P15" s="374"/>
      <c r="Q15" s="374"/>
      <c r="R15" s="374"/>
      <c r="S15" s="374"/>
      <c r="T15" s="374"/>
      <c r="U15" s="376"/>
    </row>
    <row r="16" spans="2:21" s="5" customFormat="1" ht="15" thickBot="1" thickTop="1">
      <c r="B16" s="50"/>
      <c r="C16" s="4"/>
      <c r="D16" s="377"/>
      <c r="E16" s="377"/>
      <c r="F16" s="118" t="s">
        <v>87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78" t="s">
        <v>88</v>
      </c>
      <c r="E17" s="379">
        <v>63.904</v>
      </c>
      <c r="F17" s="380">
        <v>200</v>
      </c>
      <c r="T17" s="116"/>
      <c r="U17" s="6"/>
    </row>
    <row r="18" spans="2:21" s="5" customFormat="1" ht="16.5" customHeight="1" thickBot="1" thickTop="1">
      <c r="B18" s="50"/>
      <c r="C18" s="4"/>
      <c r="D18" s="381" t="s">
        <v>89</v>
      </c>
      <c r="E18" s="382">
        <v>57.511</v>
      </c>
      <c r="F18" s="380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3" t="s">
        <v>90</v>
      </c>
      <c r="E19" s="382">
        <v>51.126</v>
      </c>
      <c r="F19" s="380">
        <v>40</v>
      </c>
      <c r="I19" s="214"/>
      <c r="J19" s="215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4"/>
      <c r="D20" s="385"/>
      <c r="E20" s="385"/>
      <c r="F20" s="386"/>
      <c r="G20" s="387"/>
      <c r="H20" s="387"/>
      <c r="I20" s="387"/>
      <c r="J20" s="387"/>
      <c r="K20" s="387"/>
      <c r="L20" s="387"/>
      <c r="M20" s="387"/>
      <c r="N20" s="388"/>
      <c r="O20" s="389"/>
      <c r="P20" s="390"/>
      <c r="Q20" s="390"/>
      <c r="R20" s="390"/>
      <c r="S20" s="391"/>
      <c r="T20" s="392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393" t="s">
        <v>28</v>
      </c>
      <c r="F21" s="394" t="s">
        <v>14</v>
      </c>
      <c r="G21" s="130" t="s">
        <v>16</v>
      </c>
      <c r="H21" s="85" t="s">
        <v>17</v>
      </c>
      <c r="I21" s="393" t="s">
        <v>18</v>
      </c>
      <c r="J21" s="395" t="s">
        <v>36</v>
      </c>
      <c r="K21" s="395" t="s">
        <v>31</v>
      </c>
      <c r="L21" s="88" t="s">
        <v>19</v>
      </c>
      <c r="M21" s="183" t="s">
        <v>32</v>
      </c>
      <c r="N21" s="136" t="s">
        <v>37</v>
      </c>
      <c r="O21" s="396" t="s">
        <v>71</v>
      </c>
      <c r="P21" s="184" t="s">
        <v>35</v>
      </c>
      <c r="Q21" s="397"/>
      <c r="R21" s="135" t="s">
        <v>22</v>
      </c>
      <c r="S21" s="133" t="s">
        <v>80</v>
      </c>
      <c r="T21" s="122" t="s">
        <v>24</v>
      </c>
      <c r="U21" s="6"/>
    </row>
    <row r="22" spans="2:21" s="5" customFormat="1" ht="16.5" customHeight="1" thickTop="1">
      <c r="B22" s="50"/>
      <c r="C22" s="7"/>
      <c r="D22" s="398"/>
      <c r="E22" s="398"/>
      <c r="F22" s="398"/>
      <c r="G22" s="232"/>
      <c r="H22" s="398"/>
      <c r="I22" s="398"/>
      <c r="J22" s="398"/>
      <c r="K22" s="398"/>
      <c r="L22" s="398"/>
      <c r="M22" s="398"/>
      <c r="N22" s="399"/>
      <c r="O22" s="400"/>
      <c r="P22" s="401"/>
      <c r="Q22" s="402"/>
      <c r="R22" s="403"/>
      <c r="S22" s="398"/>
      <c r="T22" s="404"/>
      <c r="U22" s="6"/>
    </row>
    <row r="23" spans="2:21" s="5" customFormat="1" ht="16.5" customHeight="1">
      <c r="B23" s="50"/>
      <c r="C23" s="289"/>
      <c r="D23" s="405"/>
      <c r="E23" s="405"/>
      <c r="F23" s="405"/>
      <c r="G23" s="406"/>
      <c r="H23" s="405"/>
      <c r="I23" s="405"/>
      <c r="J23" s="405"/>
      <c r="K23" s="405"/>
      <c r="L23" s="405"/>
      <c r="M23" s="405"/>
      <c r="N23" s="407"/>
      <c r="O23" s="408"/>
      <c r="P23" s="196"/>
      <c r="Q23" s="409"/>
      <c r="R23" s="410"/>
      <c r="S23" s="405"/>
      <c r="T23" s="411"/>
      <c r="U23" s="6"/>
    </row>
    <row r="24" spans="2:21" s="5" customFormat="1" ht="16.5" customHeight="1">
      <c r="B24" s="50"/>
      <c r="C24" s="157">
        <v>30</v>
      </c>
      <c r="D24" s="412" t="s">
        <v>307</v>
      </c>
      <c r="E24" s="412" t="s">
        <v>308</v>
      </c>
      <c r="F24" s="413">
        <v>500</v>
      </c>
      <c r="G24" s="131">
        <f aca="true" t="shared" si="0" ref="G24:G43">IF(F24=500,$E$17,IF(F24=220,$E$18,$E$19))</f>
        <v>63.904</v>
      </c>
      <c r="H24" s="414">
        <v>39783.46597222222</v>
      </c>
      <c r="I24" s="153">
        <v>39783.717361111114</v>
      </c>
      <c r="J24" s="415">
        <f aca="true" t="shared" si="1" ref="J24:J43">IF(D24="","",(I24-H24)*24)</f>
        <v>6.033333333441988</v>
      </c>
      <c r="K24" s="416">
        <f aca="true" t="shared" si="2" ref="K24:K43">IF(D24="","",ROUND((I24-H24)*24*60,0))</f>
        <v>362</v>
      </c>
      <c r="L24" s="234" t="s">
        <v>250</v>
      </c>
      <c r="M24" s="155" t="str">
        <f aca="true" t="shared" si="3" ref="M24:M43">IF(D24="","",IF(L24="P","--","NO"))</f>
        <v>--</v>
      </c>
      <c r="N24" s="417">
        <f aca="true" t="shared" si="4" ref="N24:N43">IF(F24=500,$F$17,IF(F24=220,$F$18,$F$19))</f>
        <v>200</v>
      </c>
      <c r="O24" s="418">
        <f aca="true" t="shared" si="5" ref="O24:O43">IF(L24="P",G24*N24*ROUND(K24/60,2)*0.1,"--")</f>
        <v>7706.822400000002</v>
      </c>
      <c r="P24" s="419" t="str">
        <f aca="true" t="shared" si="6" ref="P24:P43">IF(AND(L24="F",M24="NO"),G24*N24,"--")</f>
        <v>--</v>
      </c>
      <c r="Q24" s="420" t="str">
        <f aca="true" t="shared" si="7" ref="Q24:Q43">IF(L24="F",G24*N24*ROUND(K24/60,2),"--")</f>
        <v>--</v>
      </c>
      <c r="R24" s="162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21">
        <v>0</v>
      </c>
      <c r="U24" s="6"/>
    </row>
    <row r="25" spans="2:21" s="5" customFormat="1" ht="16.5" customHeight="1">
      <c r="B25" s="50"/>
      <c r="C25" s="289">
        <v>31</v>
      </c>
      <c r="D25" s="412" t="s">
        <v>309</v>
      </c>
      <c r="E25" s="412" t="s">
        <v>310</v>
      </c>
      <c r="F25" s="413">
        <v>500</v>
      </c>
      <c r="G25" s="131">
        <f t="shared" si="0"/>
        <v>63.904</v>
      </c>
      <c r="H25" s="414">
        <v>39790.38055555556</v>
      </c>
      <c r="I25" s="153">
        <v>39790.819444444445</v>
      </c>
      <c r="J25" s="415">
        <f t="shared" si="1"/>
        <v>10.533333333267365</v>
      </c>
      <c r="K25" s="416">
        <f t="shared" si="2"/>
        <v>632</v>
      </c>
      <c r="L25" s="234" t="s">
        <v>250</v>
      </c>
      <c r="M25" s="155" t="str">
        <f t="shared" si="3"/>
        <v>--</v>
      </c>
      <c r="N25" s="417">
        <f t="shared" si="4"/>
        <v>200</v>
      </c>
      <c r="O25" s="418">
        <f t="shared" si="5"/>
        <v>13458.1824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v>0</v>
      </c>
      <c r="U25" s="6"/>
    </row>
    <row r="26" spans="2:21" s="5" customFormat="1" ht="16.5" customHeight="1">
      <c r="B26" s="50"/>
      <c r="C26" s="157">
        <v>32</v>
      </c>
      <c r="D26" s="412" t="s">
        <v>303</v>
      </c>
      <c r="E26" s="412" t="s">
        <v>311</v>
      </c>
      <c r="F26" s="413">
        <v>132</v>
      </c>
      <c r="G26" s="131">
        <f t="shared" si="0"/>
        <v>51.126</v>
      </c>
      <c r="H26" s="414">
        <v>39792.34583333333</v>
      </c>
      <c r="I26" s="153">
        <v>39792.53333333333</v>
      </c>
      <c r="J26" s="415">
        <f t="shared" si="1"/>
        <v>4.5</v>
      </c>
      <c r="K26" s="416">
        <f t="shared" si="2"/>
        <v>270</v>
      </c>
      <c r="L26" s="234" t="s">
        <v>250</v>
      </c>
      <c r="M26" s="155" t="str">
        <f t="shared" si="3"/>
        <v>--</v>
      </c>
      <c r="N26" s="417">
        <f t="shared" si="4"/>
        <v>40</v>
      </c>
      <c r="O26" s="418">
        <f t="shared" si="5"/>
        <v>920.268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v>0</v>
      </c>
      <c r="U26" s="6"/>
    </row>
    <row r="27" spans="2:21" s="5" customFormat="1" ht="16.5" customHeight="1">
      <c r="B27" s="50"/>
      <c r="C27" s="289">
        <v>33</v>
      </c>
      <c r="D27" s="412" t="s">
        <v>312</v>
      </c>
      <c r="E27" s="412" t="s">
        <v>313</v>
      </c>
      <c r="F27" s="413">
        <v>500</v>
      </c>
      <c r="G27" s="131">
        <f t="shared" si="0"/>
        <v>63.904</v>
      </c>
      <c r="H27" s="414">
        <v>39793.419444444444</v>
      </c>
      <c r="I27" s="153">
        <v>39800.78125</v>
      </c>
      <c r="J27" s="415">
        <f t="shared" si="1"/>
        <v>176.68333333334886</v>
      </c>
      <c r="K27" s="416">
        <f t="shared" si="2"/>
        <v>10601</v>
      </c>
      <c r="L27" s="234" t="s">
        <v>250</v>
      </c>
      <c r="M27" s="155" t="str">
        <f t="shared" si="3"/>
        <v>--</v>
      </c>
      <c r="N27" s="417">
        <f t="shared" si="4"/>
        <v>200</v>
      </c>
      <c r="O27" s="418">
        <f t="shared" si="5"/>
        <v>225811.17440000005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f aca="true" t="shared" si="10" ref="T27:T43">IF(D27="","",SUM(O27:R27)*IF(S27="SI",1,2))</f>
        <v>225811.17440000005</v>
      </c>
      <c r="U27" s="6"/>
    </row>
    <row r="28" spans="2:21" s="5" customFormat="1" ht="16.5" customHeight="1">
      <c r="B28" s="50"/>
      <c r="C28" s="157">
        <v>34</v>
      </c>
      <c r="D28" s="412" t="s">
        <v>314</v>
      </c>
      <c r="E28" s="412" t="s">
        <v>315</v>
      </c>
      <c r="F28" s="413">
        <v>132</v>
      </c>
      <c r="G28" s="131">
        <f t="shared" si="0"/>
        <v>51.126</v>
      </c>
      <c r="H28" s="414">
        <v>39794</v>
      </c>
      <c r="I28" s="153">
        <v>39794.104166666664</v>
      </c>
      <c r="J28" s="415">
        <f t="shared" si="1"/>
        <v>2.4999999999417923</v>
      </c>
      <c r="K28" s="416">
        <f t="shared" si="2"/>
        <v>150</v>
      </c>
      <c r="L28" s="234" t="s">
        <v>286</v>
      </c>
      <c r="M28" s="155" t="s">
        <v>247</v>
      </c>
      <c r="N28" s="417">
        <f t="shared" si="4"/>
        <v>40</v>
      </c>
      <c r="O28" s="418" t="str">
        <f t="shared" si="5"/>
        <v>--</v>
      </c>
      <c r="P28" s="419" t="str">
        <f t="shared" si="6"/>
        <v>--</v>
      </c>
      <c r="Q28" s="420">
        <f t="shared" si="7"/>
        <v>5112.6</v>
      </c>
      <c r="R28" s="162" t="str">
        <f t="shared" si="8"/>
        <v>--</v>
      </c>
      <c r="S28" s="155" t="str">
        <f t="shared" si="9"/>
        <v>SI</v>
      </c>
      <c r="T28" s="421">
        <f t="shared" si="10"/>
        <v>5112.6</v>
      </c>
      <c r="U28" s="6"/>
    </row>
    <row r="29" spans="2:21" s="5" customFormat="1" ht="16.5" customHeight="1">
      <c r="B29" s="50"/>
      <c r="C29" s="289">
        <v>35</v>
      </c>
      <c r="D29" s="412" t="s">
        <v>316</v>
      </c>
      <c r="E29" s="412" t="s">
        <v>317</v>
      </c>
      <c r="F29" s="413">
        <v>500</v>
      </c>
      <c r="G29" s="131">
        <f t="shared" si="0"/>
        <v>63.904</v>
      </c>
      <c r="H29" s="414">
        <v>39794.35138888889</v>
      </c>
      <c r="I29" s="153">
        <v>39797.72708333333</v>
      </c>
      <c r="J29" s="415">
        <f t="shared" si="1"/>
        <v>81.01666666654637</v>
      </c>
      <c r="K29" s="416">
        <f t="shared" si="2"/>
        <v>4861</v>
      </c>
      <c r="L29" s="234" t="s">
        <v>250</v>
      </c>
      <c r="M29" s="155" t="str">
        <f t="shared" si="3"/>
        <v>--</v>
      </c>
      <c r="N29" s="417">
        <f t="shared" si="4"/>
        <v>200</v>
      </c>
      <c r="O29" s="418">
        <f t="shared" si="5"/>
        <v>103550.04160000001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 t="str">
        <f t="shared" si="9"/>
        <v>SI</v>
      </c>
      <c r="T29" s="421">
        <f t="shared" si="10"/>
        <v>103550.04160000001</v>
      </c>
      <c r="U29" s="6"/>
    </row>
    <row r="30" spans="2:21" s="5" customFormat="1" ht="16.5" customHeight="1">
      <c r="B30" s="50"/>
      <c r="C30" s="157">
        <v>36</v>
      </c>
      <c r="D30" s="412" t="s">
        <v>306</v>
      </c>
      <c r="E30" s="412" t="s">
        <v>318</v>
      </c>
      <c r="F30" s="413">
        <v>132</v>
      </c>
      <c r="G30" s="131">
        <f t="shared" si="0"/>
        <v>51.126</v>
      </c>
      <c r="H30" s="414">
        <v>39794.37569444445</v>
      </c>
      <c r="I30" s="153">
        <v>39794.396527777775</v>
      </c>
      <c r="J30" s="415">
        <f t="shared" si="1"/>
        <v>0.4999999998835847</v>
      </c>
      <c r="K30" s="416">
        <f t="shared" si="2"/>
        <v>30</v>
      </c>
      <c r="L30" s="234" t="s">
        <v>286</v>
      </c>
      <c r="M30" s="155" t="s">
        <v>247</v>
      </c>
      <c r="N30" s="417">
        <f t="shared" si="4"/>
        <v>40</v>
      </c>
      <c r="O30" s="418" t="str">
        <f t="shared" si="5"/>
        <v>--</v>
      </c>
      <c r="P30" s="419" t="str">
        <f t="shared" si="6"/>
        <v>--</v>
      </c>
      <c r="Q30" s="420">
        <f t="shared" si="7"/>
        <v>1022.52</v>
      </c>
      <c r="R30" s="162" t="str">
        <f t="shared" si="8"/>
        <v>--</v>
      </c>
      <c r="S30" s="155" t="str">
        <f t="shared" si="9"/>
        <v>SI</v>
      </c>
      <c r="T30" s="421">
        <f t="shared" si="10"/>
        <v>1022.52</v>
      </c>
      <c r="U30" s="6"/>
    </row>
    <row r="31" spans="2:21" s="5" customFormat="1" ht="16.5" customHeight="1">
      <c r="B31" s="50"/>
      <c r="C31" s="289">
        <v>37</v>
      </c>
      <c r="D31" s="412" t="s">
        <v>319</v>
      </c>
      <c r="E31" s="412" t="s">
        <v>320</v>
      </c>
      <c r="F31" s="413">
        <v>220</v>
      </c>
      <c r="G31" s="131">
        <f t="shared" si="0"/>
        <v>57.511</v>
      </c>
      <c r="H31" s="414">
        <v>39794.475694444445</v>
      </c>
      <c r="I31" s="153">
        <v>39794.78125</v>
      </c>
      <c r="J31" s="415">
        <f t="shared" si="1"/>
        <v>7.333333333313931</v>
      </c>
      <c r="K31" s="416">
        <f t="shared" si="2"/>
        <v>440</v>
      </c>
      <c r="L31" s="234" t="s">
        <v>250</v>
      </c>
      <c r="M31" s="155" t="str">
        <f t="shared" si="3"/>
        <v>--</v>
      </c>
      <c r="N31" s="417">
        <f t="shared" si="4"/>
        <v>100</v>
      </c>
      <c r="O31" s="418">
        <f t="shared" si="5"/>
        <v>4215.5563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 t="str">
        <f t="shared" si="9"/>
        <v>SI</v>
      </c>
      <c r="T31" s="421">
        <v>0</v>
      </c>
      <c r="U31" s="6"/>
    </row>
    <row r="32" spans="2:21" s="5" customFormat="1" ht="16.5" customHeight="1">
      <c r="B32" s="50"/>
      <c r="C32" s="157">
        <v>38</v>
      </c>
      <c r="D32" s="412" t="s">
        <v>314</v>
      </c>
      <c r="E32" s="412" t="s">
        <v>315</v>
      </c>
      <c r="F32" s="413">
        <v>132</v>
      </c>
      <c r="G32" s="131">
        <f t="shared" si="0"/>
        <v>51.126</v>
      </c>
      <c r="H32" s="414">
        <v>39795.27638888889</v>
      </c>
      <c r="I32" s="153">
        <v>39795.4375</v>
      </c>
      <c r="J32" s="415">
        <f t="shared" si="1"/>
        <v>3.8666666666977108</v>
      </c>
      <c r="K32" s="416">
        <f t="shared" si="2"/>
        <v>232</v>
      </c>
      <c r="L32" s="234" t="s">
        <v>286</v>
      </c>
      <c r="M32" s="155" t="s">
        <v>247</v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>
        <f t="shared" si="7"/>
        <v>7914.3048</v>
      </c>
      <c r="R32" s="162" t="str">
        <f t="shared" si="8"/>
        <v>--</v>
      </c>
      <c r="S32" s="155" t="str">
        <f t="shared" si="9"/>
        <v>SI</v>
      </c>
      <c r="T32" s="421">
        <f t="shared" si="10"/>
        <v>7914.3048</v>
      </c>
      <c r="U32" s="6"/>
    </row>
    <row r="33" spans="2:21" s="5" customFormat="1" ht="16.5" customHeight="1">
      <c r="B33" s="50"/>
      <c r="C33" s="289">
        <v>39</v>
      </c>
      <c r="D33" s="412" t="s">
        <v>358</v>
      </c>
      <c r="E33" s="412" t="s">
        <v>359</v>
      </c>
      <c r="F33" s="413">
        <v>500</v>
      </c>
      <c r="G33" s="131">
        <f t="shared" si="0"/>
        <v>63.904</v>
      </c>
      <c r="H33" s="414">
        <v>39795.416666666664</v>
      </c>
      <c r="I33" s="153">
        <v>39795.57638888889</v>
      </c>
      <c r="J33" s="415">
        <f t="shared" si="1"/>
        <v>3.833333333430346</v>
      </c>
      <c r="K33" s="416">
        <f t="shared" si="2"/>
        <v>230</v>
      </c>
      <c r="L33" s="234" t="s">
        <v>250</v>
      </c>
      <c r="M33" s="155" t="str">
        <f t="shared" si="3"/>
        <v>--</v>
      </c>
      <c r="N33" s="417">
        <f t="shared" si="4"/>
        <v>200</v>
      </c>
      <c r="O33" s="418">
        <f t="shared" si="5"/>
        <v>4895.046400000001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 t="str">
        <f t="shared" si="9"/>
        <v>SI</v>
      </c>
      <c r="T33" s="421">
        <v>0</v>
      </c>
      <c r="U33" s="6"/>
    </row>
    <row r="34" spans="2:21" s="5" customFormat="1" ht="16.5" customHeight="1">
      <c r="B34" s="50"/>
      <c r="C34" s="157">
        <v>40</v>
      </c>
      <c r="D34" s="412" t="s">
        <v>358</v>
      </c>
      <c r="E34" s="412" t="s">
        <v>360</v>
      </c>
      <c r="F34" s="413">
        <v>500</v>
      </c>
      <c r="G34" s="131">
        <f t="shared" si="0"/>
        <v>63.904</v>
      </c>
      <c r="H34" s="414">
        <v>39795.63055555556</v>
      </c>
      <c r="I34" s="153">
        <v>39795.72152777778</v>
      </c>
      <c r="J34" s="415">
        <f t="shared" si="1"/>
        <v>2.1833333332906477</v>
      </c>
      <c r="K34" s="416">
        <f t="shared" si="2"/>
        <v>131</v>
      </c>
      <c r="L34" s="234" t="s">
        <v>250</v>
      </c>
      <c r="M34" s="155" t="str">
        <f t="shared" si="3"/>
        <v>--</v>
      </c>
      <c r="N34" s="417">
        <f t="shared" si="4"/>
        <v>200</v>
      </c>
      <c r="O34" s="418">
        <f t="shared" si="5"/>
        <v>2786.2144000000008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 t="str">
        <f t="shared" si="9"/>
        <v>SI</v>
      </c>
      <c r="T34" s="421">
        <f t="shared" si="10"/>
        <v>2786.2144000000008</v>
      </c>
      <c r="U34" s="6"/>
    </row>
    <row r="35" spans="2:21" s="5" customFormat="1" ht="16.5" customHeight="1">
      <c r="B35" s="50"/>
      <c r="C35" s="289">
        <v>41</v>
      </c>
      <c r="D35" s="412" t="s">
        <v>309</v>
      </c>
      <c r="E35" s="412" t="s">
        <v>321</v>
      </c>
      <c r="F35" s="413">
        <v>132</v>
      </c>
      <c r="G35" s="131">
        <f t="shared" si="0"/>
        <v>51.126</v>
      </c>
      <c r="H35" s="414">
        <v>39796.79722222222</v>
      </c>
      <c r="I35" s="153">
        <v>39796.80486111111</v>
      </c>
      <c r="J35" s="415">
        <f t="shared" si="1"/>
        <v>0.18333333323244005</v>
      </c>
      <c r="K35" s="416">
        <f t="shared" si="2"/>
        <v>11</v>
      </c>
      <c r="L35" s="234" t="s">
        <v>286</v>
      </c>
      <c r="M35" s="155" t="s">
        <v>247</v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>
        <f t="shared" si="7"/>
        <v>368.1072</v>
      </c>
      <c r="R35" s="162" t="str">
        <f t="shared" si="8"/>
        <v>--</v>
      </c>
      <c r="S35" s="155" t="str">
        <f t="shared" si="9"/>
        <v>SI</v>
      </c>
      <c r="T35" s="421">
        <f t="shared" si="10"/>
        <v>368.1072</v>
      </c>
      <c r="U35" s="6"/>
    </row>
    <row r="36" spans="2:21" s="5" customFormat="1" ht="16.5" customHeight="1">
      <c r="B36" s="50"/>
      <c r="C36" s="157">
        <v>42</v>
      </c>
      <c r="D36" s="412" t="s">
        <v>296</v>
      </c>
      <c r="E36" s="412" t="s">
        <v>322</v>
      </c>
      <c r="F36" s="413">
        <v>132</v>
      </c>
      <c r="G36" s="131">
        <f t="shared" si="0"/>
        <v>51.126</v>
      </c>
      <c r="H36" s="414">
        <v>39798.34097222222</v>
      </c>
      <c r="I36" s="153">
        <v>39798.54652777778</v>
      </c>
      <c r="J36" s="415">
        <f t="shared" si="1"/>
        <v>4.933333333348855</v>
      </c>
      <c r="K36" s="416">
        <f t="shared" si="2"/>
        <v>296</v>
      </c>
      <c r="L36" s="234" t="s">
        <v>250</v>
      </c>
      <c r="M36" s="155" t="str">
        <f t="shared" si="3"/>
        <v>--</v>
      </c>
      <c r="N36" s="417">
        <f t="shared" si="4"/>
        <v>40</v>
      </c>
      <c r="O36" s="418">
        <f t="shared" si="5"/>
        <v>1008.20472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 t="str">
        <f t="shared" si="9"/>
        <v>SI</v>
      </c>
      <c r="T36" s="421">
        <v>0</v>
      </c>
      <c r="U36" s="6"/>
    </row>
    <row r="37" spans="2:21" s="5" customFormat="1" ht="16.5" customHeight="1">
      <c r="B37" s="50"/>
      <c r="C37" s="289">
        <v>43</v>
      </c>
      <c r="D37" s="412" t="s">
        <v>296</v>
      </c>
      <c r="E37" s="412" t="s">
        <v>323</v>
      </c>
      <c r="F37" s="413">
        <v>132</v>
      </c>
      <c r="G37" s="131">
        <f t="shared" si="0"/>
        <v>51.126</v>
      </c>
      <c r="H37" s="414">
        <v>39799.3875</v>
      </c>
      <c r="I37" s="153">
        <v>39799.54722222222</v>
      </c>
      <c r="J37" s="415">
        <f t="shared" si="1"/>
        <v>3.833333333430346</v>
      </c>
      <c r="K37" s="416">
        <f t="shared" si="2"/>
        <v>230</v>
      </c>
      <c r="L37" s="234" t="s">
        <v>250</v>
      </c>
      <c r="M37" s="155" t="str">
        <f t="shared" si="3"/>
        <v>--</v>
      </c>
      <c r="N37" s="417">
        <f t="shared" si="4"/>
        <v>40</v>
      </c>
      <c r="O37" s="418">
        <f t="shared" si="5"/>
        <v>783.2503200000001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 t="str">
        <f t="shared" si="9"/>
        <v>SI</v>
      </c>
      <c r="T37" s="421">
        <v>0</v>
      </c>
      <c r="U37" s="6"/>
    </row>
    <row r="38" spans="2:21" s="5" customFormat="1" ht="16.5" customHeight="1">
      <c r="B38" s="50"/>
      <c r="C38" s="157">
        <v>44</v>
      </c>
      <c r="D38" s="412" t="s">
        <v>306</v>
      </c>
      <c r="E38" s="412" t="s">
        <v>324</v>
      </c>
      <c r="F38" s="413">
        <v>132</v>
      </c>
      <c r="G38" s="131">
        <f t="shared" si="0"/>
        <v>51.126</v>
      </c>
      <c r="H38" s="414">
        <v>39803.29375</v>
      </c>
      <c r="I38" s="153">
        <v>39803.54722222222</v>
      </c>
      <c r="J38" s="415">
        <f t="shared" si="1"/>
        <v>6.083333333430346</v>
      </c>
      <c r="K38" s="416">
        <f t="shared" si="2"/>
        <v>365</v>
      </c>
      <c r="L38" s="234" t="s">
        <v>250</v>
      </c>
      <c r="M38" s="155" t="str">
        <f t="shared" si="3"/>
        <v>--</v>
      </c>
      <c r="N38" s="417">
        <f t="shared" si="4"/>
        <v>40</v>
      </c>
      <c r="O38" s="418">
        <f t="shared" si="5"/>
        <v>1243.3843200000001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 t="str">
        <f t="shared" si="9"/>
        <v>SI</v>
      </c>
      <c r="T38" s="421">
        <f t="shared" si="10"/>
        <v>1243.3843200000001</v>
      </c>
      <c r="U38" s="6"/>
    </row>
    <row r="39" spans="2:21" s="5" customFormat="1" ht="16.5" customHeight="1">
      <c r="B39" s="50"/>
      <c r="C39" s="289">
        <v>45</v>
      </c>
      <c r="D39" s="412" t="s">
        <v>306</v>
      </c>
      <c r="E39" s="412" t="s">
        <v>325</v>
      </c>
      <c r="F39" s="413">
        <v>132</v>
      </c>
      <c r="G39" s="131">
        <f t="shared" si="0"/>
        <v>51.126</v>
      </c>
      <c r="H39" s="414">
        <v>39803.32361111111</v>
      </c>
      <c r="I39" s="153">
        <v>39803.415972222225</v>
      </c>
      <c r="J39" s="415">
        <f t="shared" si="1"/>
        <v>2.2166666667326353</v>
      </c>
      <c r="K39" s="416">
        <f t="shared" si="2"/>
        <v>133</v>
      </c>
      <c r="L39" s="234" t="s">
        <v>250</v>
      </c>
      <c r="M39" s="155" t="str">
        <f t="shared" si="3"/>
        <v>--</v>
      </c>
      <c r="N39" s="417">
        <f t="shared" si="4"/>
        <v>40</v>
      </c>
      <c r="O39" s="418">
        <f t="shared" si="5"/>
        <v>453.99888000000004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 t="str">
        <f t="shared" si="9"/>
        <v>SI</v>
      </c>
      <c r="T39" s="421">
        <v>0</v>
      </c>
      <c r="U39" s="6"/>
    </row>
    <row r="40" spans="2:21" s="5" customFormat="1" ht="16.5" customHeight="1">
      <c r="B40" s="50"/>
      <c r="C40" s="157">
        <v>46</v>
      </c>
      <c r="D40" s="412" t="s">
        <v>303</v>
      </c>
      <c r="E40" s="412" t="s">
        <v>326</v>
      </c>
      <c r="F40" s="413">
        <v>132</v>
      </c>
      <c r="G40" s="131">
        <f t="shared" si="0"/>
        <v>51.126</v>
      </c>
      <c r="H40" s="414">
        <v>39803.3375</v>
      </c>
      <c r="I40" s="153">
        <v>39803.67083333333</v>
      </c>
      <c r="J40" s="415">
        <f t="shared" si="1"/>
        <v>7.999999999883585</v>
      </c>
      <c r="K40" s="416">
        <f t="shared" si="2"/>
        <v>480</v>
      </c>
      <c r="L40" s="234" t="s">
        <v>250</v>
      </c>
      <c r="M40" s="155" t="str">
        <f t="shared" si="3"/>
        <v>--</v>
      </c>
      <c r="N40" s="417">
        <f t="shared" si="4"/>
        <v>40</v>
      </c>
      <c r="O40" s="418">
        <f t="shared" si="5"/>
        <v>1636.0320000000002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 t="str">
        <f t="shared" si="9"/>
        <v>SI</v>
      </c>
      <c r="T40" s="421">
        <v>0</v>
      </c>
      <c r="U40" s="6"/>
    </row>
    <row r="41" spans="2:21" s="5" customFormat="1" ht="16.5" customHeight="1">
      <c r="B41" s="50"/>
      <c r="C41" s="289">
        <v>47</v>
      </c>
      <c r="D41" s="412" t="s">
        <v>306</v>
      </c>
      <c r="E41" s="412" t="s">
        <v>324</v>
      </c>
      <c r="F41" s="413">
        <v>132</v>
      </c>
      <c r="G41" s="131">
        <f t="shared" si="0"/>
        <v>51.126</v>
      </c>
      <c r="H41" s="414">
        <v>39810.33263888889</v>
      </c>
      <c r="I41" s="153">
        <v>39810.683333333334</v>
      </c>
      <c r="J41" s="415">
        <f t="shared" si="1"/>
        <v>8.41666666668607</v>
      </c>
      <c r="K41" s="416">
        <f t="shared" si="2"/>
        <v>505</v>
      </c>
      <c r="L41" s="234" t="s">
        <v>250</v>
      </c>
      <c r="M41" s="155" t="str">
        <f t="shared" si="3"/>
        <v>--</v>
      </c>
      <c r="N41" s="417">
        <f t="shared" si="4"/>
        <v>40</v>
      </c>
      <c r="O41" s="418">
        <f t="shared" si="5"/>
        <v>1721.9236799999999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 t="str">
        <f t="shared" si="9"/>
        <v>SI</v>
      </c>
      <c r="T41" s="421">
        <f t="shared" si="10"/>
        <v>1721.9236799999999</v>
      </c>
      <c r="U41" s="6"/>
    </row>
    <row r="42" spans="2:21" s="5" customFormat="1" ht="16.5" customHeight="1">
      <c r="B42" s="50"/>
      <c r="C42" s="157"/>
      <c r="D42" s="412"/>
      <c r="E42" s="412"/>
      <c r="F42" s="413"/>
      <c r="G42" s="131">
        <f t="shared" si="0"/>
        <v>51.126</v>
      </c>
      <c r="H42" s="414"/>
      <c r="I42" s="153"/>
      <c r="J42" s="415">
        <f t="shared" si="1"/>
      </c>
      <c r="K42" s="416">
        <f t="shared" si="2"/>
      </c>
      <c r="L42" s="234"/>
      <c r="M42" s="155">
        <f t="shared" si="3"/>
      </c>
      <c r="N42" s="417">
        <f t="shared" si="4"/>
        <v>40</v>
      </c>
      <c r="O42" s="418" t="str">
        <f t="shared" si="5"/>
        <v>--</v>
      </c>
      <c r="P42" s="419" t="str">
        <f t="shared" si="6"/>
        <v>--</v>
      </c>
      <c r="Q42" s="420" t="str">
        <f t="shared" si="7"/>
        <v>--</v>
      </c>
      <c r="R42" s="162" t="str">
        <f t="shared" si="8"/>
        <v>--</v>
      </c>
      <c r="S42" s="155">
        <f t="shared" si="9"/>
      </c>
      <c r="T42" s="421">
        <f t="shared" si="10"/>
      </c>
      <c r="U42" s="6"/>
    </row>
    <row r="43" spans="2:21" s="5" customFormat="1" ht="16.5" customHeight="1">
      <c r="B43" s="50"/>
      <c r="C43" s="289"/>
      <c r="D43" s="412"/>
      <c r="E43" s="412"/>
      <c r="F43" s="413"/>
      <c r="G43" s="131">
        <f t="shared" si="0"/>
        <v>51.126</v>
      </c>
      <c r="H43" s="414"/>
      <c r="I43" s="153"/>
      <c r="J43" s="415">
        <f t="shared" si="1"/>
      </c>
      <c r="K43" s="416">
        <f t="shared" si="2"/>
      </c>
      <c r="L43" s="234"/>
      <c r="M43" s="155">
        <f t="shared" si="3"/>
      </c>
      <c r="N43" s="417">
        <f t="shared" si="4"/>
        <v>40</v>
      </c>
      <c r="O43" s="418" t="str">
        <f t="shared" si="5"/>
        <v>--</v>
      </c>
      <c r="P43" s="419" t="str">
        <f t="shared" si="6"/>
        <v>--</v>
      </c>
      <c r="Q43" s="420" t="str">
        <f t="shared" si="7"/>
        <v>--</v>
      </c>
      <c r="R43" s="162" t="str">
        <f t="shared" si="8"/>
        <v>--</v>
      </c>
      <c r="S43" s="155">
        <f t="shared" si="9"/>
      </c>
      <c r="T43" s="421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3"/>
      <c r="G44" s="132"/>
      <c r="H44" s="422"/>
      <c r="I44" s="422"/>
      <c r="J44" s="423"/>
      <c r="K44" s="423"/>
      <c r="L44" s="422"/>
      <c r="M44" s="154"/>
      <c r="N44" s="424"/>
      <c r="O44" s="425"/>
      <c r="P44" s="426"/>
      <c r="Q44" s="427"/>
      <c r="R44" s="164"/>
      <c r="S44" s="154"/>
      <c r="T44" s="428"/>
      <c r="U44" s="6"/>
    </row>
    <row r="45" spans="2:21" s="5" customFormat="1" ht="16.5" customHeight="1" thickBot="1" thickTop="1">
      <c r="B45" s="50"/>
      <c r="C45" s="128" t="s">
        <v>25</v>
      </c>
      <c r="D45" s="129" t="s">
        <v>352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29">
        <f>SUM(O22:O44)</f>
        <v>370190.09982000006</v>
      </c>
      <c r="P45" s="430">
        <f>SUM(P22:P44)</f>
        <v>0</v>
      </c>
      <c r="Q45" s="431">
        <f>SUM(Q22:Q44)</f>
        <v>14417.532000000001</v>
      </c>
      <c r="R45" s="432">
        <f>SUM(R22:R44)</f>
        <v>0</v>
      </c>
      <c r="S45" s="433"/>
      <c r="T45" s="101">
        <f>ROUND(SUM(T22:T44),2)</f>
        <v>349530.27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21:23" ht="16.5" customHeight="1">
      <c r="U50" s="179"/>
      <c r="V50" s="179"/>
      <c r="W50" s="179"/>
    </row>
    <row r="51" spans="21:23" ht="16.5" customHeight="1"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58" spans="4:23" ht="16.5" customHeight="1"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</row>
    <row r="159" spans="4:23" ht="16.5" customHeight="1"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A157"/>
  <sheetViews>
    <sheetView zoomScale="75" zoomScaleNormal="75" workbookViewId="0" topLeftCell="C13">
      <selection activeCell="K23" sqref="K2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35" t="str">
        <f>+'TOT-1208'!B2</f>
        <v>ANEXO I al Memorándum D.T.E.E. N°   770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437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93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'TOT-1208'!B14</f>
        <v>Desde el 01 al 31 de diciembre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39"/>
      <c r="Y14" s="441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82</v>
      </c>
      <c r="E16" s="442"/>
      <c r="F16" s="921">
        <v>0.319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3" t="s">
        <v>26</v>
      </c>
      <c r="E17" s="444"/>
      <c r="F17" s="922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49"/>
      <c r="W18" s="450"/>
      <c r="X18" s="451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71</v>
      </c>
      <c r="Q19" s="454" t="s">
        <v>266</v>
      </c>
      <c r="R19" s="455"/>
      <c r="S19" s="271" t="s">
        <v>267</v>
      </c>
      <c r="T19" s="272"/>
      <c r="U19" s="456" t="s">
        <v>22</v>
      </c>
      <c r="V19" s="270" t="s">
        <v>21</v>
      </c>
      <c r="W19" s="133" t="s">
        <v>80</v>
      </c>
      <c r="X19" s="457" t="s">
        <v>24</v>
      </c>
      <c r="Y19" s="6"/>
    </row>
    <row r="20" spans="2:25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284"/>
      <c r="T20" s="285"/>
      <c r="U20" s="465"/>
      <c r="V20" s="465"/>
      <c r="W20" s="466"/>
      <c r="X20" s="467"/>
      <c r="Y20" s="6"/>
    </row>
    <row r="21" spans="2:25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298"/>
      <c r="T21" s="299"/>
      <c r="U21" s="482"/>
      <c r="V21" s="482"/>
      <c r="W21" s="477"/>
      <c r="X21" s="483"/>
      <c r="Y21" s="6"/>
    </row>
    <row r="22" spans="2:25" s="5" customFormat="1" ht="16.5" customHeight="1">
      <c r="B22" s="50"/>
      <c r="C22" s="157">
        <v>48</v>
      </c>
      <c r="D22" s="484" t="s">
        <v>293</v>
      </c>
      <c r="E22" s="412" t="s">
        <v>327</v>
      </c>
      <c r="F22" s="485">
        <v>245</v>
      </c>
      <c r="G22" s="306">
        <f aca="true" t="shared" si="0" ref="G22:G41">F22*$F$16</f>
        <v>78.155</v>
      </c>
      <c r="H22" s="414">
        <v>39783</v>
      </c>
      <c r="I22" s="192">
        <v>39784.299305555556</v>
      </c>
      <c r="J22" s="415">
        <f aca="true" t="shared" si="1" ref="J22:J41">IF(D22="","",(I22-H22)*24)</f>
        <v>31.183333333348855</v>
      </c>
      <c r="K22" s="416">
        <f aca="true" t="shared" si="2" ref="K22:K41">IF(D22="","",ROUND((I22-H22)*24*60,0))</f>
        <v>1871</v>
      </c>
      <c r="L22" s="234" t="s">
        <v>328</v>
      </c>
      <c r="M22" s="235">
        <v>75.5</v>
      </c>
      <c r="N22" s="155" t="str">
        <f aca="true" t="shared" si="3" ref="N22:N41">IF(D22="","",IF(OR(L22="P",L22="RP"),"--","NO"))</f>
        <v>--</v>
      </c>
      <c r="O22" s="486">
        <f aca="true" t="shared" si="4" ref="O22:O41">IF(OR(L22="P",L22="RP"),$F$17/10,$F$17)</f>
        <v>2</v>
      </c>
      <c r="P22" s="487" t="str">
        <f aca="true" t="shared" si="5" ref="P22:P41">IF(L22="P",G22*O22*ROUND(K22/60,2),"--")</f>
        <v>--</v>
      </c>
      <c r="Q22" s="488" t="str">
        <f aca="true" t="shared" si="6" ref="Q22:Q41">IF(AND(L22="F",N22="NO"),G22*O22,"--")</f>
        <v>--</v>
      </c>
      <c r="R22" s="489" t="str">
        <f aca="true" t="shared" si="7" ref="R22:R41">IF(L22="F",G22*O22*ROUND(K22/60,2),"--")</f>
        <v>--</v>
      </c>
      <c r="S22" s="313" t="str">
        <f aca="true" t="shared" si="8" ref="S22:S41">IF(AND(L22="R",N22="NO"),G22*O22*M22/100,"--")</f>
        <v>--</v>
      </c>
      <c r="T22" s="984" t="s">
        <v>247</v>
      </c>
      <c r="U22" s="490" t="str">
        <f aca="true" t="shared" si="9" ref="U22:U41">IF(L22="RF",G22*O22*ROUND(K22/60,2),"--")</f>
        <v>--</v>
      </c>
      <c r="V22" s="310">
        <f aca="true" t="shared" si="10" ref="V22:V41">IF(L22="RP",G22*O22*M22/100*ROUND(K22/60,2),"--")</f>
        <v>3679.6780790000003</v>
      </c>
      <c r="W22" s="155" t="str">
        <f aca="true" t="shared" si="11" ref="W22:W41">IF(D22="","","SI")</f>
        <v>SI</v>
      </c>
      <c r="X22" s="421">
        <f aca="true" t="shared" si="12" ref="X22:X41">IF(D22="","",SUM(P22:V22)*IF(W22="SI",1,2)*IF(AND(M22&lt;&gt;"--",L22="RF"),M22/100,1))</f>
        <v>3679.6780790000003</v>
      </c>
      <c r="Y22" s="6"/>
    </row>
    <row r="23" spans="2:25" s="5" customFormat="1" ht="16.5" customHeight="1">
      <c r="B23" s="50"/>
      <c r="C23" s="289">
        <v>49</v>
      </c>
      <c r="D23" s="484" t="s">
        <v>293</v>
      </c>
      <c r="E23" s="412" t="s">
        <v>327</v>
      </c>
      <c r="F23" s="485">
        <v>245</v>
      </c>
      <c r="G23" s="306">
        <f t="shared" si="0"/>
        <v>78.155</v>
      </c>
      <c r="H23" s="414">
        <v>39784.3</v>
      </c>
      <c r="I23" s="192">
        <v>39784.85972222222</v>
      </c>
      <c r="J23" s="415">
        <f t="shared" si="1"/>
        <v>13.433333333290648</v>
      </c>
      <c r="K23" s="416">
        <f t="shared" si="2"/>
        <v>806</v>
      </c>
      <c r="L23" s="234" t="s">
        <v>250</v>
      </c>
      <c r="M23" s="235" t="str">
        <f aca="true" t="shared" si="13" ref="M23:M41">IF(D23="","","--")</f>
        <v>--</v>
      </c>
      <c r="N23" s="155" t="str">
        <f t="shared" si="3"/>
        <v>--</v>
      </c>
      <c r="O23" s="486">
        <f t="shared" si="4"/>
        <v>2</v>
      </c>
      <c r="P23" s="487">
        <f t="shared" si="5"/>
        <v>2099.2433</v>
      </c>
      <c r="Q23" s="488" t="str">
        <f t="shared" si="6"/>
        <v>--</v>
      </c>
      <c r="R23" s="489" t="str">
        <f t="shared" si="7"/>
        <v>--</v>
      </c>
      <c r="S23" s="313" t="str">
        <f t="shared" si="8"/>
        <v>--</v>
      </c>
      <c r="T23" s="984" t="s">
        <v>247</v>
      </c>
      <c r="U23" s="490" t="str">
        <f t="shared" si="9"/>
        <v>--</v>
      </c>
      <c r="V23" s="310" t="str">
        <f t="shared" si="10"/>
        <v>--</v>
      </c>
      <c r="W23" s="155" t="str">
        <f t="shared" si="11"/>
        <v>SI</v>
      </c>
      <c r="X23" s="421">
        <f t="shared" si="12"/>
        <v>2099.2433</v>
      </c>
      <c r="Y23" s="6"/>
    </row>
    <row r="24" spans="2:25" s="5" customFormat="1" ht="16.5" customHeight="1">
      <c r="B24" s="50"/>
      <c r="C24" s="157">
        <v>50</v>
      </c>
      <c r="D24" s="484" t="s">
        <v>329</v>
      </c>
      <c r="E24" s="412" t="s">
        <v>330</v>
      </c>
      <c r="F24" s="485">
        <v>150</v>
      </c>
      <c r="G24" s="306">
        <f t="shared" si="0"/>
        <v>47.85</v>
      </c>
      <c r="H24" s="414">
        <v>39784.459027777775</v>
      </c>
      <c r="I24" s="192">
        <v>39785.614583333336</v>
      </c>
      <c r="J24" s="415">
        <f t="shared" si="1"/>
        <v>27.73333333345363</v>
      </c>
      <c r="K24" s="416">
        <f t="shared" si="2"/>
        <v>1664</v>
      </c>
      <c r="L24" s="234" t="s">
        <v>286</v>
      </c>
      <c r="M24" s="235" t="str">
        <f t="shared" si="13"/>
        <v>--</v>
      </c>
      <c r="N24" s="155" t="s">
        <v>247</v>
      </c>
      <c r="O24" s="486">
        <f t="shared" si="4"/>
        <v>20</v>
      </c>
      <c r="P24" s="487" t="str">
        <f t="shared" si="5"/>
        <v>--</v>
      </c>
      <c r="Q24" s="488" t="str">
        <f t="shared" si="6"/>
        <v>--</v>
      </c>
      <c r="R24" s="489">
        <f t="shared" si="7"/>
        <v>26537.61</v>
      </c>
      <c r="S24" s="313" t="str">
        <f t="shared" si="8"/>
        <v>--</v>
      </c>
      <c r="T24" s="984" t="s">
        <v>247</v>
      </c>
      <c r="U24" s="490" t="str">
        <f t="shared" si="9"/>
        <v>--</v>
      </c>
      <c r="V24" s="310" t="str">
        <f t="shared" si="10"/>
        <v>--</v>
      </c>
      <c r="W24" s="155" t="str">
        <f t="shared" si="11"/>
        <v>SI</v>
      </c>
      <c r="X24" s="421">
        <f t="shared" si="12"/>
        <v>26537.61</v>
      </c>
      <c r="Y24" s="6"/>
    </row>
    <row r="25" spans="2:25" s="5" customFormat="1" ht="16.5" customHeight="1">
      <c r="B25" s="50"/>
      <c r="C25" s="289">
        <v>51</v>
      </c>
      <c r="D25" s="484" t="s">
        <v>293</v>
      </c>
      <c r="E25" s="412" t="s">
        <v>327</v>
      </c>
      <c r="F25" s="485">
        <v>245</v>
      </c>
      <c r="G25" s="306">
        <f t="shared" si="0"/>
        <v>78.155</v>
      </c>
      <c r="H25" s="414">
        <v>39784.86041666667</v>
      </c>
      <c r="I25" s="192">
        <v>39785.40833333333</v>
      </c>
      <c r="J25" s="415">
        <f t="shared" si="1"/>
        <v>13.149999999906868</v>
      </c>
      <c r="K25" s="416">
        <f t="shared" si="2"/>
        <v>789</v>
      </c>
      <c r="L25" s="234" t="s">
        <v>328</v>
      </c>
      <c r="M25" s="235">
        <v>75.5</v>
      </c>
      <c r="N25" s="155" t="str">
        <f t="shared" si="3"/>
        <v>--</v>
      </c>
      <c r="O25" s="486">
        <f t="shared" si="4"/>
        <v>2</v>
      </c>
      <c r="P25" s="487" t="str">
        <f t="shared" si="5"/>
        <v>--</v>
      </c>
      <c r="Q25" s="488" t="str">
        <f t="shared" si="6"/>
        <v>--</v>
      </c>
      <c r="R25" s="489" t="str">
        <f t="shared" si="7"/>
        <v>--</v>
      </c>
      <c r="S25" s="313" t="str">
        <f t="shared" si="8"/>
        <v>--</v>
      </c>
      <c r="T25" s="984" t="s">
        <v>247</v>
      </c>
      <c r="U25" s="490" t="str">
        <f t="shared" si="9"/>
        <v>--</v>
      </c>
      <c r="V25" s="310">
        <f t="shared" si="10"/>
        <v>1551.8847575000002</v>
      </c>
      <c r="W25" s="155" t="str">
        <f t="shared" si="11"/>
        <v>SI</v>
      </c>
      <c r="X25" s="421">
        <f t="shared" si="12"/>
        <v>1551.8847575000002</v>
      </c>
      <c r="Y25" s="491"/>
    </row>
    <row r="26" spans="2:25" s="5" customFormat="1" ht="16.5" customHeight="1">
      <c r="B26" s="50"/>
      <c r="C26" s="157">
        <v>52</v>
      </c>
      <c r="D26" s="484" t="s">
        <v>293</v>
      </c>
      <c r="E26" s="412" t="s">
        <v>327</v>
      </c>
      <c r="F26" s="485">
        <v>245</v>
      </c>
      <c r="G26" s="306">
        <f t="shared" si="0"/>
        <v>78.155</v>
      </c>
      <c r="H26" s="414">
        <v>39785.40902777778</v>
      </c>
      <c r="I26" s="192">
        <v>39785.759722222225</v>
      </c>
      <c r="J26" s="415">
        <f t="shared" si="1"/>
        <v>8.41666666668607</v>
      </c>
      <c r="K26" s="416">
        <f t="shared" si="2"/>
        <v>505</v>
      </c>
      <c r="L26" s="234" t="s">
        <v>250</v>
      </c>
      <c r="M26" s="235" t="str">
        <f t="shared" si="13"/>
        <v>--</v>
      </c>
      <c r="N26" s="155" t="str">
        <f t="shared" si="3"/>
        <v>--</v>
      </c>
      <c r="O26" s="486">
        <f t="shared" si="4"/>
        <v>2</v>
      </c>
      <c r="P26" s="487">
        <f t="shared" si="5"/>
        <v>1316.1302</v>
      </c>
      <c r="Q26" s="488" t="str">
        <f t="shared" si="6"/>
        <v>--</v>
      </c>
      <c r="R26" s="489" t="str">
        <f t="shared" si="7"/>
        <v>--</v>
      </c>
      <c r="S26" s="313" t="str">
        <f t="shared" si="8"/>
        <v>--</v>
      </c>
      <c r="T26" s="984" t="s">
        <v>247</v>
      </c>
      <c r="U26" s="490" t="str">
        <f t="shared" si="9"/>
        <v>--</v>
      </c>
      <c r="V26" s="310" t="str">
        <f t="shared" si="10"/>
        <v>--</v>
      </c>
      <c r="W26" s="155" t="str">
        <f t="shared" si="11"/>
        <v>SI</v>
      </c>
      <c r="X26" s="421">
        <f t="shared" si="12"/>
        <v>1316.1302</v>
      </c>
      <c r="Y26" s="491"/>
    </row>
    <row r="27" spans="2:25" s="5" customFormat="1" ht="16.5" customHeight="1">
      <c r="B27" s="50"/>
      <c r="C27" s="289">
        <v>53</v>
      </c>
      <c r="D27" s="484" t="s">
        <v>293</v>
      </c>
      <c r="E27" s="412" t="s">
        <v>327</v>
      </c>
      <c r="F27" s="485">
        <v>245</v>
      </c>
      <c r="G27" s="306">
        <f t="shared" si="0"/>
        <v>78.155</v>
      </c>
      <c r="H27" s="414">
        <v>39785.760416666664</v>
      </c>
      <c r="I27" s="192">
        <v>39786.020833333336</v>
      </c>
      <c r="J27" s="415">
        <f t="shared" si="1"/>
        <v>6.250000000116415</v>
      </c>
      <c r="K27" s="416">
        <f t="shared" si="2"/>
        <v>375</v>
      </c>
      <c r="L27" s="234" t="s">
        <v>328</v>
      </c>
      <c r="M27" s="235">
        <v>75.5</v>
      </c>
      <c r="N27" s="155" t="str">
        <f t="shared" si="3"/>
        <v>--</v>
      </c>
      <c r="O27" s="486">
        <f t="shared" si="4"/>
        <v>2</v>
      </c>
      <c r="P27" s="487" t="str">
        <f t="shared" si="5"/>
        <v>--</v>
      </c>
      <c r="Q27" s="488" t="str">
        <f t="shared" si="6"/>
        <v>--</v>
      </c>
      <c r="R27" s="489" t="str">
        <f t="shared" si="7"/>
        <v>--</v>
      </c>
      <c r="S27" s="313" t="str">
        <f t="shared" si="8"/>
        <v>--</v>
      </c>
      <c r="T27" s="984" t="s">
        <v>247</v>
      </c>
      <c r="U27" s="490" t="str">
        <f t="shared" si="9"/>
        <v>--</v>
      </c>
      <c r="V27" s="310">
        <f t="shared" si="10"/>
        <v>737.5878125</v>
      </c>
      <c r="W27" s="155" t="str">
        <f t="shared" si="11"/>
        <v>SI</v>
      </c>
      <c r="X27" s="421">
        <f t="shared" si="12"/>
        <v>737.5878125</v>
      </c>
      <c r="Y27" s="491"/>
    </row>
    <row r="28" spans="2:25" s="5" customFormat="1" ht="16.5" customHeight="1">
      <c r="B28" s="50"/>
      <c r="C28" s="157">
        <v>54</v>
      </c>
      <c r="D28" s="484" t="s">
        <v>331</v>
      </c>
      <c r="E28" s="412" t="s">
        <v>332</v>
      </c>
      <c r="F28" s="485">
        <v>150</v>
      </c>
      <c r="G28" s="306">
        <f t="shared" si="0"/>
        <v>47.85</v>
      </c>
      <c r="H28" s="414">
        <v>39785.81597222222</v>
      </c>
      <c r="I28" s="192">
        <v>39785.86597222222</v>
      </c>
      <c r="J28" s="415">
        <f t="shared" si="1"/>
        <v>1.2000000000698492</v>
      </c>
      <c r="K28" s="416">
        <f t="shared" si="2"/>
        <v>72</v>
      </c>
      <c r="L28" s="234" t="s">
        <v>286</v>
      </c>
      <c r="M28" s="235" t="str">
        <f t="shared" si="13"/>
        <v>--</v>
      </c>
      <c r="N28" s="155" t="str">
        <f t="shared" si="3"/>
        <v>NO</v>
      </c>
      <c r="O28" s="486">
        <f t="shared" si="4"/>
        <v>20</v>
      </c>
      <c r="P28" s="487" t="str">
        <f t="shared" si="5"/>
        <v>--</v>
      </c>
      <c r="Q28" s="488">
        <f t="shared" si="6"/>
        <v>957</v>
      </c>
      <c r="R28" s="489">
        <f t="shared" si="7"/>
        <v>1148.3999999999999</v>
      </c>
      <c r="S28" s="313" t="str">
        <f t="shared" si="8"/>
        <v>--</v>
      </c>
      <c r="T28" s="984" t="s">
        <v>247</v>
      </c>
      <c r="U28" s="490" t="str">
        <f t="shared" si="9"/>
        <v>--</v>
      </c>
      <c r="V28" s="310" t="str">
        <f t="shared" si="10"/>
        <v>--</v>
      </c>
      <c r="W28" s="155" t="str">
        <f t="shared" si="11"/>
        <v>SI</v>
      </c>
      <c r="X28" s="421">
        <f t="shared" si="12"/>
        <v>2105.3999999999996</v>
      </c>
      <c r="Y28" s="491"/>
    </row>
    <row r="29" spans="2:25" s="5" customFormat="1" ht="16.5" customHeight="1">
      <c r="B29" s="50"/>
      <c r="C29" s="289">
        <v>55</v>
      </c>
      <c r="D29" s="484" t="s">
        <v>293</v>
      </c>
      <c r="E29" s="412" t="s">
        <v>333</v>
      </c>
      <c r="F29" s="485">
        <v>245</v>
      </c>
      <c r="G29" s="306">
        <f t="shared" si="0"/>
        <v>78.155</v>
      </c>
      <c r="H29" s="414">
        <v>39786.021527777775</v>
      </c>
      <c r="I29" s="192">
        <v>39786.10972222222</v>
      </c>
      <c r="J29" s="415">
        <f t="shared" si="1"/>
        <v>2.1166666667559184</v>
      </c>
      <c r="K29" s="416">
        <f t="shared" si="2"/>
        <v>127</v>
      </c>
      <c r="L29" s="234" t="s">
        <v>250</v>
      </c>
      <c r="M29" s="235" t="str">
        <f t="shared" si="13"/>
        <v>--</v>
      </c>
      <c r="N29" s="155" t="str">
        <f t="shared" si="3"/>
        <v>--</v>
      </c>
      <c r="O29" s="486">
        <f t="shared" si="4"/>
        <v>2</v>
      </c>
      <c r="P29" s="487">
        <f t="shared" si="5"/>
        <v>331.3772</v>
      </c>
      <c r="Q29" s="488" t="str">
        <f t="shared" si="6"/>
        <v>--</v>
      </c>
      <c r="R29" s="489" t="str">
        <f t="shared" si="7"/>
        <v>--</v>
      </c>
      <c r="S29" s="313" t="str">
        <f t="shared" si="8"/>
        <v>--</v>
      </c>
      <c r="T29" s="984" t="s">
        <v>247</v>
      </c>
      <c r="U29" s="490" t="str">
        <f t="shared" si="9"/>
        <v>--</v>
      </c>
      <c r="V29" s="310" t="str">
        <f t="shared" si="10"/>
        <v>--</v>
      </c>
      <c r="W29" s="155" t="str">
        <f t="shared" si="11"/>
        <v>SI</v>
      </c>
      <c r="X29" s="421">
        <f t="shared" si="12"/>
        <v>331.3772</v>
      </c>
      <c r="Y29" s="491"/>
    </row>
    <row r="30" spans="2:25" s="5" customFormat="1" ht="16.5" customHeight="1">
      <c r="B30" s="50"/>
      <c r="C30" s="157">
        <v>56</v>
      </c>
      <c r="D30" s="484" t="s">
        <v>293</v>
      </c>
      <c r="E30" s="412" t="s">
        <v>327</v>
      </c>
      <c r="F30" s="485">
        <v>245</v>
      </c>
      <c r="G30" s="306">
        <f t="shared" si="0"/>
        <v>78.155</v>
      </c>
      <c r="H30" s="414">
        <v>39786.021527777775</v>
      </c>
      <c r="I30" s="192">
        <v>39786.111805555556</v>
      </c>
      <c r="J30" s="415">
        <f t="shared" si="1"/>
        <v>2.166666666744277</v>
      </c>
      <c r="K30" s="416">
        <f t="shared" si="2"/>
        <v>130</v>
      </c>
      <c r="L30" s="234" t="s">
        <v>250</v>
      </c>
      <c r="M30" s="235" t="str">
        <f t="shared" si="13"/>
        <v>--</v>
      </c>
      <c r="N30" s="155" t="str">
        <f t="shared" si="3"/>
        <v>--</v>
      </c>
      <c r="O30" s="486">
        <f t="shared" si="4"/>
        <v>2</v>
      </c>
      <c r="P30" s="487">
        <f t="shared" si="5"/>
        <v>339.1927</v>
      </c>
      <c r="Q30" s="488" t="str">
        <f t="shared" si="6"/>
        <v>--</v>
      </c>
      <c r="R30" s="489" t="str">
        <f t="shared" si="7"/>
        <v>--</v>
      </c>
      <c r="S30" s="313" t="str">
        <f t="shared" si="8"/>
        <v>--</v>
      </c>
      <c r="T30" s="984" t="s">
        <v>247</v>
      </c>
      <c r="U30" s="490" t="str">
        <f t="shared" si="9"/>
        <v>--</v>
      </c>
      <c r="V30" s="310" t="str">
        <f t="shared" si="10"/>
        <v>--</v>
      </c>
      <c r="W30" s="155" t="str">
        <f t="shared" si="11"/>
        <v>SI</v>
      </c>
      <c r="X30" s="421">
        <f t="shared" si="12"/>
        <v>339.1927</v>
      </c>
      <c r="Y30" s="491"/>
    </row>
    <row r="31" spans="2:25" s="5" customFormat="1" ht="16.5" customHeight="1">
      <c r="B31" s="50"/>
      <c r="C31" s="289">
        <v>57</v>
      </c>
      <c r="D31" s="484" t="s">
        <v>293</v>
      </c>
      <c r="E31" s="412" t="s">
        <v>327</v>
      </c>
      <c r="F31" s="485">
        <v>245</v>
      </c>
      <c r="G31" s="306">
        <f t="shared" si="0"/>
        <v>78.155</v>
      </c>
      <c r="H31" s="414">
        <v>39786.1125</v>
      </c>
      <c r="I31" s="192">
        <v>39788.24791666667</v>
      </c>
      <c r="J31" s="415">
        <f t="shared" si="1"/>
        <v>51.24999999994179</v>
      </c>
      <c r="K31" s="416">
        <f t="shared" si="2"/>
        <v>3075</v>
      </c>
      <c r="L31" s="234" t="s">
        <v>328</v>
      </c>
      <c r="M31" s="235">
        <v>75.5</v>
      </c>
      <c r="N31" s="155" t="str">
        <f t="shared" si="3"/>
        <v>--</v>
      </c>
      <c r="O31" s="486">
        <f t="shared" si="4"/>
        <v>2</v>
      </c>
      <c r="P31" s="487" t="str">
        <f t="shared" si="5"/>
        <v>--</v>
      </c>
      <c r="Q31" s="488" t="str">
        <f t="shared" si="6"/>
        <v>--</v>
      </c>
      <c r="R31" s="489" t="str">
        <f t="shared" si="7"/>
        <v>--</v>
      </c>
      <c r="S31" s="313" t="str">
        <f t="shared" si="8"/>
        <v>--</v>
      </c>
      <c r="T31" s="984" t="s">
        <v>247</v>
      </c>
      <c r="U31" s="490" t="str">
        <f t="shared" si="9"/>
        <v>--</v>
      </c>
      <c r="V31" s="310">
        <f t="shared" si="10"/>
        <v>6048.2200625000005</v>
      </c>
      <c r="W31" s="155" t="str">
        <f t="shared" si="11"/>
        <v>SI</v>
      </c>
      <c r="X31" s="421">
        <f t="shared" si="12"/>
        <v>6048.2200625000005</v>
      </c>
      <c r="Y31" s="6"/>
    </row>
    <row r="32" spans="2:25" s="5" customFormat="1" ht="16.5" customHeight="1">
      <c r="B32" s="50"/>
      <c r="C32" s="157">
        <v>58</v>
      </c>
      <c r="D32" s="484" t="s">
        <v>329</v>
      </c>
      <c r="E32" s="412" t="s">
        <v>334</v>
      </c>
      <c r="F32" s="485">
        <v>150</v>
      </c>
      <c r="G32" s="306">
        <f t="shared" si="0"/>
        <v>47.85</v>
      </c>
      <c r="H32" s="414">
        <v>39786.37777777778</v>
      </c>
      <c r="I32" s="192">
        <v>39789.85277777778</v>
      </c>
      <c r="J32" s="415">
        <f t="shared" si="1"/>
        <v>83.39999999996508</v>
      </c>
      <c r="K32" s="416">
        <f t="shared" si="2"/>
        <v>5004</v>
      </c>
      <c r="L32" s="234" t="s">
        <v>250</v>
      </c>
      <c r="M32" s="235" t="str">
        <f t="shared" si="13"/>
        <v>--</v>
      </c>
      <c r="N32" s="155" t="str">
        <f t="shared" si="3"/>
        <v>--</v>
      </c>
      <c r="O32" s="486">
        <f t="shared" si="4"/>
        <v>2</v>
      </c>
      <c r="P32" s="487">
        <f t="shared" si="5"/>
        <v>7981.380000000001</v>
      </c>
      <c r="Q32" s="488" t="str">
        <f t="shared" si="6"/>
        <v>--</v>
      </c>
      <c r="R32" s="489" t="str">
        <f t="shared" si="7"/>
        <v>--</v>
      </c>
      <c r="S32" s="313" t="str">
        <f t="shared" si="8"/>
        <v>--</v>
      </c>
      <c r="T32" s="984" t="s">
        <v>247</v>
      </c>
      <c r="U32" s="490" t="str">
        <f t="shared" si="9"/>
        <v>--</v>
      </c>
      <c r="V32" s="310" t="str">
        <f t="shared" si="10"/>
        <v>--</v>
      </c>
      <c r="W32" s="155" t="str">
        <f t="shared" si="11"/>
        <v>SI</v>
      </c>
      <c r="X32" s="421">
        <f t="shared" si="12"/>
        <v>7981.380000000001</v>
      </c>
      <c r="Y32" s="6"/>
    </row>
    <row r="33" spans="2:25" s="5" customFormat="1" ht="16.5" customHeight="1">
      <c r="B33" s="50"/>
      <c r="C33" s="289">
        <v>59</v>
      </c>
      <c r="D33" s="484" t="s">
        <v>293</v>
      </c>
      <c r="E33" s="412" t="s">
        <v>327</v>
      </c>
      <c r="F33" s="485">
        <v>245</v>
      </c>
      <c r="G33" s="306">
        <f t="shared" si="0"/>
        <v>78.155</v>
      </c>
      <c r="H33" s="414">
        <v>39788.248611111114</v>
      </c>
      <c r="I33" s="192">
        <v>39789.03958333333</v>
      </c>
      <c r="J33" s="415">
        <f t="shared" si="1"/>
        <v>18.9833333332208</v>
      </c>
      <c r="K33" s="416">
        <f t="shared" si="2"/>
        <v>1139</v>
      </c>
      <c r="L33" s="234" t="s">
        <v>250</v>
      </c>
      <c r="M33" s="235" t="str">
        <f t="shared" si="13"/>
        <v>--</v>
      </c>
      <c r="N33" s="155" t="str">
        <f t="shared" si="3"/>
        <v>--</v>
      </c>
      <c r="O33" s="486">
        <f t="shared" si="4"/>
        <v>2</v>
      </c>
      <c r="P33" s="487">
        <f t="shared" si="5"/>
        <v>2966.7638</v>
      </c>
      <c r="Q33" s="488" t="str">
        <f t="shared" si="6"/>
        <v>--</v>
      </c>
      <c r="R33" s="489" t="str">
        <f t="shared" si="7"/>
        <v>--</v>
      </c>
      <c r="S33" s="313" t="str">
        <f t="shared" si="8"/>
        <v>--</v>
      </c>
      <c r="T33" s="984" t="s">
        <v>247</v>
      </c>
      <c r="U33" s="490" t="str">
        <f t="shared" si="9"/>
        <v>--</v>
      </c>
      <c r="V33" s="310" t="str">
        <f t="shared" si="10"/>
        <v>--</v>
      </c>
      <c r="W33" s="155" t="str">
        <f t="shared" si="11"/>
        <v>SI</v>
      </c>
      <c r="X33" s="421">
        <f t="shared" si="12"/>
        <v>2966.7638</v>
      </c>
      <c r="Y33" s="6"/>
    </row>
    <row r="34" spans="2:25" s="5" customFormat="1" ht="16.5" customHeight="1">
      <c r="B34" s="50"/>
      <c r="C34" s="157">
        <v>60</v>
      </c>
      <c r="D34" s="484" t="s">
        <v>329</v>
      </c>
      <c r="E34" s="412" t="s">
        <v>335</v>
      </c>
      <c r="F34" s="485">
        <v>150</v>
      </c>
      <c r="G34" s="306">
        <f t="shared" si="0"/>
        <v>47.85</v>
      </c>
      <c r="H34" s="414">
        <v>39789.70763888889</v>
      </c>
      <c r="I34" s="192">
        <v>39789.93402777778</v>
      </c>
      <c r="J34" s="415">
        <f t="shared" si="1"/>
        <v>5.433333333407063</v>
      </c>
      <c r="K34" s="416">
        <f t="shared" si="2"/>
        <v>326</v>
      </c>
      <c r="L34" s="234" t="s">
        <v>286</v>
      </c>
      <c r="M34" s="235" t="str">
        <f t="shared" si="13"/>
        <v>--</v>
      </c>
      <c r="N34" s="155" t="s">
        <v>247</v>
      </c>
      <c r="O34" s="486">
        <f t="shared" si="4"/>
        <v>20</v>
      </c>
      <c r="P34" s="487" t="str">
        <f t="shared" si="5"/>
        <v>--</v>
      </c>
      <c r="Q34" s="488" t="str">
        <f t="shared" si="6"/>
        <v>--</v>
      </c>
      <c r="R34" s="489">
        <f t="shared" si="7"/>
        <v>5196.509999999999</v>
      </c>
      <c r="S34" s="313" t="str">
        <f t="shared" si="8"/>
        <v>--</v>
      </c>
      <c r="T34" s="984" t="s">
        <v>247</v>
      </c>
      <c r="U34" s="490" t="str">
        <f t="shared" si="9"/>
        <v>--</v>
      </c>
      <c r="V34" s="310" t="str">
        <f t="shared" si="10"/>
        <v>--</v>
      </c>
      <c r="W34" s="155" t="str">
        <f t="shared" si="11"/>
        <v>SI</v>
      </c>
      <c r="X34" s="421">
        <f t="shared" si="12"/>
        <v>5196.509999999999</v>
      </c>
      <c r="Y34" s="6"/>
    </row>
    <row r="35" spans="2:25" s="5" customFormat="1" ht="16.5" customHeight="1">
      <c r="B35" s="50"/>
      <c r="C35" s="289">
        <v>61</v>
      </c>
      <c r="D35" s="484" t="s">
        <v>293</v>
      </c>
      <c r="E35" s="412" t="s">
        <v>336</v>
      </c>
      <c r="F35" s="485">
        <v>245</v>
      </c>
      <c r="G35" s="306">
        <f t="shared" si="0"/>
        <v>78.155</v>
      </c>
      <c r="H35" s="414">
        <v>39791.24652777778</v>
      </c>
      <c r="I35" s="192">
        <v>39791.646527777775</v>
      </c>
      <c r="J35" s="415">
        <f t="shared" si="1"/>
        <v>9.599999999860302</v>
      </c>
      <c r="K35" s="416">
        <f t="shared" si="2"/>
        <v>576</v>
      </c>
      <c r="L35" s="234" t="s">
        <v>250</v>
      </c>
      <c r="M35" s="235" t="str">
        <f t="shared" si="13"/>
        <v>--</v>
      </c>
      <c r="N35" s="155" t="str">
        <f t="shared" si="3"/>
        <v>--</v>
      </c>
      <c r="O35" s="486">
        <f t="shared" si="4"/>
        <v>2</v>
      </c>
      <c r="P35" s="487">
        <f t="shared" si="5"/>
        <v>1500.576</v>
      </c>
      <c r="Q35" s="488" t="str">
        <f t="shared" si="6"/>
        <v>--</v>
      </c>
      <c r="R35" s="489" t="str">
        <f t="shared" si="7"/>
        <v>--</v>
      </c>
      <c r="S35" s="313" t="str">
        <f t="shared" si="8"/>
        <v>--</v>
      </c>
      <c r="T35" s="984" t="s">
        <v>247</v>
      </c>
      <c r="U35" s="490" t="str">
        <f t="shared" si="9"/>
        <v>--</v>
      </c>
      <c r="V35" s="310" t="str">
        <f t="shared" si="10"/>
        <v>--</v>
      </c>
      <c r="W35" s="155" t="str">
        <f t="shared" si="11"/>
        <v>SI</v>
      </c>
      <c r="X35" s="421">
        <f t="shared" si="12"/>
        <v>1500.576</v>
      </c>
      <c r="Y35" s="6"/>
    </row>
    <row r="36" spans="2:25" s="5" customFormat="1" ht="16.5" customHeight="1">
      <c r="B36" s="50"/>
      <c r="C36" s="157">
        <v>62</v>
      </c>
      <c r="D36" s="484" t="s">
        <v>293</v>
      </c>
      <c r="E36" s="412" t="s">
        <v>333</v>
      </c>
      <c r="F36" s="485">
        <v>245</v>
      </c>
      <c r="G36" s="306">
        <f t="shared" si="0"/>
        <v>78.155</v>
      </c>
      <c r="H36" s="414">
        <v>39791.69583333333</v>
      </c>
      <c r="I36" s="192">
        <v>39791.70208333333</v>
      </c>
      <c r="J36" s="415">
        <f t="shared" si="1"/>
        <v>0.1499999999650754</v>
      </c>
      <c r="K36" s="416">
        <f t="shared" si="2"/>
        <v>9</v>
      </c>
      <c r="L36" s="234" t="s">
        <v>286</v>
      </c>
      <c r="M36" s="235" t="str">
        <f t="shared" si="13"/>
        <v>--</v>
      </c>
      <c r="N36" s="155" t="str">
        <f t="shared" si="3"/>
        <v>NO</v>
      </c>
      <c r="O36" s="486">
        <f t="shared" si="4"/>
        <v>20</v>
      </c>
      <c r="P36" s="487" t="str">
        <f t="shared" si="5"/>
        <v>--</v>
      </c>
      <c r="Q36" s="488">
        <f t="shared" si="6"/>
        <v>1563.1</v>
      </c>
      <c r="R36" s="489">
        <f t="shared" si="7"/>
        <v>234.46499999999997</v>
      </c>
      <c r="S36" s="313" t="str">
        <f t="shared" si="8"/>
        <v>--</v>
      </c>
      <c r="T36" s="984" t="s">
        <v>247</v>
      </c>
      <c r="U36" s="490" t="str">
        <f t="shared" si="9"/>
        <v>--</v>
      </c>
      <c r="V36" s="310" t="str">
        <f t="shared" si="10"/>
        <v>--</v>
      </c>
      <c r="W36" s="155" t="str">
        <f t="shared" si="11"/>
        <v>SI</v>
      </c>
      <c r="X36" s="421">
        <f t="shared" si="12"/>
        <v>1797.5649999999998</v>
      </c>
      <c r="Y36" s="6"/>
    </row>
    <row r="37" spans="2:25" s="5" customFormat="1" ht="16.5" customHeight="1">
      <c r="B37" s="50"/>
      <c r="C37" s="289">
        <v>63</v>
      </c>
      <c r="D37" s="484" t="s">
        <v>293</v>
      </c>
      <c r="E37" s="412" t="s">
        <v>337</v>
      </c>
      <c r="F37" s="485">
        <v>245</v>
      </c>
      <c r="G37" s="306">
        <f t="shared" si="0"/>
        <v>78.155</v>
      </c>
      <c r="H37" s="414">
        <v>39792.24375</v>
      </c>
      <c r="I37" s="192">
        <v>39792.657638888886</v>
      </c>
      <c r="J37" s="415">
        <f t="shared" si="1"/>
        <v>9.93333333323244</v>
      </c>
      <c r="K37" s="416">
        <f t="shared" si="2"/>
        <v>596</v>
      </c>
      <c r="L37" s="234" t="s">
        <v>250</v>
      </c>
      <c r="M37" s="235" t="str">
        <f t="shared" si="13"/>
        <v>--</v>
      </c>
      <c r="N37" s="155" t="str">
        <f t="shared" si="3"/>
        <v>--</v>
      </c>
      <c r="O37" s="486">
        <f t="shared" si="4"/>
        <v>2</v>
      </c>
      <c r="P37" s="487">
        <f t="shared" si="5"/>
        <v>1552.1583</v>
      </c>
      <c r="Q37" s="488" t="str">
        <f t="shared" si="6"/>
        <v>--</v>
      </c>
      <c r="R37" s="489" t="str">
        <f t="shared" si="7"/>
        <v>--</v>
      </c>
      <c r="S37" s="313" t="str">
        <f t="shared" si="8"/>
        <v>--</v>
      </c>
      <c r="T37" s="984" t="s">
        <v>247</v>
      </c>
      <c r="U37" s="490" t="str">
        <f t="shared" si="9"/>
        <v>--</v>
      </c>
      <c r="V37" s="310" t="str">
        <f t="shared" si="10"/>
        <v>--</v>
      </c>
      <c r="W37" s="155" t="str">
        <f t="shared" si="11"/>
        <v>SI</v>
      </c>
      <c r="X37" s="421">
        <f t="shared" si="12"/>
        <v>1552.1583</v>
      </c>
      <c r="Y37" s="6"/>
    </row>
    <row r="38" spans="2:25" s="5" customFormat="1" ht="16.5" customHeight="1">
      <c r="B38" s="50"/>
      <c r="C38" s="157">
        <v>64</v>
      </c>
      <c r="D38" s="484" t="s">
        <v>293</v>
      </c>
      <c r="E38" s="412" t="s">
        <v>333</v>
      </c>
      <c r="F38" s="485">
        <v>245</v>
      </c>
      <c r="G38" s="306">
        <f t="shared" si="0"/>
        <v>78.155</v>
      </c>
      <c r="H38" s="414">
        <v>39792.62847222222</v>
      </c>
      <c r="I38" s="192">
        <v>39792.63055555556</v>
      </c>
      <c r="J38" s="415">
        <f t="shared" si="1"/>
        <v>0.05000000016298145</v>
      </c>
      <c r="K38" s="416">
        <f t="shared" si="2"/>
        <v>3</v>
      </c>
      <c r="L38" s="234" t="s">
        <v>286</v>
      </c>
      <c r="M38" s="235" t="str">
        <f t="shared" si="13"/>
        <v>--</v>
      </c>
      <c r="N38" s="155" t="str">
        <f t="shared" si="3"/>
        <v>NO</v>
      </c>
      <c r="O38" s="486">
        <f t="shared" si="4"/>
        <v>20</v>
      </c>
      <c r="P38" s="487" t="str">
        <f t="shared" si="5"/>
        <v>--</v>
      </c>
      <c r="Q38" s="488">
        <f t="shared" si="6"/>
        <v>1563.1</v>
      </c>
      <c r="R38" s="489">
        <f t="shared" si="7"/>
        <v>78.155</v>
      </c>
      <c r="S38" s="313" t="str">
        <f t="shared" si="8"/>
        <v>--</v>
      </c>
      <c r="T38" s="984" t="s">
        <v>247</v>
      </c>
      <c r="U38" s="490" t="str">
        <f t="shared" si="9"/>
        <v>--</v>
      </c>
      <c r="V38" s="310" t="str">
        <f t="shared" si="10"/>
        <v>--</v>
      </c>
      <c r="W38" s="155" t="str">
        <f t="shared" si="11"/>
        <v>SI</v>
      </c>
      <c r="X38" s="421">
        <f t="shared" si="12"/>
        <v>1641.2549999999999</v>
      </c>
      <c r="Y38" s="6"/>
    </row>
    <row r="39" spans="2:25" s="5" customFormat="1" ht="16.5" customHeight="1">
      <c r="B39" s="50"/>
      <c r="C39" s="289">
        <v>65</v>
      </c>
      <c r="D39" s="484" t="s">
        <v>293</v>
      </c>
      <c r="E39" s="412" t="s">
        <v>338</v>
      </c>
      <c r="F39" s="485">
        <v>245</v>
      </c>
      <c r="G39" s="306">
        <f t="shared" si="0"/>
        <v>78.155</v>
      </c>
      <c r="H39" s="414">
        <v>39793.24513888889</v>
      </c>
      <c r="I39" s="192">
        <v>39793.645833333336</v>
      </c>
      <c r="J39" s="415">
        <f t="shared" si="1"/>
        <v>9.616666666755918</v>
      </c>
      <c r="K39" s="416">
        <f t="shared" si="2"/>
        <v>577</v>
      </c>
      <c r="L39" s="234" t="s">
        <v>250</v>
      </c>
      <c r="M39" s="235" t="str">
        <f t="shared" si="13"/>
        <v>--</v>
      </c>
      <c r="N39" s="155" t="str">
        <f t="shared" si="3"/>
        <v>--</v>
      </c>
      <c r="O39" s="486">
        <f t="shared" si="4"/>
        <v>2</v>
      </c>
      <c r="P39" s="487">
        <f t="shared" si="5"/>
        <v>1503.7022</v>
      </c>
      <c r="Q39" s="488" t="str">
        <f t="shared" si="6"/>
        <v>--</v>
      </c>
      <c r="R39" s="489" t="str">
        <f t="shared" si="7"/>
        <v>--</v>
      </c>
      <c r="S39" s="313" t="str">
        <f t="shared" si="8"/>
        <v>--</v>
      </c>
      <c r="T39" s="984" t="s">
        <v>247</v>
      </c>
      <c r="U39" s="490" t="str">
        <f t="shared" si="9"/>
        <v>--</v>
      </c>
      <c r="V39" s="310" t="str">
        <f t="shared" si="10"/>
        <v>--</v>
      </c>
      <c r="W39" s="155" t="str">
        <f t="shared" si="11"/>
        <v>SI</v>
      </c>
      <c r="X39" s="421">
        <f t="shared" si="12"/>
        <v>1503.7022</v>
      </c>
      <c r="Y39" s="6"/>
    </row>
    <row r="40" spans="2:25" s="5" customFormat="1" ht="16.5" customHeight="1">
      <c r="B40" s="50"/>
      <c r="C40" s="157">
        <v>66</v>
      </c>
      <c r="D40" s="484" t="s">
        <v>293</v>
      </c>
      <c r="E40" s="412" t="s">
        <v>339</v>
      </c>
      <c r="F40" s="485">
        <v>245</v>
      </c>
      <c r="G40" s="306">
        <f t="shared" si="0"/>
        <v>78.155</v>
      </c>
      <c r="H40" s="414">
        <v>39794.25</v>
      </c>
      <c r="I40" s="192">
        <v>39794.6625</v>
      </c>
      <c r="J40" s="415">
        <f t="shared" si="1"/>
        <v>9.899999999965075</v>
      </c>
      <c r="K40" s="416">
        <f t="shared" si="2"/>
        <v>594</v>
      </c>
      <c r="L40" s="234" t="s">
        <v>250</v>
      </c>
      <c r="M40" s="235" t="str">
        <f t="shared" si="13"/>
        <v>--</v>
      </c>
      <c r="N40" s="155" t="str">
        <f t="shared" si="3"/>
        <v>--</v>
      </c>
      <c r="O40" s="486">
        <f t="shared" si="4"/>
        <v>2</v>
      </c>
      <c r="P40" s="487">
        <f t="shared" si="5"/>
        <v>1547.469</v>
      </c>
      <c r="Q40" s="488" t="str">
        <f t="shared" si="6"/>
        <v>--</v>
      </c>
      <c r="R40" s="489" t="str">
        <f t="shared" si="7"/>
        <v>--</v>
      </c>
      <c r="S40" s="313" t="str">
        <f t="shared" si="8"/>
        <v>--</v>
      </c>
      <c r="T40" s="984" t="s">
        <v>247</v>
      </c>
      <c r="U40" s="490" t="str">
        <f t="shared" si="9"/>
        <v>--</v>
      </c>
      <c r="V40" s="310" t="str">
        <f t="shared" si="10"/>
        <v>--</v>
      </c>
      <c r="W40" s="155" t="str">
        <f t="shared" si="11"/>
        <v>SI</v>
      </c>
      <c r="X40" s="421">
        <f t="shared" si="12"/>
        <v>1547.469</v>
      </c>
      <c r="Y40" s="6"/>
    </row>
    <row r="41" spans="2:25" s="5" customFormat="1" ht="16.5" customHeight="1">
      <c r="B41" s="50"/>
      <c r="C41" s="289"/>
      <c r="D41" s="484"/>
      <c r="E41" s="412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13"/>
      </c>
      <c r="N41" s="155">
        <f t="shared" si="3"/>
      </c>
      <c r="O41" s="486">
        <f t="shared" si="4"/>
        <v>20</v>
      </c>
      <c r="P41" s="487" t="str">
        <f t="shared" si="5"/>
        <v>--</v>
      </c>
      <c r="Q41" s="488" t="str">
        <f t="shared" si="6"/>
        <v>--</v>
      </c>
      <c r="R41" s="489" t="str">
        <f t="shared" si="7"/>
        <v>--</v>
      </c>
      <c r="S41" s="313" t="str">
        <f t="shared" si="8"/>
        <v>--</v>
      </c>
      <c r="T41" s="314" t="str">
        <f>IF(L41="R",G41*O41*M41/100*ROUND(K41/60,2),"--")</f>
        <v>--</v>
      </c>
      <c r="U41" s="490" t="str">
        <f t="shared" si="9"/>
        <v>--</v>
      </c>
      <c r="V41" s="310" t="str">
        <f t="shared" si="10"/>
        <v>--</v>
      </c>
      <c r="W41" s="155">
        <f t="shared" si="11"/>
      </c>
      <c r="X41" s="421">
        <f t="shared" si="12"/>
      </c>
      <c r="Y41" s="6"/>
    </row>
    <row r="42" spans="2:25" s="5" customFormat="1" ht="16.5" customHeight="1" thickBot="1">
      <c r="B42" s="50"/>
      <c r="C42" s="157"/>
      <c r="D42" s="492"/>
      <c r="E42" s="149"/>
      <c r="F42" s="493"/>
      <c r="G42" s="132"/>
      <c r="H42" s="422"/>
      <c r="I42" s="422"/>
      <c r="J42" s="423"/>
      <c r="K42" s="423"/>
      <c r="L42" s="422"/>
      <c r="M42" s="197"/>
      <c r="N42" s="154"/>
      <c r="O42" s="494"/>
      <c r="P42" s="495"/>
      <c r="Q42" s="496"/>
      <c r="R42" s="497"/>
      <c r="S42" s="331"/>
      <c r="T42" s="332"/>
      <c r="U42" s="498"/>
      <c r="V42" s="498"/>
      <c r="W42" s="154"/>
      <c r="X42" s="499"/>
      <c r="Y42" s="6"/>
    </row>
    <row r="43" spans="2:25" s="5" customFormat="1" ht="16.5" customHeight="1" thickBot="1" thickTop="1">
      <c r="B43" s="50"/>
      <c r="C43" s="128" t="s">
        <v>25</v>
      </c>
      <c r="D43" s="129" t="s">
        <v>354</v>
      </c>
      <c r="G43" s="4"/>
      <c r="H43" s="4"/>
      <c r="I43" s="4"/>
      <c r="J43" s="4"/>
      <c r="K43" s="4"/>
      <c r="L43" s="4"/>
      <c r="M43" s="4"/>
      <c r="N43" s="4"/>
      <c r="O43" s="4"/>
      <c r="P43" s="500">
        <f aca="true" t="shared" si="14" ref="P43:V43">SUM(P20:P42)</f>
        <v>21137.992700000003</v>
      </c>
      <c r="Q43" s="501">
        <f t="shared" si="14"/>
        <v>4083.2</v>
      </c>
      <c r="R43" s="502">
        <f t="shared" si="14"/>
        <v>33195.14</v>
      </c>
      <c r="S43" s="341">
        <f t="shared" si="14"/>
        <v>0</v>
      </c>
      <c r="T43" s="342">
        <f t="shared" si="14"/>
        <v>0</v>
      </c>
      <c r="U43" s="503">
        <f t="shared" si="14"/>
        <v>0</v>
      </c>
      <c r="V43" s="503">
        <f t="shared" si="14"/>
        <v>12017.3707115</v>
      </c>
      <c r="X43" s="101">
        <f>ROUND(SUM(X20:X42),2)</f>
        <v>70433.7</v>
      </c>
      <c r="Y43" s="504"/>
    </row>
    <row r="44" spans="2:25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4:27" ht="16.5" customHeight="1" thickTop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4:27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4:27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4:27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4:27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4:27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4:27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4:27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4:27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4:27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4:27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4:27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4:27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4:27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4:27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4:27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4:27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4:27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4:27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4:27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4:27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4:27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4:27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4:27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4:27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4:27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4:27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4:27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4:27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4:27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4:27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4:27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4:27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4:27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4:27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4:27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4:27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4:27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4:27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4:27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4:27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4:27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4:27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4:27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4:27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4:27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4:27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4:27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4:27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4:27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4:27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4:27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4:27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4:27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4:27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4:27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4:27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4:27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4:27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4:27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4:27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4:27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4:27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4:27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4:27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4:27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4:27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4:27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4:27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4:27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4:27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4:27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4:27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4:27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4:27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4:27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4:27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4:27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4:27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4:27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4:27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4:27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4:27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4:27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4:27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4:27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4:27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4:27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4:27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4:27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4:27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4:27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4:27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4:27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4:27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4:27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4:27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4:27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4:27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4:27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4:27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4:27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4:27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4:27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4:27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4:27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4:27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4:27" ht="16.5" customHeight="1">
      <c r="D152" s="179"/>
      <c r="E152" s="179"/>
      <c r="F152" s="179"/>
      <c r="Z152" s="179"/>
      <c r="AA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157"/>
  <sheetViews>
    <sheetView zoomScale="75" zoomScaleNormal="75" workbookViewId="0" topLeftCell="C9">
      <selection activeCell="K23" sqref="K2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5.71093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35" t="str">
        <f>+'TOT-1208'!B2</f>
        <v>ANEXO I al Memorándum D.T.E.E. N°   770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437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93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'TOT-1208'!B14</f>
        <v>Desde el 01 al 31 de diciembre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39"/>
      <c r="Y14" s="441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82</v>
      </c>
      <c r="E16" s="442"/>
      <c r="F16" s="921">
        <v>0.319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3" t="s">
        <v>26</v>
      </c>
      <c r="E17" s="444"/>
      <c r="F17" s="922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49"/>
      <c r="W18" s="450"/>
      <c r="X18" s="451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71</v>
      </c>
      <c r="Q19" s="454" t="s">
        <v>266</v>
      </c>
      <c r="R19" s="455"/>
      <c r="S19" s="271" t="s">
        <v>267</v>
      </c>
      <c r="T19" s="272"/>
      <c r="U19" s="456" t="s">
        <v>22</v>
      </c>
      <c r="V19" s="270" t="s">
        <v>21</v>
      </c>
      <c r="W19" s="133" t="s">
        <v>80</v>
      </c>
      <c r="X19" s="457" t="s">
        <v>24</v>
      </c>
      <c r="Y19" s="6"/>
    </row>
    <row r="20" spans="2:25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284"/>
      <c r="T20" s="285"/>
      <c r="U20" s="985">
        <f>'RE-12 (1)'!U43</f>
        <v>0</v>
      </c>
      <c r="V20" s="465"/>
      <c r="W20" s="466"/>
      <c r="X20" s="986">
        <f>ROUND('RE-12 (1)'!X43,2)</f>
        <v>70433.7</v>
      </c>
      <c r="Y20" s="6"/>
    </row>
    <row r="21" spans="2:25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298"/>
      <c r="T21" s="299"/>
      <c r="U21" s="482"/>
      <c r="V21" s="482"/>
      <c r="W21" s="477"/>
      <c r="X21" s="483"/>
      <c r="Y21" s="6"/>
    </row>
    <row r="22" spans="2:25" s="5" customFormat="1" ht="16.5" customHeight="1">
      <c r="B22" s="50"/>
      <c r="C22" s="157">
        <v>67</v>
      </c>
      <c r="D22" s="484" t="s">
        <v>361</v>
      </c>
      <c r="E22" s="412" t="s">
        <v>363</v>
      </c>
      <c r="F22" s="485">
        <v>80</v>
      </c>
      <c r="G22" s="306">
        <f aca="true" t="shared" si="0" ref="G22:G41">F22*$F$16</f>
        <v>25.52</v>
      </c>
      <c r="H22" s="414">
        <v>39794.35</v>
      </c>
      <c r="I22" s="192">
        <v>39794.38333333333</v>
      </c>
      <c r="J22" s="415">
        <f aca="true" t="shared" si="1" ref="J22:J41">IF(D22="","",(I22-H22)*24)</f>
        <v>0.7999999999883585</v>
      </c>
      <c r="K22" s="416">
        <f aca="true" t="shared" si="2" ref="K22:K41">IF(D22="","",ROUND((I22-H22)*24*60,0))</f>
        <v>48</v>
      </c>
      <c r="L22" s="234" t="s">
        <v>250</v>
      </c>
      <c r="M22" s="235" t="str">
        <f aca="true" t="shared" si="3" ref="M22:M41">IF(D22="","","--")</f>
        <v>--</v>
      </c>
      <c r="N22" s="155" t="str">
        <f aca="true" t="shared" si="4" ref="N22:N41">IF(D22="","",IF(OR(L22="P",L22="RP"),"--","NO"))</f>
        <v>--</v>
      </c>
      <c r="O22" s="486">
        <f aca="true" t="shared" si="5" ref="O22:O41">IF(OR(L22="P",L22="RP"),$F$17/10,$F$17)</f>
        <v>2</v>
      </c>
      <c r="P22" s="487">
        <f aca="true" t="shared" si="6" ref="P22:P41">IF(L22="P",G22*O22*ROUND(K22/60,2),"--")</f>
        <v>40.832</v>
      </c>
      <c r="Q22" s="488" t="str">
        <f aca="true" t="shared" si="7" ref="Q22:Q41">IF(AND(L22="F",N22="NO"),G22*O22,"--")</f>
        <v>--</v>
      </c>
      <c r="R22" s="489" t="str">
        <f aca="true" t="shared" si="8" ref="R22:R41">IF(L22="F",G22*O22*ROUND(K22/60,2),"--")</f>
        <v>--</v>
      </c>
      <c r="S22" s="313" t="str">
        <f aca="true" t="shared" si="9" ref="S22:S41">IF(AND(L22="R",N22="NO"),G22*O22*M22/100,"--")</f>
        <v>--</v>
      </c>
      <c r="T22" s="984" t="s">
        <v>247</v>
      </c>
      <c r="U22" s="490" t="str">
        <f aca="true" t="shared" si="10" ref="U22:U41">IF(L22="RF",G22*O22*ROUND(K22/60,2),"--")</f>
        <v>--</v>
      </c>
      <c r="V22" s="310" t="str">
        <f aca="true" t="shared" si="11" ref="V22:V41">IF(L22="RP",G22*O22*M22/100*ROUND(K22/60,2),"--")</f>
        <v>--</v>
      </c>
      <c r="W22" s="155" t="str">
        <f aca="true" t="shared" si="12" ref="W22:W41">IF(D22="","","SI")</f>
        <v>SI</v>
      </c>
      <c r="X22" s="421">
        <f aca="true" t="shared" si="13" ref="X22:X41">IF(D22="","",SUM(P22:V22)*IF(W22="SI",1,2)*IF(AND(M22&lt;&gt;"--",L22="RF"),M22/100,1))</f>
        <v>40.832</v>
      </c>
      <c r="Y22" s="6"/>
    </row>
    <row r="23" spans="2:25" s="5" customFormat="1" ht="16.5" customHeight="1">
      <c r="B23" s="50"/>
      <c r="C23" s="289">
        <v>68</v>
      </c>
      <c r="D23" s="484" t="s">
        <v>293</v>
      </c>
      <c r="E23" s="412" t="s">
        <v>338</v>
      </c>
      <c r="F23" s="485">
        <v>245</v>
      </c>
      <c r="G23" s="306">
        <f t="shared" si="0"/>
        <v>78.155</v>
      </c>
      <c r="H23" s="414">
        <v>39796.40902777778</v>
      </c>
      <c r="I23" s="192">
        <v>39796.67847222222</v>
      </c>
      <c r="J23" s="415">
        <f t="shared" si="1"/>
        <v>6.46666666661622</v>
      </c>
      <c r="K23" s="416">
        <f t="shared" si="2"/>
        <v>388</v>
      </c>
      <c r="L23" s="234" t="s">
        <v>250</v>
      </c>
      <c r="M23" s="235" t="str">
        <f t="shared" si="3"/>
        <v>--</v>
      </c>
      <c r="N23" s="155" t="str">
        <f t="shared" si="4"/>
        <v>--</v>
      </c>
      <c r="O23" s="486">
        <f t="shared" si="5"/>
        <v>2</v>
      </c>
      <c r="P23" s="487">
        <f t="shared" si="6"/>
        <v>1011.3257</v>
      </c>
      <c r="Q23" s="488" t="str">
        <f t="shared" si="7"/>
        <v>--</v>
      </c>
      <c r="R23" s="489" t="str">
        <f t="shared" si="8"/>
        <v>--</v>
      </c>
      <c r="S23" s="313" t="str">
        <f t="shared" si="9"/>
        <v>--</v>
      </c>
      <c r="T23" s="984" t="s">
        <v>247</v>
      </c>
      <c r="U23" s="490" t="str">
        <f t="shared" si="10"/>
        <v>--</v>
      </c>
      <c r="V23" s="310" t="str">
        <f t="shared" si="11"/>
        <v>--</v>
      </c>
      <c r="W23" s="155" t="str">
        <f t="shared" si="12"/>
        <v>SI</v>
      </c>
      <c r="X23" s="421">
        <f t="shared" si="13"/>
        <v>1011.3257</v>
      </c>
      <c r="Y23" s="6"/>
    </row>
    <row r="24" spans="2:25" s="5" customFormat="1" ht="16.5" customHeight="1">
      <c r="B24" s="50"/>
      <c r="C24" s="157">
        <v>69</v>
      </c>
      <c r="D24" s="484" t="s">
        <v>293</v>
      </c>
      <c r="E24" s="412" t="s">
        <v>337</v>
      </c>
      <c r="F24" s="485">
        <v>245</v>
      </c>
      <c r="G24" s="306">
        <f t="shared" si="0"/>
        <v>78.155</v>
      </c>
      <c r="H24" s="414">
        <v>39796.40902777778</v>
      </c>
      <c r="I24" s="192">
        <v>39796.67638888889</v>
      </c>
      <c r="J24" s="415">
        <f t="shared" si="1"/>
        <v>6.416666666627862</v>
      </c>
      <c r="K24" s="416">
        <f t="shared" si="2"/>
        <v>385</v>
      </c>
      <c r="L24" s="234" t="s">
        <v>250</v>
      </c>
      <c r="M24" s="235" t="str">
        <f t="shared" si="3"/>
        <v>--</v>
      </c>
      <c r="N24" s="155" t="str">
        <f t="shared" si="4"/>
        <v>--</v>
      </c>
      <c r="O24" s="486">
        <f t="shared" si="5"/>
        <v>2</v>
      </c>
      <c r="P24" s="487">
        <f t="shared" si="6"/>
        <v>1003.5102</v>
      </c>
      <c r="Q24" s="488" t="str">
        <f t="shared" si="7"/>
        <v>--</v>
      </c>
      <c r="R24" s="489" t="str">
        <f t="shared" si="8"/>
        <v>--</v>
      </c>
      <c r="S24" s="313" t="str">
        <f t="shared" si="9"/>
        <v>--</v>
      </c>
      <c r="T24" s="984" t="s">
        <v>247</v>
      </c>
      <c r="U24" s="490" t="str">
        <f t="shared" si="10"/>
        <v>--</v>
      </c>
      <c r="V24" s="310" t="str">
        <f t="shared" si="11"/>
        <v>--</v>
      </c>
      <c r="W24" s="155" t="str">
        <f t="shared" si="12"/>
        <v>SI</v>
      </c>
      <c r="X24" s="421">
        <f t="shared" si="13"/>
        <v>1003.5102</v>
      </c>
      <c r="Y24" s="6"/>
    </row>
    <row r="25" spans="2:25" s="5" customFormat="1" ht="16.5" customHeight="1">
      <c r="B25" s="50"/>
      <c r="C25" s="289">
        <v>70</v>
      </c>
      <c r="D25" s="484" t="s">
        <v>362</v>
      </c>
      <c r="E25" s="412" t="s">
        <v>364</v>
      </c>
      <c r="F25" s="485">
        <v>80</v>
      </c>
      <c r="G25" s="306">
        <f t="shared" si="0"/>
        <v>25.52</v>
      </c>
      <c r="H25" s="414">
        <v>39812.35833333333</v>
      </c>
      <c r="I25" s="192">
        <v>39812.381944444445</v>
      </c>
      <c r="J25" s="415">
        <f t="shared" si="1"/>
        <v>0.56666666676756</v>
      </c>
      <c r="K25" s="416">
        <f t="shared" si="2"/>
        <v>34</v>
      </c>
      <c r="L25" s="234" t="s">
        <v>250</v>
      </c>
      <c r="M25" s="235" t="str">
        <f t="shared" si="3"/>
        <v>--</v>
      </c>
      <c r="N25" s="155" t="str">
        <f t="shared" si="4"/>
        <v>--</v>
      </c>
      <c r="O25" s="486">
        <f t="shared" si="5"/>
        <v>2</v>
      </c>
      <c r="P25" s="487">
        <f t="shared" si="6"/>
        <v>29.092799999999997</v>
      </c>
      <c r="Q25" s="488" t="str">
        <f t="shared" si="7"/>
        <v>--</v>
      </c>
      <c r="R25" s="489" t="str">
        <f t="shared" si="8"/>
        <v>--</v>
      </c>
      <c r="S25" s="313" t="str">
        <f t="shared" si="9"/>
        <v>--</v>
      </c>
      <c r="T25" s="984" t="s">
        <v>247</v>
      </c>
      <c r="U25" s="490" t="str">
        <f t="shared" si="10"/>
        <v>--</v>
      </c>
      <c r="V25" s="310" t="str">
        <f t="shared" si="11"/>
        <v>--</v>
      </c>
      <c r="W25" s="155" t="str">
        <f t="shared" si="12"/>
        <v>SI</v>
      </c>
      <c r="X25" s="421">
        <f t="shared" si="13"/>
        <v>29.092799999999997</v>
      </c>
      <c r="Y25" s="491"/>
    </row>
    <row r="26" spans="2:25" s="5" customFormat="1" ht="16.5" customHeight="1">
      <c r="B26" s="50"/>
      <c r="C26" s="157"/>
      <c r="D26" s="484"/>
      <c r="E26" s="412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4"/>
      </c>
      <c r="O26" s="486">
        <f t="shared" si="5"/>
        <v>20</v>
      </c>
      <c r="P26" s="487" t="str">
        <f t="shared" si="6"/>
        <v>--</v>
      </c>
      <c r="Q26" s="488" t="str">
        <f t="shared" si="7"/>
        <v>--</v>
      </c>
      <c r="R26" s="489" t="str">
        <f t="shared" si="8"/>
        <v>--</v>
      </c>
      <c r="S26" s="313" t="str">
        <f t="shared" si="9"/>
        <v>--</v>
      </c>
      <c r="T26" s="314" t="str">
        <f aca="true" t="shared" si="14" ref="T26:T41">IF(L26="R",G26*O26*M26/100*ROUND(K26/60,2),"--")</f>
        <v>--</v>
      </c>
      <c r="U26" s="490" t="str">
        <f t="shared" si="10"/>
        <v>--</v>
      </c>
      <c r="V26" s="310" t="str">
        <f t="shared" si="11"/>
        <v>--</v>
      </c>
      <c r="W26" s="155">
        <f t="shared" si="12"/>
      </c>
      <c r="X26" s="421">
        <f t="shared" si="13"/>
      </c>
      <c r="Y26" s="491"/>
    </row>
    <row r="27" spans="2:25" s="5" customFormat="1" ht="16.5" customHeight="1">
      <c r="B27" s="50"/>
      <c r="C27" s="289"/>
      <c r="D27" s="484"/>
      <c r="E27" s="412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4"/>
      </c>
      <c r="O27" s="486">
        <f t="shared" si="5"/>
        <v>20</v>
      </c>
      <c r="P27" s="487" t="str">
        <f t="shared" si="6"/>
        <v>--</v>
      </c>
      <c r="Q27" s="488" t="str">
        <f t="shared" si="7"/>
        <v>--</v>
      </c>
      <c r="R27" s="489" t="str">
        <f t="shared" si="8"/>
        <v>--</v>
      </c>
      <c r="S27" s="313" t="str">
        <f t="shared" si="9"/>
        <v>--</v>
      </c>
      <c r="T27" s="314" t="str">
        <f t="shared" si="14"/>
        <v>--</v>
      </c>
      <c r="U27" s="490" t="str">
        <f t="shared" si="10"/>
        <v>--</v>
      </c>
      <c r="V27" s="310" t="str">
        <f t="shared" si="11"/>
        <v>--</v>
      </c>
      <c r="W27" s="155">
        <f t="shared" si="12"/>
      </c>
      <c r="X27" s="421">
        <f t="shared" si="13"/>
      </c>
      <c r="Y27" s="491"/>
    </row>
    <row r="28" spans="2:25" s="5" customFormat="1" ht="16.5" customHeight="1">
      <c r="B28" s="50"/>
      <c r="C28" s="157"/>
      <c r="D28" s="484"/>
      <c r="E28" s="412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4"/>
      </c>
      <c r="O28" s="486">
        <f t="shared" si="5"/>
        <v>20</v>
      </c>
      <c r="P28" s="487" t="str">
        <f t="shared" si="6"/>
        <v>--</v>
      </c>
      <c r="Q28" s="488" t="str">
        <f t="shared" si="7"/>
        <v>--</v>
      </c>
      <c r="R28" s="489" t="str">
        <f t="shared" si="8"/>
        <v>--</v>
      </c>
      <c r="S28" s="313" t="str">
        <f t="shared" si="9"/>
        <v>--</v>
      </c>
      <c r="T28" s="314" t="str">
        <f t="shared" si="14"/>
        <v>--</v>
      </c>
      <c r="U28" s="490" t="str">
        <f t="shared" si="10"/>
        <v>--</v>
      </c>
      <c r="V28" s="310" t="str">
        <f t="shared" si="11"/>
        <v>--</v>
      </c>
      <c r="W28" s="155">
        <f t="shared" si="12"/>
      </c>
      <c r="X28" s="421">
        <f t="shared" si="13"/>
      </c>
      <c r="Y28" s="491"/>
    </row>
    <row r="29" spans="2:25" s="5" customFormat="1" ht="16.5" customHeight="1">
      <c r="B29" s="50"/>
      <c r="C29" s="289"/>
      <c r="D29" s="484"/>
      <c r="E29" s="412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4"/>
      </c>
      <c r="O29" s="486">
        <f t="shared" si="5"/>
        <v>20</v>
      </c>
      <c r="P29" s="487" t="str">
        <f t="shared" si="6"/>
        <v>--</v>
      </c>
      <c r="Q29" s="488" t="str">
        <f t="shared" si="7"/>
        <v>--</v>
      </c>
      <c r="R29" s="489" t="str">
        <f t="shared" si="8"/>
        <v>--</v>
      </c>
      <c r="S29" s="313" t="str">
        <f t="shared" si="9"/>
        <v>--</v>
      </c>
      <c r="T29" s="314" t="str">
        <f t="shared" si="14"/>
        <v>--</v>
      </c>
      <c r="U29" s="490" t="str">
        <f t="shared" si="10"/>
        <v>--</v>
      </c>
      <c r="V29" s="310" t="str">
        <f t="shared" si="11"/>
        <v>--</v>
      </c>
      <c r="W29" s="155">
        <f t="shared" si="12"/>
      </c>
      <c r="X29" s="421">
        <f t="shared" si="13"/>
      </c>
      <c r="Y29" s="491"/>
    </row>
    <row r="30" spans="2:25" s="5" customFormat="1" ht="16.5" customHeight="1">
      <c r="B30" s="50"/>
      <c r="C30" s="157"/>
      <c r="D30" s="484"/>
      <c r="E30" s="412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4"/>
      </c>
      <c r="O30" s="486">
        <f t="shared" si="5"/>
        <v>20</v>
      </c>
      <c r="P30" s="487" t="str">
        <f t="shared" si="6"/>
        <v>--</v>
      </c>
      <c r="Q30" s="488" t="str">
        <f t="shared" si="7"/>
        <v>--</v>
      </c>
      <c r="R30" s="489" t="str">
        <f t="shared" si="8"/>
        <v>--</v>
      </c>
      <c r="S30" s="313" t="str">
        <f t="shared" si="9"/>
        <v>--</v>
      </c>
      <c r="T30" s="314" t="str">
        <f t="shared" si="14"/>
        <v>--</v>
      </c>
      <c r="U30" s="490" t="str">
        <f t="shared" si="10"/>
        <v>--</v>
      </c>
      <c r="V30" s="310" t="str">
        <f t="shared" si="11"/>
        <v>--</v>
      </c>
      <c r="W30" s="155">
        <f t="shared" si="12"/>
      </c>
      <c r="X30" s="421">
        <f t="shared" si="13"/>
      </c>
      <c r="Y30" s="491"/>
    </row>
    <row r="31" spans="2:25" s="5" customFormat="1" ht="16.5" customHeight="1">
      <c r="B31" s="50"/>
      <c r="C31" s="289"/>
      <c r="D31" s="484"/>
      <c r="E31" s="412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4"/>
      </c>
      <c r="O31" s="486">
        <f t="shared" si="5"/>
        <v>20</v>
      </c>
      <c r="P31" s="487" t="str">
        <f t="shared" si="6"/>
        <v>--</v>
      </c>
      <c r="Q31" s="488" t="str">
        <f t="shared" si="7"/>
        <v>--</v>
      </c>
      <c r="R31" s="489" t="str">
        <f t="shared" si="8"/>
        <v>--</v>
      </c>
      <c r="S31" s="313" t="str">
        <f t="shared" si="9"/>
        <v>--</v>
      </c>
      <c r="T31" s="314" t="str">
        <f t="shared" si="14"/>
        <v>--</v>
      </c>
      <c r="U31" s="490" t="str">
        <f t="shared" si="10"/>
        <v>--</v>
      </c>
      <c r="V31" s="310" t="str">
        <f t="shared" si="11"/>
        <v>--</v>
      </c>
      <c r="W31" s="155">
        <f t="shared" si="12"/>
      </c>
      <c r="X31" s="421">
        <f t="shared" si="13"/>
      </c>
      <c r="Y31" s="6"/>
    </row>
    <row r="32" spans="2:25" s="5" customFormat="1" ht="16.5" customHeight="1">
      <c r="B32" s="50"/>
      <c r="C32" s="157"/>
      <c r="D32" s="484"/>
      <c r="E32" s="412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4"/>
      </c>
      <c r="O32" s="486">
        <f t="shared" si="5"/>
        <v>20</v>
      </c>
      <c r="P32" s="487" t="str">
        <f t="shared" si="6"/>
        <v>--</v>
      </c>
      <c r="Q32" s="488" t="str">
        <f t="shared" si="7"/>
        <v>--</v>
      </c>
      <c r="R32" s="489" t="str">
        <f t="shared" si="8"/>
        <v>--</v>
      </c>
      <c r="S32" s="313" t="str">
        <f t="shared" si="9"/>
        <v>--</v>
      </c>
      <c r="T32" s="314" t="str">
        <f t="shared" si="14"/>
        <v>--</v>
      </c>
      <c r="U32" s="490" t="str">
        <f t="shared" si="10"/>
        <v>--</v>
      </c>
      <c r="V32" s="310" t="str">
        <f t="shared" si="11"/>
        <v>--</v>
      </c>
      <c r="W32" s="155">
        <f t="shared" si="12"/>
      </c>
      <c r="X32" s="421">
        <f t="shared" si="13"/>
      </c>
      <c r="Y32" s="6"/>
    </row>
    <row r="33" spans="2:25" s="5" customFormat="1" ht="16.5" customHeight="1">
      <c r="B33" s="50"/>
      <c r="C33" s="289"/>
      <c r="D33" s="484"/>
      <c r="E33" s="412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4"/>
      </c>
      <c r="O33" s="486">
        <f t="shared" si="5"/>
        <v>20</v>
      </c>
      <c r="P33" s="487" t="str">
        <f t="shared" si="6"/>
        <v>--</v>
      </c>
      <c r="Q33" s="488" t="str">
        <f t="shared" si="7"/>
        <v>--</v>
      </c>
      <c r="R33" s="489" t="str">
        <f t="shared" si="8"/>
        <v>--</v>
      </c>
      <c r="S33" s="313" t="str">
        <f t="shared" si="9"/>
        <v>--</v>
      </c>
      <c r="T33" s="314" t="str">
        <f t="shared" si="14"/>
        <v>--</v>
      </c>
      <c r="U33" s="490" t="str">
        <f t="shared" si="10"/>
        <v>--</v>
      </c>
      <c r="V33" s="310" t="str">
        <f t="shared" si="11"/>
        <v>--</v>
      </c>
      <c r="W33" s="155">
        <f t="shared" si="12"/>
      </c>
      <c r="X33" s="421">
        <f t="shared" si="13"/>
      </c>
      <c r="Y33" s="6"/>
    </row>
    <row r="34" spans="2:25" s="5" customFormat="1" ht="16.5" customHeight="1">
      <c r="B34" s="50"/>
      <c r="C34" s="157"/>
      <c r="D34" s="484"/>
      <c r="E34" s="412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4"/>
      </c>
      <c r="O34" s="486">
        <f t="shared" si="5"/>
        <v>20</v>
      </c>
      <c r="P34" s="487" t="str">
        <f t="shared" si="6"/>
        <v>--</v>
      </c>
      <c r="Q34" s="488" t="str">
        <f t="shared" si="7"/>
        <v>--</v>
      </c>
      <c r="R34" s="489" t="str">
        <f t="shared" si="8"/>
        <v>--</v>
      </c>
      <c r="S34" s="313" t="str">
        <f t="shared" si="9"/>
        <v>--</v>
      </c>
      <c r="T34" s="314" t="str">
        <f t="shared" si="14"/>
        <v>--</v>
      </c>
      <c r="U34" s="490" t="str">
        <f t="shared" si="10"/>
        <v>--</v>
      </c>
      <c r="V34" s="310" t="str">
        <f t="shared" si="11"/>
        <v>--</v>
      </c>
      <c r="W34" s="155">
        <f t="shared" si="12"/>
      </c>
      <c r="X34" s="421">
        <f t="shared" si="13"/>
      </c>
      <c r="Y34" s="6"/>
    </row>
    <row r="35" spans="2:25" s="5" customFormat="1" ht="16.5" customHeight="1">
      <c r="B35" s="50"/>
      <c r="C35" s="289"/>
      <c r="D35" s="484"/>
      <c r="E35" s="412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4"/>
      </c>
      <c r="O35" s="486">
        <f t="shared" si="5"/>
        <v>20</v>
      </c>
      <c r="P35" s="487" t="str">
        <f t="shared" si="6"/>
        <v>--</v>
      </c>
      <c r="Q35" s="488" t="str">
        <f t="shared" si="7"/>
        <v>--</v>
      </c>
      <c r="R35" s="489" t="str">
        <f t="shared" si="8"/>
        <v>--</v>
      </c>
      <c r="S35" s="313" t="str">
        <f t="shared" si="9"/>
        <v>--</v>
      </c>
      <c r="T35" s="314" t="str">
        <f t="shared" si="14"/>
        <v>--</v>
      </c>
      <c r="U35" s="490" t="str">
        <f t="shared" si="10"/>
        <v>--</v>
      </c>
      <c r="V35" s="310" t="str">
        <f t="shared" si="11"/>
        <v>--</v>
      </c>
      <c r="W35" s="155">
        <f t="shared" si="12"/>
      </c>
      <c r="X35" s="421">
        <f t="shared" si="13"/>
      </c>
      <c r="Y35" s="6"/>
    </row>
    <row r="36" spans="2:25" s="5" customFormat="1" ht="16.5" customHeight="1">
      <c r="B36" s="50"/>
      <c r="C36" s="157"/>
      <c r="D36" s="484"/>
      <c r="E36" s="412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4"/>
      </c>
      <c r="O36" s="486">
        <f t="shared" si="5"/>
        <v>20</v>
      </c>
      <c r="P36" s="487" t="str">
        <f t="shared" si="6"/>
        <v>--</v>
      </c>
      <c r="Q36" s="488" t="str">
        <f t="shared" si="7"/>
        <v>--</v>
      </c>
      <c r="R36" s="489" t="str">
        <f t="shared" si="8"/>
        <v>--</v>
      </c>
      <c r="S36" s="313" t="str">
        <f t="shared" si="9"/>
        <v>--</v>
      </c>
      <c r="T36" s="314" t="str">
        <f t="shared" si="14"/>
        <v>--</v>
      </c>
      <c r="U36" s="490" t="str">
        <f t="shared" si="10"/>
        <v>--</v>
      </c>
      <c r="V36" s="310" t="str">
        <f t="shared" si="11"/>
        <v>--</v>
      </c>
      <c r="W36" s="155">
        <f t="shared" si="12"/>
      </c>
      <c r="X36" s="421">
        <f t="shared" si="13"/>
      </c>
      <c r="Y36" s="6"/>
    </row>
    <row r="37" spans="2:25" s="5" customFormat="1" ht="16.5" customHeight="1">
      <c r="B37" s="50"/>
      <c r="C37" s="289"/>
      <c r="D37" s="484"/>
      <c r="E37" s="412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4"/>
      </c>
      <c r="O37" s="486">
        <f t="shared" si="5"/>
        <v>20</v>
      </c>
      <c r="P37" s="487" t="str">
        <f t="shared" si="6"/>
        <v>--</v>
      </c>
      <c r="Q37" s="488" t="str">
        <f t="shared" si="7"/>
        <v>--</v>
      </c>
      <c r="R37" s="489" t="str">
        <f t="shared" si="8"/>
        <v>--</v>
      </c>
      <c r="S37" s="313" t="str">
        <f t="shared" si="9"/>
        <v>--</v>
      </c>
      <c r="T37" s="314" t="str">
        <f t="shared" si="14"/>
        <v>--</v>
      </c>
      <c r="U37" s="490" t="str">
        <f t="shared" si="10"/>
        <v>--</v>
      </c>
      <c r="V37" s="310" t="str">
        <f t="shared" si="11"/>
        <v>--</v>
      </c>
      <c r="W37" s="155">
        <f t="shared" si="12"/>
      </c>
      <c r="X37" s="421">
        <f t="shared" si="13"/>
      </c>
      <c r="Y37" s="6"/>
    </row>
    <row r="38" spans="2:25" s="5" customFormat="1" ht="16.5" customHeight="1">
      <c r="B38" s="50"/>
      <c r="C38" s="157"/>
      <c r="D38" s="484"/>
      <c r="E38" s="412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4"/>
      </c>
      <c r="O38" s="486">
        <f t="shared" si="5"/>
        <v>20</v>
      </c>
      <c r="P38" s="487" t="str">
        <f t="shared" si="6"/>
        <v>--</v>
      </c>
      <c r="Q38" s="488" t="str">
        <f t="shared" si="7"/>
        <v>--</v>
      </c>
      <c r="R38" s="489" t="str">
        <f t="shared" si="8"/>
        <v>--</v>
      </c>
      <c r="S38" s="313" t="str">
        <f t="shared" si="9"/>
        <v>--</v>
      </c>
      <c r="T38" s="314" t="str">
        <f t="shared" si="14"/>
        <v>--</v>
      </c>
      <c r="U38" s="490" t="str">
        <f t="shared" si="10"/>
        <v>--</v>
      </c>
      <c r="V38" s="310" t="str">
        <f t="shared" si="11"/>
        <v>--</v>
      </c>
      <c r="W38" s="155">
        <f t="shared" si="12"/>
      </c>
      <c r="X38" s="421">
        <f t="shared" si="13"/>
      </c>
      <c r="Y38" s="6"/>
    </row>
    <row r="39" spans="2:25" s="5" customFormat="1" ht="16.5" customHeight="1">
      <c r="B39" s="50"/>
      <c r="C39" s="289"/>
      <c r="D39" s="484"/>
      <c r="E39" s="412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4"/>
      </c>
      <c r="O39" s="486">
        <f t="shared" si="5"/>
        <v>20</v>
      </c>
      <c r="P39" s="487" t="str">
        <f t="shared" si="6"/>
        <v>--</v>
      </c>
      <c r="Q39" s="488" t="str">
        <f t="shared" si="7"/>
        <v>--</v>
      </c>
      <c r="R39" s="489" t="str">
        <f t="shared" si="8"/>
        <v>--</v>
      </c>
      <c r="S39" s="313" t="str">
        <f t="shared" si="9"/>
        <v>--</v>
      </c>
      <c r="T39" s="314" t="str">
        <f t="shared" si="14"/>
        <v>--</v>
      </c>
      <c r="U39" s="490" t="str">
        <f t="shared" si="10"/>
        <v>--</v>
      </c>
      <c r="V39" s="310" t="str">
        <f t="shared" si="11"/>
        <v>--</v>
      </c>
      <c r="W39" s="155">
        <f t="shared" si="12"/>
      </c>
      <c r="X39" s="421">
        <f t="shared" si="13"/>
      </c>
      <c r="Y39" s="6"/>
    </row>
    <row r="40" spans="2:25" s="5" customFormat="1" ht="16.5" customHeight="1">
      <c r="B40" s="50"/>
      <c r="C40" s="157"/>
      <c r="D40" s="484"/>
      <c r="E40" s="412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4"/>
      </c>
      <c r="O40" s="486">
        <f t="shared" si="5"/>
        <v>20</v>
      </c>
      <c r="P40" s="487" t="str">
        <f t="shared" si="6"/>
        <v>--</v>
      </c>
      <c r="Q40" s="488" t="str">
        <f t="shared" si="7"/>
        <v>--</v>
      </c>
      <c r="R40" s="489" t="str">
        <f t="shared" si="8"/>
        <v>--</v>
      </c>
      <c r="S40" s="313" t="str">
        <f t="shared" si="9"/>
        <v>--</v>
      </c>
      <c r="T40" s="314" t="str">
        <f t="shared" si="14"/>
        <v>--</v>
      </c>
      <c r="U40" s="490" t="str">
        <f t="shared" si="10"/>
        <v>--</v>
      </c>
      <c r="V40" s="310" t="str">
        <f t="shared" si="11"/>
        <v>--</v>
      </c>
      <c r="W40" s="155">
        <f t="shared" si="12"/>
      </c>
      <c r="X40" s="421">
        <f t="shared" si="13"/>
      </c>
      <c r="Y40" s="6"/>
    </row>
    <row r="41" spans="2:25" s="5" customFormat="1" ht="16.5" customHeight="1">
      <c r="B41" s="50"/>
      <c r="C41" s="289"/>
      <c r="D41" s="484"/>
      <c r="E41" s="412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4"/>
      </c>
      <c r="O41" s="486">
        <f t="shared" si="5"/>
        <v>20</v>
      </c>
      <c r="P41" s="487" t="str">
        <f t="shared" si="6"/>
        <v>--</v>
      </c>
      <c r="Q41" s="488" t="str">
        <f t="shared" si="7"/>
        <v>--</v>
      </c>
      <c r="R41" s="489" t="str">
        <f t="shared" si="8"/>
        <v>--</v>
      </c>
      <c r="S41" s="313" t="str">
        <f t="shared" si="9"/>
        <v>--</v>
      </c>
      <c r="T41" s="314" t="str">
        <f t="shared" si="14"/>
        <v>--</v>
      </c>
      <c r="U41" s="490" t="str">
        <f t="shared" si="10"/>
        <v>--</v>
      </c>
      <c r="V41" s="310" t="str">
        <f t="shared" si="11"/>
        <v>--</v>
      </c>
      <c r="W41" s="155">
        <f t="shared" si="12"/>
      </c>
      <c r="X41" s="421">
        <f t="shared" si="13"/>
      </c>
      <c r="Y41" s="6"/>
    </row>
    <row r="42" spans="2:25" s="5" customFormat="1" ht="16.5" customHeight="1" thickBot="1">
      <c r="B42" s="50"/>
      <c r="C42" s="157"/>
      <c r="D42" s="492"/>
      <c r="E42" s="149"/>
      <c r="F42" s="493"/>
      <c r="G42" s="132"/>
      <c r="H42" s="422"/>
      <c r="I42" s="422"/>
      <c r="J42" s="423"/>
      <c r="K42" s="423"/>
      <c r="L42" s="422"/>
      <c r="M42" s="197"/>
      <c r="N42" s="154"/>
      <c r="O42" s="494"/>
      <c r="P42" s="495"/>
      <c r="Q42" s="496"/>
      <c r="R42" s="497"/>
      <c r="S42" s="331"/>
      <c r="T42" s="332"/>
      <c r="U42" s="498"/>
      <c r="V42" s="498"/>
      <c r="W42" s="154"/>
      <c r="X42" s="499"/>
      <c r="Y42" s="6"/>
    </row>
    <row r="43" spans="2:25" s="5" customFormat="1" ht="16.5" customHeight="1" thickBot="1" thickTop="1">
      <c r="B43" s="50"/>
      <c r="C43" s="128" t="s">
        <v>25</v>
      </c>
      <c r="D43" s="129" t="s">
        <v>356</v>
      </c>
      <c r="G43" s="4"/>
      <c r="H43" s="4"/>
      <c r="I43" s="4"/>
      <c r="J43" s="4"/>
      <c r="K43" s="4"/>
      <c r="L43" s="4"/>
      <c r="M43" s="4"/>
      <c r="N43" s="4"/>
      <c r="O43" s="4"/>
      <c r="P43" s="500">
        <f aca="true" t="shared" si="15" ref="P43:V43">SUM(P20:P42)</f>
        <v>2084.7607</v>
      </c>
      <c r="Q43" s="501">
        <f t="shared" si="15"/>
        <v>0</v>
      </c>
      <c r="R43" s="502">
        <f t="shared" si="15"/>
        <v>0</v>
      </c>
      <c r="S43" s="341">
        <f t="shared" si="15"/>
        <v>0</v>
      </c>
      <c r="T43" s="342">
        <f t="shared" si="15"/>
        <v>0</v>
      </c>
      <c r="U43" s="503">
        <f t="shared" si="15"/>
        <v>0</v>
      </c>
      <c r="V43" s="503">
        <f t="shared" si="15"/>
        <v>0</v>
      </c>
      <c r="X43" s="101">
        <f>ROUND(SUM(X20:X42),2)</f>
        <v>72518.46</v>
      </c>
      <c r="Y43" s="504"/>
    </row>
    <row r="44" spans="2:25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4:27" ht="16.5" customHeight="1" thickTop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4:27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4:27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4:27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4:27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4:27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4:27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4:27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4:27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4:27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4:27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4:27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4:27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4:27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4:27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4:27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4:27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4:27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4:27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4:27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4:27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4:27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4:27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4:27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4:27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4:27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4:27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4:27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4:27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4:27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4:27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4:27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4:27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4:27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4:27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4:27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4:27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4:27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4:27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4:27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4:27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4:27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4:27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4:27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4:27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4:27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4:27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4:27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4:27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4:27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4:27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4:27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4:27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4:27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4:27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4:27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4:27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4:27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4:27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4:27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4:27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4:27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4:27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4:27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4:27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4:27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4:27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4:27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4:27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4:27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4:27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4:27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4:27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4:27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4:27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4:27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4:27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4:27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4:27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4:27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4:27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4:27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4:27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4:27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4:27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4:27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4:27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4:27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4:27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4:27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4:27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4:27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4:27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4:27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4:27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4:27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4:27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4:27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4:27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4:27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4:27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4:27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4:27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4:27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4:27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4:27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4:27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4:27" ht="16.5" customHeight="1">
      <c r="D152" s="179"/>
      <c r="E152" s="179"/>
      <c r="F152" s="179"/>
      <c r="Z152" s="179"/>
      <c r="AA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Y159"/>
  <sheetViews>
    <sheetView zoomScale="75" zoomScaleNormal="75" workbookViewId="0" topLeftCell="C10">
      <selection activeCell="K23" sqref="K2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28125" style="0" bestFit="1" customWidth="1"/>
    <col min="15" max="15" width="12.7109375" style="0" hidden="1" customWidth="1"/>
    <col min="16" max="16" width="13.140625" style="0" hidden="1" customWidth="1"/>
    <col min="17" max="17" width="12.28125" style="0" hidden="1" customWidth="1"/>
    <col min="18" max="18" width="5.7109375" style="0" hidden="1" customWidth="1"/>
    <col min="19" max="19" width="12.2812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435" t="str">
        <f>+'TOT-1208'!B2</f>
        <v>ANEXO I al Memorándum D.T.E.E. N°   770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437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/>
      <c r="W11" s="6"/>
    </row>
    <row r="12" spans="2:23" s="29" customFormat="1" ht="20.25">
      <c r="B12" s="79"/>
      <c r="D12" s="11" t="s">
        <v>95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'TOT-1208'!B14</f>
        <v>Desde el 01 al 31 de diciembre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41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4"/>
      <c r="E16" s="4"/>
      <c r="F16" s="4"/>
      <c r="G16" s="4"/>
      <c r="H16" s="4"/>
      <c r="I16" s="4"/>
      <c r="J16" s="1056" t="s">
        <v>72</v>
      </c>
      <c r="K16" s="1057"/>
      <c r="L16" s="1057"/>
      <c r="M16" s="1057"/>
      <c r="N16" s="1058"/>
      <c r="O16" s="206" t="b">
        <f>AND(N17&lt;=0.82,N18&lt;=1.17)</f>
        <v>1</v>
      </c>
      <c r="P16" s="206" t="b">
        <f>AND(N17&gt;=1.17,N18&gt;=1.7)</f>
        <v>0</v>
      </c>
      <c r="Q16" s="207">
        <f>((N18/1.17)+(N17/0.82))*0.852446393-1.454892785</f>
        <v>-0.43113967470752534</v>
      </c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117" t="s">
        <v>82</v>
      </c>
      <c r="E17" s="442"/>
      <c r="F17" s="921">
        <v>0.245</v>
      </c>
      <c r="G17" s="377"/>
      <c r="H17"/>
      <c r="I17" s="4"/>
      <c r="J17" s="209" t="s">
        <v>73</v>
      </c>
      <c r="K17" s="210"/>
      <c r="L17" s="210"/>
      <c r="M17" s="210"/>
      <c r="N17" s="211">
        <v>0.34</v>
      </c>
      <c r="O17" s="212"/>
      <c r="P17" s="206"/>
      <c r="Q17" s="207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4"/>
      <c r="D18" s="443" t="s">
        <v>26</v>
      </c>
      <c r="E18" s="444"/>
      <c r="F18" s="922">
        <v>20</v>
      </c>
      <c r="G18" s="377"/>
      <c r="H18" s="142" t="s">
        <v>74</v>
      </c>
      <c r="I18" s="213">
        <f>4*N19</f>
        <v>1</v>
      </c>
      <c r="J18" s="209" t="s">
        <v>75</v>
      </c>
      <c r="K18" s="210"/>
      <c r="L18" s="210"/>
      <c r="M18" s="210"/>
      <c r="N18" s="211">
        <v>0.92</v>
      </c>
      <c r="O18" s="212"/>
      <c r="P18" s="206"/>
      <c r="Q18" s="207"/>
      <c r="R18" s="116"/>
      <c r="S18" s="116"/>
      <c r="T18" s="116"/>
      <c r="U18" s="116"/>
      <c r="V18" s="116"/>
      <c r="W18" s="6"/>
    </row>
    <row r="19" spans="2:23" s="5" customFormat="1" ht="16.5" customHeight="1" thickBot="1" thickTop="1">
      <c r="B19" s="50"/>
      <c r="C19" s="4"/>
      <c r="D19" s="505"/>
      <c r="E19" s="214"/>
      <c r="F19" s="506"/>
      <c r="G19" s="377"/>
      <c r="H19" s="142"/>
      <c r="I19" s="213"/>
      <c r="J19" s="209" t="s">
        <v>76</v>
      </c>
      <c r="K19" s="210"/>
      <c r="L19" s="210"/>
      <c r="M19" s="210"/>
      <c r="N19" s="211">
        <f>IF(O16=TRUE,0.25,IF(P16=TRUE,1,Q16))</f>
        <v>0.25</v>
      </c>
      <c r="O19" s="216"/>
      <c r="P19" s="216"/>
      <c r="Q19" s="216"/>
      <c r="R19" s="116"/>
      <c r="S19" s="116"/>
      <c r="T19" s="116"/>
      <c r="U19" s="116"/>
      <c r="V19" s="116"/>
      <c r="W19" s="6"/>
    </row>
    <row r="20" spans="2:23" s="5" customFormat="1" ht="16.5" customHeight="1" thickBot="1" thickTop="1">
      <c r="B20" s="50"/>
      <c r="C20" s="66"/>
      <c r="D20" s="445"/>
      <c r="E20" s="446"/>
      <c r="F20" s="446"/>
      <c r="G20" s="198"/>
      <c r="H20" s="198"/>
      <c r="I20" s="198"/>
      <c r="J20" s="198"/>
      <c r="K20" s="198"/>
      <c r="L20" s="198"/>
      <c r="M20" s="198"/>
      <c r="N20" s="198"/>
      <c r="O20" s="447"/>
      <c r="P20" s="448"/>
      <c r="Q20" s="449"/>
      <c r="R20" s="449"/>
      <c r="S20" s="449"/>
      <c r="T20" s="450"/>
      <c r="U20" s="450"/>
      <c r="V20" s="451"/>
      <c r="W20" s="6"/>
    </row>
    <row r="21" spans="2:23" s="5" customFormat="1" ht="33.75" customHeight="1" thickBot="1" thickTop="1">
      <c r="B21" s="50"/>
      <c r="C21" s="84" t="s">
        <v>13</v>
      </c>
      <c r="D21" s="86" t="s">
        <v>27</v>
      </c>
      <c r="E21" s="85" t="s">
        <v>28</v>
      </c>
      <c r="F21" s="452" t="s">
        <v>29</v>
      </c>
      <c r="G21" s="130" t="s">
        <v>16</v>
      </c>
      <c r="H21" s="85" t="s">
        <v>17</v>
      </c>
      <c r="I21" s="85" t="s">
        <v>18</v>
      </c>
      <c r="J21" s="86" t="s">
        <v>36</v>
      </c>
      <c r="K21" s="86" t="s">
        <v>31</v>
      </c>
      <c r="L21" s="88" t="s">
        <v>19</v>
      </c>
      <c r="M21" s="88" t="s">
        <v>58</v>
      </c>
      <c r="N21" s="85" t="s">
        <v>32</v>
      </c>
      <c r="O21" s="130" t="s">
        <v>96</v>
      </c>
      <c r="P21" s="507" t="s">
        <v>71</v>
      </c>
      <c r="Q21" s="508" t="s">
        <v>94</v>
      </c>
      <c r="R21" s="509"/>
      <c r="S21" s="510" t="s">
        <v>22</v>
      </c>
      <c r="T21" s="133" t="s">
        <v>80</v>
      </c>
      <c r="U21" s="346" t="s">
        <v>24</v>
      </c>
      <c r="V21" s="457" t="s">
        <v>24</v>
      </c>
      <c r="W21" s="6"/>
    </row>
    <row r="22" spans="2:23" s="5" customFormat="1" ht="16.5" customHeight="1" thickTop="1">
      <c r="B22" s="50"/>
      <c r="C22" s="458"/>
      <c r="D22" s="458"/>
      <c r="E22" s="458"/>
      <c r="F22" s="458"/>
      <c r="G22" s="347"/>
      <c r="H22" s="460"/>
      <c r="I22" s="460"/>
      <c r="J22" s="458"/>
      <c r="K22" s="458"/>
      <c r="L22" s="459"/>
      <c r="M22" s="187"/>
      <c r="N22" s="458"/>
      <c r="O22" s="277"/>
      <c r="P22" s="511"/>
      <c r="Q22" s="512"/>
      <c r="R22" s="513"/>
      <c r="S22" s="514"/>
      <c r="T22" s="515"/>
      <c r="U22" s="348"/>
      <c r="V22" s="467"/>
      <c r="W22" s="6"/>
    </row>
    <row r="23" spans="2:23" s="5" customFormat="1" ht="16.5" customHeight="1">
      <c r="B23" s="50"/>
      <c r="C23" s="289"/>
      <c r="D23" s="470"/>
      <c r="E23" s="470"/>
      <c r="F23" s="470"/>
      <c r="G23" s="471"/>
      <c r="H23" s="472"/>
      <c r="I23" s="473"/>
      <c r="J23" s="474"/>
      <c r="K23" s="475"/>
      <c r="L23" s="476"/>
      <c r="M23" s="188"/>
      <c r="N23" s="477"/>
      <c r="O23" s="516"/>
      <c r="P23" s="517"/>
      <c r="Q23" s="518"/>
      <c r="R23" s="519"/>
      <c r="S23" s="520"/>
      <c r="T23" s="521"/>
      <c r="U23" s="522"/>
      <c r="V23" s="483"/>
      <c r="W23" s="6"/>
    </row>
    <row r="24" spans="2:23" s="5" customFormat="1" ht="16.5" customHeight="1">
      <c r="B24" s="50"/>
      <c r="C24" s="157">
        <v>72</v>
      </c>
      <c r="D24" s="485" t="s">
        <v>340</v>
      </c>
      <c r="E24" s="485" t="s">
        <v>341</v>
      </c>
      <c r="F24" s="485">
        <v>80</v>
      </c>
      <c r="G24" s="306">
        <f aca="true" t="shared" si="0" ref="G24:G43">F24*$F$17</f>
        <v>19.6</v>
      </c>
      <c r="H24" s="414">
        <v>39804.521527777775</v>
      </c>
      <c r="I24" s="192">
        <v>39804.643055555556</v>
      </c>
      <c r="J24" s="415">
        <f aca="true" t="shared" si="1" ref="J24:J43">IF(D24="","",(I24-H24)*24)</f>
        <v>2.916666666744277</v>
      </c>
      <c r="K24" s="416">
        <f aca="true" t="shared" si="2" ref="K24:K43">IF(D24="","",ROUND((I24-H24)*24*60,0))</f>
        <v>175</v>
      </c>
      <c r="L24" s="234" t="s">
        <v>250</v>
      </c>
      <c r="M24" s="235" t="str">
        <f aca="true" t="shared" si="3" ref="M24:M43">IF(D24="","","--")</f>
        <v>--</v>
      </c>
      <c r="N24" s="155" t="str">
        <f>IF(D24="","",IF(OR(L24="P",L24="RP"),"--","NO"))</f>
        <v>--</v>
      </c>
      <c r="O24" s="523">
        <f aca="true" t="shared" si="4" ref="O24:O43">IF(L24="P",$F$18*0.1,$F$18)</f>
        <v>2</v>
      </c>
      <c r="P24" s="524">
        <f aca="true" t="shared" si="5" ref="P24:P43">IF(L24="P",G24*O24*ROUND(K24/60,2),"--")</f>
        <v>114.464</v>
      </c>
      <c r="Q24" s="525" t="str">
        <f aca="true" t="shared" si="6" ref="Q24:Q43">IF(AND(L24="F",N24="NO"),G24*O24,"--")</f>
        <v>--</v>
      </c>
      <c r="R24" s="526" t="str">
        <f aca="true" t="shared" si="7" ref="R24:R43">IF(L24="F",G24*O24*ROUND(K24/60,2),"--")</f>
        <v>--</v>
      </c>
      <c r="S24" s="527" t="str">
        <f aca="true" t="shared" si="8" ref="S24:S43">IF(L24="RF",G24*O24*ROUND(K24/60,2),"--")</f>
        <v>--</v>
      </c>
      <c r="T24" s="528" t="s">
        <v>247</v>
      </c>
      <c r="U24" s="529">
        <f aca="true" t="shared" si="9" ref="U24:U43">SUM(P24:S24)*IF(T24="SI",1,2)</f>
        <v>114.464</v>
      </c>
      <c r="V24" s="421">
        <f aca="true" t="shared" si="10" ref="V24:V43">IF(D24="","",U24*$I$18*IF(AND(M22&lt;&gt;"--",L22="RF"),M22/100,1))</f>
        <v>114.464</v>
      </c>
      <c r="W24" s="6"/>
    </row>
    <row r="25" spans="2:23" s="5" customFormat="1" ht="16.5" customHeight="1">
      <c r="B25" s="50"/>
      <c r="C25" s="289">
        <v>73</v>
      </c>
      <c r="D25" s="485" t="s">
        <v>340</v>
      </c>
      <c r="E25" s="485" t="s">
        <v>341</v>
      </c>
      <c r="F25" s="485">
        <v>80</v>
      </c>
      <c r="G25" s="306">
        <f t="shared" si="0"/>
        <v>19.6</v>
      </c>
      <c r="H25" s="414">
        <v>39805.34375</v>
      </c>
      <c r="I25" s="192">
        <v>39805.683333333334</v>
      </c>
      <c r="J25" s="415">
        <f t="shared" si="1"/>
        <v>8.150000000023283</v>
      </c>
      <c r="K25" s="416">
        <f t="shared" si="2"/>
        <v>489</v>
      </c>
      <c r="L25" s="234" t="s">
        <v>250</v>
      </c>
      <c r="M25" s="235" t="str">
        <f t="shared" si="3"/>
        <v>--</v>
      </c>
      <c r="N25" s="155" t="str">
        <f aca="true" t="shared" si="11" ref="N25:N43">IF(D25="","",IF(L25="P","--","NO"))</f>
        <v>--</v>
      </c>
      <c r="O25" s="523">
        <f t="shared" si="4"/>
        <v>2</v>
      </c>
      <c r="P25" s="524">
        <f t="shared" si="5"/>
        <v>319.48</v>
      </c>
      <c r="Q25" s="525" t="str">
        <f t="shared" si="6"/>
        <v>--</v>
      </c>
      <c r="R25" s="526" t="str">
        <f t="shared" si="7"/>
        <v>--</v>
      </c>
      <c r="S25" s="527" t="str">
        <f t="shared" si="8"/>
        <v>--</v>
      </c>
      <c r="T25" s="528" t="s">
        <v>247</v>
      </c>
      <c r="U25" s="529">
        <f t="shared" si="9"/>
        <v>319.48</v>
      </c>
      <c r="V25" s="421">
        <f t="shared" si="10"/>
        <v>319.48</v>
      </c>
      <c r="W25" s="6"/>
    </row>
    <row r="26" spans="2:23" s="5" customFormat="1" ht="16.5" customHeight="1">
      <c r="B26" s="50"/>
      <c r="C26" s="157"/>
      <c r="D26" s="485"/>
      <c r="E26" s="485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11"/>
      </c>
      <c r="O26" s="523">
        <f t="shared" si="4"/>
        <v>20</v>
      </c>
      <c r="P26" s="524" t="str">
        <f t="shared" si="5"/>
        <v>--</v>
      </c>
      <c r="Q26" s="525" t="str">
        <f t="shared" si="6"/>
        <v>--</v>
      </c>
      <c r="R26" s="526" t="str">
        <f t="shared" si="7"/>
        <v>--</v>
      </c>
      <c r="S26" s="527" t="str">
        <f t="shared" si="8"/>
        <v>--</v>
      </c>
      <c r="T26" s="528">
        <f aca="true" t="shared" si="12" ref="T26:T43">IF(D26="","","SI")</f>
      </c>
      <c r="U26" s="529">
        <f t="shared" si="9"/>
        <v>0</v>
      </c>
      <c r="V26" s="421">
        <f t="shared" si="10"/>
      </c>
      <c r="W26" s="6"/>
    </row>
    <row r="27" spans="2:23" s="5" customFormat="1" ht="16.5" customHeight="1">
      <c r="B27" s="50"/>
      <c r="C27" s="289"/>
      <c r="D27" s="485"/>
      <c r="E27" s="485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11"/>
      </c>
      <c r="O27" s="523">
        <f t="shared" si="4"/>
        <v>20</v>
      </c>
      <c r="P27" s="524" t="str">
        <f t="shared" si="5"/>
        <v>--</v>
      </c>
      <c r="Q27" s="525" t="str">
        <f t="shared" si="6"/>
        <v>--</v>
      </c>
      <c r="R27" s="526" t="str">
        <f t="shared" si="7"/>
        <v>--</v>
      </c>
      <c r="S27" s="527" t="str">
        <f t="shared" si="8"/>
        <v>--</v>
      </c>
      <c r="T27" s="528">
        <f t="shared" si="12"/>
      </c>
      <c r="U27" s="529">
        <f t="shared" si="9"/>
        <v>0</v>
      </c>
      <c r="V27" s="421">
        <f t="shared" si="10"/>
      </c>
      <c r="W27" s="491"/>
    </row>
    <row r="28" spans="2:23" s="5" customFormat="1" ht="16.5" customHeight="1">
      <c r="B28" s="50"/>
      <c r="C28" s="157"/>
      <c r="D28" s="485"/>
      <c r="E28" s="485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11"/>
      </c>
      <c r="O28" s="523">
        <f t="shared" si="4"/>
        <v>20</v>
      </c>
      <c r="P28" s="524" t="str">
        <f t="shared" si="5"/>
        <v>--</v>
      </c>
      <c r="Q28" s="525" t="str">
        <f t="shared" si="6"/>
        <v>--</v>
      </c>
      <c r="R28" s="526" t="str">
        <f t="shared" si="7"/>
        <v>--</v>
      </c>
      <c r="S28" s="527" t="str">
        <f t="shared" si="8"/>
        <v>--</v>
      </c>
      <c r="T28" s="528">
        <f t="shared" si="12"/>
      </c>
      <c r="U28" s="529">
        <f t="shared" si="9"/>
        <v>0</v>
      </c>
      <c r="V28" s="421">
        <f t="shared" si="10"/>
      </c>
      <c r="W28" s="491"/>
    </row>
    <row r="29" spans="2:23" s="5" customFormat="1" ht="16.5" customHeight="1">
      <c r="B29" s="50"/>
      <c r="C29" s="289"/>
      <c r="D29" s="485"/>
      <c r="E29" s="485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11"/>
      </c>
      <c r="O29" s="523">
        <f t="shared" si="4"/>
        <v>20</v>
      </c>
      <c r="P29" s="524" t="str">
        <f t="shared" si="5"/>
        <v>--</v>
      </c>
      <c r="Q29" s="525" t="str">
        <f t="shared" si="6"/>
        <v>--</v>
      </c>
      <c r="R29" s="526" t="str">
        <f t="shared" si="7"/>
        <v>--</v>
      </c>
      <c r="S29" s="527" t="str">
        <f t="shared" si="8"/>
        <v>--</v>
      </c>
      <c r="T29" s="528">
        <f t="shared" si="12"/>
      </c>
      <c r="U29" s="529">
        <f t="shared" si="9"/>
        <v>0</v>
      </c>
      <c r="V29" s="421">
        <f t="shared" si="10"/>
      </c>
      <c r="W29" s="491"/>
    </row>
    <row r="30" spans="2:23" s="5" customFormat="1" ht="16.5" customHeight="1">
      <c r="B30" s="50"/>
      <c r="C30" s="157"/>
      <c r="D30" s="485"/>
      <c r="E30" s="485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11"/>
      </c>
      <c r="O30" s="523">
        <f t="shared" si="4"/>
        <v>20</v>
      </c>
      <c r="P30" s="524" t="str">
        <f t="shared" si="5"/>
        <v>--</v>
      </c>
      <c r="Q30" s="525" t="str">
        <f t="shared" si="6"/>
        <v>--</v>
      </c>
      <c r="R30" s="526" t="str">
        <f t="shared" si="7"/>
        <v>--</v>
      </c>
      <c r="S30" s="527" t="str">
        <f t="shared" si="8"/>
        <v>--</v>
      </c>
      <c r="T30" s="528">
        <f t="shared" si="12"/>
      </c>
      <c r="U30" s="529">
        <f t="shared" si="9"/>
        <v>0</v>
      </c>
      <c r="V30" s="421">
        <f t="shared" si="10"/>
      </c>
      <c r="W30" s="491"/>
    </row>
    <row r="31" spans="2:23" s="5" customFormat="1" ht="16.5" customHeight="1">
      <c r="B31" s="50"/>
      <c r="C31" s="289"/>
      <c r="D31" s="485"/>
      <c r="E31" s="485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11"/>
      </c>
      <c r="O31" s="523">
        <f t="shared" si="4"/>
        <v>20</v>
      </c>
      <c r="P31" s="524" t="str">
        <f t="shared" si="5"/>
        <v>--</v>
      </c>
      <c r="Q31" s="525" t="str">
        <f t="shared" si="6"/>
        <v>--</v>
      </c>
      <c r="R31" s="526" t="str">
        <f t="shared" si="7"/>
        <v>--</v>
      </c>
      <c r="S31" s="527" t="str">
        <f t="shared" si="8"/>
        <v>--</v>
      </c>
      <c r="T31" s="528">
        <f t="shared" si="12"/>
      </c>
      <c r="U31" s="529">
        <f t="shared" si="9"/>
        <v>0</v>
      </c>
      <c r="V31" s="421">
        <f t="shared" si="10"/>
      </c>
      <c r="W31" s="491"/>
    </row>
    <row r="32" spans="2:23" s="5" customFormat="1" ht="16.5" customHeight="1">
      <c r="B32" s="50"/>
      <c r="C32" s="157"/>
      <c r="D32" s="485"/>
      <c r="E32" s="485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11"/>
      </c>
      <c r="O32" s="523">
        <f t="shared" si="4"/>
        <v>20</v>
      </c>
      <c r="P32" s="524" t="str">
        <f t="shared" si="5"/>
        <v>--</v>
      </c>
      <c r="Q32" s="525" t="str">
        <f t="shared" si="6"/>
        <v>--</v>
      </c>
      <c r="R32" s="526" t="str">
        <f t="shared" si="7"/>
        <v>--</v>
      </c>
      <c r="S32" s="527" t="str">
        <f t="shared" si="8"/>
        <v>--</v>
      </c>
      <c r="T32" s="528">
        <f t="shared" si="12"/>
      </c>
      <c r="U32" s="529">
        <f t="shared" si="9"/>
        <v>0</v>
      </c>
      <c r="V32" s="421">
        <f t="shared" si="10"/>
      </c>
      <c r="W32" s="491"/>
    </row>
    <row r="33" spans="2:23" s="5" customFormat="1" ht="16.5" customHeight="1">
      <c r="B33" s="50"/>
      <c r="C33" s="289"/>
      <c r="D33" s="485"/>
      <c r="E33" s="485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11"/>
      </c>
      <c r="O33" s="523">
        <f t="shared" si="4"/>
        <v>20</v>
      </c>
      <c r="P33" s="524" t="str">
        <f t="shared" si="5"/>
        <v>--</v>
      </c>
      <c r="Q33" s="525" t="str">
        <f t="shared" si="6"/>
        <v>--</v>
      </c>
      <c r="R33" s="526" t="str">
        <f t="shared" si="7"/>
        <v>--</v>
      </c>
      <c r="S33" s="527" t="str">
        <f t="shared" si="8"/>
        <v>--</v>
      </c>
      <c r="T33" s="528">
        <f t="shared" si="12"/>
      </c>
      <c r="U33" s="529">
        <f t="shared" si="9"/>
        <v>0</v>
      </c>
      <c r="V33" s="421">
        <f t="shared" si="10"/>
      </c>
      <c r="W33" s="6"/>
    </row>
    <row r="34" spans="2:23" s="5" customFormat="1" ht="16.5" customHeight="1">
      <c r="B34" s="50"/>
      <c r="C34" s="157"/>
      <c r="D34" s="485"/>
      <c r="E34" s="485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11"/>
      </c>
      <c r="O34" s="523">
        <f t="shared" si="4"/>
        <v>20</v>
      </c>
      <c r="P34" s="524" t="str">
        <f t="shared" si="5"/>
        <v>--</v>
      </c>
      <c r="Q34" s="525" t="str">
        <f t="shared" si="6"/>
        <v>--</v>
      </c>
      <c r="R34" s="526" t="str">
        <f t="shared" si="7"/>
        <v>--</v>
      </c>
      <c r="S34" s="527" t="str">
        <f t="shared" si="8"/>
        <v>--</v>
      </c>
      <c r="T34" s="528">
        <f t="shared" si="12"/>
      </c>
      <c r="U34" s="529">
        <f t="shared" si="9"/>
        <v>0</v>
      </c>
      <c r="V34" s="421">
        <f t="shared" si="10"/>
      </c>
      <c r="W34" s="6"/>
    </row>
    <row r="35" spans="2:23" s="5" customFormat="1" ht="16.5" customHeight="1">
      <c r="B35" s="50"/>
      <c r="C35" s="289"/>
      <c r="D35" s="485"/>
      <c r="E35" s="485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11"/>
      </c>
      <c r="O35" s="523">
        <f t="shared" si="4"/>
        <v>20</v>
      </c>
      <c r="P35" s="524" t="str">
        <f t="shared" si="5"/>
        <v>--</v>
      </c>
      <c r="Q35" s="525" t="str">
        <f t="shared" si="6"/>
        <v>--</v>
      </c>
      <c r="R35" s="526" t="str">
        <f t="shared" si="7"/>
        <v>--</v>
      </c>
      <c r="S35" s="527" t="str">
        <f t="shared" si="8"/>
        <v>--</v>
      </c>
      <c r="T35" s="528">
        <f t="shared" si="12"/>
      </c>
      <c r="U35" s="529">
        <f t="shared" si="9"/>
        <v>0</v>
      </c>
      <c r="V35" s="421">
        <f t="shared" si="10"/>
      </c>
      <c r="W35" s="6"/>
    </row>
    <row r="36" spans="2:23" s="5" customFormat="1" ht="16.5" customHeight="1">
      <c r="B36" s="50"/>
      <c r="C36" s="157"/>
      <c r="D36" s="485"/>
      <c r="E36" s="485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11"/>
      </c>
      <c r="O36" s="523">
        <f t="shared" si="4"/>
        <v>20</v>
      </c>
      <c r="P36" s="524" t="str">
        <f t="shared" si="5"/>
        <v>--</v>
      </c>
      <c r="Q36" s="525" t="str">
        <f t="shared" si="6"/>
        <v>--</v>
      </c>
      <c r="R36" s="526" t="str">
        <f t="shared" si="7"/>
        <v>--</v>
      </c>
      <c r="S36" s="527" t="str">
        <f t="shared" si="8"/>
        <v>--</v>
      </c>
      <c r="T36" s="528">
        <f t="shared" si="12"/>
      </c>
      <c r="U36" s="529">
        <f t="shared" si="9"/>
        <v>0</v>
      </c>
      <c r="V36" s="421">
        <f t="shared" si="10"/>
      </c>
      <c r="W36" s="6"/>
    </row>
    <row r="37" spans="2:23" s="5" customFormat="1" ht="16.5" customHeight="1">
      <c r="B37" s="50"/>
      <c r="C37" s="289"/>
      <c r="D37" s="485"/>
      <c r="E37" s="485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11"/>
      </c>
      <c r="O37" s="523">
        <f t="shared" si="4"/>
        <v>20</v>
      </c>
      <c r="P37" s="524" t="str">
        <f t="shared" si="5"/>
        <v>--</v>
      </c>
      <c r="Q37" s="525" t="str">
        <f t="shared" si="6"/>
        <v>--</v>
      </c>
      <c r="R37" s="526" t="str">
        <f t="shared" si="7"/>
        <v>--</v>
      </c>
      <c r="S37" s="527" t="str">
        <f t="shared" si="8"/>
        <v>--</v>
      </c>
      <c r="T37" s="528">
        <f t="shared" si="12"/>
      </c>
      <c r="U37" s="529">
        <f t="shared" si="9"/>
        <v>0</v>
      </c>
      <c r="V37" s="421">
        <f t="shared" si="10"/>
      </c>
      <c r="W37" s="6"/>
    </row>
    <row r="38" spans="2:23" s="5" customFormat="1" ht="16.5" customHeight="1">
      <c r="B38" s="50"/>
      <c r="C38" s="157"/>
      <c r="D38" s="485"/>
      <c r="E38" s="485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11"/>
      </c>
      <c r="O38" s="523">
        <f t="shared" si="4"/>
        <v>20</v>
      </c>
      <c r="P38" s="524" t="str">
        <f t="shared" si="5"/>
        <v>--</v>
      </c>
      <c r="Q38" s="525" t="str">
        <f t="shared" si="6"/>
        <v>--</v>
      </c>
      <c r="R38" s="526" t="str">
        <f t="shared" si="7"/>
        <v>--</v>
      </c>
      <c r="S38" s="527" t="str">
        <f t="shared" si="8"/>
        <v>--</v>
      </c>
      <c r="T38" s="528">
        <f t="shared" si="12"/>
      </c>
      <c r="U38" s="529">
        <f t="shared" si="9"/>
        <v>0</v>
      </c>
      <c r="V38" s="421">
        <f t="shared" si="10"/>
      </c>
      <c r="W38" s="6"/>
    </row>
    <row r="39" spans="2:23" s="5" customFormat="1" ht="16.5" customHeight="1">
      <c r="B39" s="50"/>
      <c r="C39" s="289"/>
      <c r="D39" s="485"/>
      <c r="E39" s="485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11"/>
      </c>
      <c r="O39" s="523">
        <f t="shared" si="4"/>
        <v>20</v>
      </c>
      <c r="P39" s="524" t="str">
        <f t="shared" si="5"/>
        <v>--</v>
      </c>
      <c r="Q39" s="525" t="str">
        <f t="shared" si="6"/>
        <v>--</v>
      </c>
      <c r="R39" s="526" t="str">
        <f t="shared" si="7"/>
        <v>--</v>
      </c>
      <c r="S39" s="527" t="str">
        <f t="shared" si="8"/>
        <v>--</v>
      </c>
      <c r="T39" s="528">
        <f t="shared" si="12"/>
      </c>
      <c r="U39" s="529">
        <f t="shared" si="9"/>
        <v>0</v>
      </c>
      <c r="V39" s="421">
        <f t="shared" si="10"/>
      </c>
      <c r="W39" s="6"/>
    </row>
    <row r="40" spans="2:23" s="5" customFormat="1" ht="16.5" customHeight="1">
      <c r="B40" s="50"/>
      <c r="C40" s="157"/>
      <c r="D40" s="485"/>
      <c r="E40" s="485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11"/>
      </c>
      <c r="O40" s="523">
        <f t="shared" si="4"/>
        <v>20</v>
      </c>
      <c r="P40" s="524" t="str">
        <f t="shared" si="5"/>
        <v>--</v>
      </c>
      <c r="Q40" s="525" t="str">
        <f t="shared" si="6"/>
        <v>--</v>
      </c>
      <c r="R40" s="526" t="str">
        <f t="shared" si="7"/>
        <v>--</v>
      </c>
      <c r="S40" s="527" t="str">
        <f t="shared" si="8"/>
        <v>--</v>
      </c>
      <c r="T40" s="528">
        <f t="shared" si="12"/>
      </c>
      <c r="U40" s="529">
        <f t="shared" si="9"/>
        <v>0</v>
      </c>
      <c r="V40" s="421">
        <f t="shared" si="10"/>
      </c>
      <c r="W40" s="6"/>
    </row>
    <row r="41" spans="2:23" s="5" customFormat="1" ht="16.5" customHeight="1">
      <c r="B41" s="50"/>
      <c r="C41" s="289"/>
      <c r="D41" s="485"/>
      <c r="E41" s="485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11"/>
      </c>
      <c r="O41" s="523">
        <f t="shared" si="4"/>
        <v>20</v>
      </c>
      <c r="P41" s="524" t="str">
        <f t="shared" si="5"/>
        <v>--</v>
      </c>
      <c r="Q41" s="525" t="str">
        <f t="shared" si="6"/>
        <v>--</v>
      </c>
      <c r="R41" s="526" t="str">
        <f t="shared" si="7"/>
        <v>--</v>
      </c>
      <c r="S41" s="527" t="str">
        <f t="shared" si="8"/>
        <v>--</v>
      </c>
      <c r="T41" s="528">
        <f t="shared" si="12"/>
      </c>
      <c r="U41" s="529">
        <f t="shared" si="9"/>
        <v>0</v>
      </c>
      <c r="V41" s="421">
        <f t="shared" si="10"/>
      </c>
      <c r="W41" s="6"/>
    </row>
    <row r="42" spans="2:23" s="5" customFormat="1" ht="16.5" customHeight="1">
      <c r="B42" s="50"/>
      <c r="C42" s="157"/>
      <c r="D42" s="485"/>
      <c r="E42" s="485"/>
      <c r="F42" s="485"/>
      <c r="G42" s="306">
        <f t="shared" si="0"/>
        <v>0</v>
      </c>
      <c r="H42" s="414"/>
      <c r="I42" s="192"/>
      <c r="J42" s="415">
        <f t="shared" si="1"/>
      </c>
      <c r="K42" s="416">
        <f t="shared" si="2"/>
      </c>
      <c r="L42" s="234"/>
      <c r="M42" s="235">
        <f t="shared" si="3"/>
      </c>
      <c r="N42" s="155">
        <f t="shared" si="11"/>
      </c>
      <c r="O42" s="523">
        <f t="shared" si="4"/>
        <v>20</v>
      </c>
      <c r="P42" s="524" t="str">
        <f t="shared" si="5"/>
        <v>--</v>
      </c>
      <c r="Q42" s="525" t="str">
        <f t="shared" si="6"/>
        <v>--</v>
      </c>
      <c r="R42" s="526" t="str">
        <f t="shared" si="7"/>
        <v>--</v>
      </c>
      <c r="S42" s="527" t="str">
        <f t="shared" si="8"/>
        <v>--</v>
      </c>
      <c r="T42" s="528">
        <f t="shared" si="12"/>
      </c>
      <c r="U42" s="529">
        <f t="shared" si="9"/>
        <v>0</v>
      </c>
      <c r="V42" s="421">
        <f t="shared" si="10"/>
      </c>
      <c r="W42" s="6"/>
    </row>
    <row r="43" spans="2:23" s="5" customFormat="1" ht="16.5" customHeight="1">
      <c r="B43" s="50"/>
      <c r="C43" s="289"/>
      <c r="D43" s="485"/>
      <c r="E43" s="485"/>
      <c r="F43" s="485"/>
      <c r="G43" s="306">
        <f t="shared" si="0"/>
        <v>0</v>
      </c>
      <c r="H43" s="414"/>
      <c r="I43" s="192"/>
      <c r="J43" s="415">
        <f t="shared" si="1"/>
      </c>
      <c r="K43" s="416">
        <f t="shared" si="2"/>
      </c>
      <c r="L43" s="234"/>
      <c r="M43" s="235">
        <f t="shared" si="3"/>
      </c>
      <c r="N43" s="155">
        <f t="shared" si="11"/>
      </c>
      <c r="O43" s="523">
        <f t="shared" si="4"/>
        <v>20</v>
      </c>
      <c r="P43" s="524" t="str">
        <f t="shared" si="5"/>
        <v>--</v>
      </c>
      <c r="Q43" s="525" t="str">
        <f t="shared" si="6"/>
        <v>--</v>
      </c>
      <c r="R43" s="526" t="str">
        <f t="shared" si="7"/>
        <v>--</v>
      </c>
      <c r="S43" s="527" t="str">
        <f t="shared" si="8"/>
        <v>--</v>
      </c>
      <c r="T43" s="528">
        <f t="shared" si="12"/>
      </c>
      <c r="U43" s="529">
        <f t="shared" si="9"/>
        <v>0</v>
      </c>
      <c r="V43" s="421">
        <f t="shared" si="10"/>
      </c>
      <c r="W43" s="6"/>
    </row>
    <row r="44" spans="2:23" s="5" customFormat="1" ht="16.5" customHeight="1" thickBot="1">
      <c r="B44" s="50"/>
      <c r="C44" s="157"/>
      <c r="D44" s="493"/>
      <c r="E44" s="493"/>
      <c r="F44" s="493"/>
      <c r="G44" s="132"/>
      <c r="H44" s="422"/>
      <c r="I44" s="422"/>
      <c r="J44" s="423"/>
      <c r="K44" s="423"/>
      <c r="L44" s="422"/>
      <c r="M44" s="197"/>
      <c r="N44" s="154"/>
      <c r="O44" s="530"/>
      <c r="P44" s="531"/>
      <c r="Q44" s="532"/>
      <c r="R44" s="533"/>
      <c r="S44" s="534"/>
      <c r="T44" s="535"/>
      <c r="U44" s="366"/>
      <c r="V44" s="499"/>
      <c r="W44" s="6"/>
    </row>
    <row r="45" spans="2:23" s="5" customFormat="1" ht="16.5" customHeight="1" thickBot="1" thickTop="1">
      <c r="B45" s="50"/>
      <c r="C45" s="128" t="s">
        <v>25</v>
      </c>
      <c r="D45" s="129" t="s">
        <v>355</v>
      </c>
      <c r="G45" s="4"/>
      <c r="H45" s="4"/>
      <c r="I45" s="4"/>
      <c r="J45" s="4"/>
      <c r="K45" s="4"/>
      <c r="L45" s="4"/>
      <c r="M45" s="4"/>
      <c r="N45" s="4"/>
      <c r="O45" s="4"/>
      <c r="P45" s="536">
        <f>SUM(P22:P44)</f>
        <v>433.944</v>
      </c>
      <c r="Q45" s="537">
        <f>SUM(Q22:Q44)</f>
        <v>0</v>
      </c>
      <c r="R45" s="538">
        <f>SUM(R22:R44)</f>
        <v>0</v>
      </c>
      <c r="S45" s="539">
        <f>SUM(S22:S44)</f>
        <v>0</v>
      </c>
      <c r="U45" s="540">
        <f>ROUND(SUM(U22:U44),2)</f>
        <v>433.94</v>
      </c>
      <c r="V45" s="101">
        <f>ROUND(SUM(V22:V44),2)</f>
        <v>433.94</v>
      </c>
      <c r="W45" s="504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4:25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4:25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4:25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4:25" ht="16.5" customHeight="1">
      <c r="D51" s="181"/>
      <c r="E51" s="181"/>
      <c r="F51" s="181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4:25" ht="16.5" customHeight="1">
      <c r="D52" s="181"/>
      <c r="E52" s="181"/>
      <c r="F52" s="181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4:25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4:25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4:25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4:25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4:25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4:25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4:25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4:25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4:25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4:25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4:25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4:25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4:25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4:25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4:25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4:25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4:25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4:25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4:25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4:25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4:25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4:25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4:25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4:25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4:25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4:25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4:25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4:25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4:25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4:25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4:25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4:25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4:25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4:25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4:25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4:25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4:25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4:25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4:25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4:25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4:25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4:25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4:25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4:25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4:25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4:25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4:25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4:25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4:25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4:25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4:25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4:25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4:25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4:25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4:25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4:25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4:25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4:25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4:25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4:25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4:25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4:25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4:25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4:25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4:25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4:25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4:25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4:25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4:25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4:25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4:25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4:25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4:25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4:25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4:25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4:25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4:25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4:25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4:25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4:25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4:25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4:25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4:25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4:25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4:25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4:25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4:25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4:25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  <row r="141" spans="4:25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</row>
    <row r="142" spans="4:25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</row>
    <row r="143" spans="4:25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</row>
    <row r="144" spans="4:25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</row>
    <row r="145" spans="4:25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4:25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</row>
    <row r="147" spans="4:25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</row>
    <row r="148" spans="4:25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</row>
    <row r="149" spans="4:25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4:25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</row>
    <row r="151" spans="4:25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</row>
    <row r="152" spans="4:25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</row>
    <row r="153" spans="4:25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</row>
    <row r="154" spans="4:25" ht="16.5" customHeight="1">
      <c r="D154" s="179"/>
      <c r="E154" s="179"/>
      <c r="F154" s="179"/>
      <c r="X154" s="179"/>
      <c r="Y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spans="4:6" ht="16.5" customHeight="1">
      <c r="D158" s="179"/>
      <c r="E158" s="179"/>
      <c r="F158" s="179"/>
    </row>
    <row r="159" spans="4:6" ht="16.5" customHeight="1">
      <c r="D159" s="179"/>
      <c r="E159" s="179"/>
      <c r="F159" s="179"/>
    </row>
    <row r="160" ht="16.5" customHeight="1"/>
    <row r="161" ht="16.5" customHeight="1"/>
    <row r="162" ht="16.5" customHeight="1"/>
    <row r="163" ht="16.5" customHeight="1"/>
  </sheetData>
  <mergeCells count="1">
    <mergeCell ref="J16:N1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2010-08-10T17:58:49Z</cp:lastPrinted>
  <dcterms:created xsi:type="dcterms:W3CDTF">1998-04-21T14:04:37Z</dcterms:created>
  <dcterms:modified xsi:type="dcterms:W3CDTF">2010-12-06T12:57:23Z</dcterms:modified>
  <cp:category/>
  <cp:version/>
  <cp:contentType/>
  <cp:contentStatus/>
</cp:coreProperties>
</file>